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932" yWindow="-12" windowWidth="4020" windowHeight="6600" activeTab="5"/>
  </bookViews>
  <sheets>
    <sheet name="LT Plan" sheetId="4" r:id="rId1"/>
    <sheet name="Assets" sheetId="1" r:id="rId2"/>
    <sheet name="House" sheetId="3" r:id="rId3"/>
    <sheet name="Fut.Budg" sheetId="6" r:id="rId4"/>
    <sheet name="vesting" sheetId="7" r:id="rId5"/>
    <sheet name="2001 cf" sheetId="8" r:id="rId6"/>
  </sheets>
  <calcPr calcId="92512"/>
</workbook>
</file>

<file path=xl/calcChain.xml><?xml version="1.0" encoding="utf-8"?>
<calcChain xmlns="http://schemas.openxmlformats.org/spreadsheetml/2006/main">
  <c r="I3" i="8" l="1"/>
  <c r="J3" i="8"/>
  <c r="K3" i="8"/>
  <c r="I4" i="8"/>
  <c r="J4" i="8"/>
  <c r="K4" i="8"/>
  <c r="I5" i="8"/>
  <c r="J5" i="8"/>
  <c r="K5" i="8"/>
  <c r="D6" i="8"/>
  <c r="I6" i="8"/>
  <c r="J6" i="8"/>
  <c r="K6" i="8"/>
  <c r="I7" i="8"/>
  <c r="J7" i="8"/>
  <c r="K7" i="8"/>
  <c r="I8" i="8"/>
  <c r="J8" i="8"/>
  <c r="K8" i="8"/>
  <c r="I9" i="8"/>
  <c r="J9" i="8"/>
  <c r="K9" i="8"/>
  <c r="I10" i="8"/>
  <c r="J10" i="8"/>
  <c r="K10" i="8"/>
  <c r="I12" i="8"/>
  <c r="J12" i="8"/>
  <c r="K12" i="8"/>
  <c r="D16" i="8"/>
  <c r="D23" i="8"/>
  <c r="D26" i="8"/>
  <c r="C27" i="8"/>
  <c r="D28" i="8"/>
  <c r="D29" i="8"/>
  <c r="D30" i="8"/>
  <c r="D32" i="8"/>
  <c r="D34" i="8"/>
  <c r="D35" i="8"/>
  <c r="E1" i="1"/>
  <c r="E2" i="1"/>
  <c r="E3" i="1"/>
  <c r="Y3" i="1"/>
  <c r="H6" i="1"/>
  <c r="J6" i="1"/>
  <c r="H8" i="1"/>
  <c r="J8" i="1"/>
  <c r="G11" i="1"/>
  <c r="G14" i="1"/>
  <c r="H14" i="1"/>
  <c r="I14" i="1"/>
  <c r="J21" i="1"/>
  <c r="E22" i="1"/>
  <c r="F22" i="1"/>
  <c r="G22" i="1"/>
  <c r="H22" i="1"/>
  <c r="J22" i="1"/>
  <c r="F23" i="1"/>
  <c r="G23" i="1"/>
  <c r="H23" i="1"/>
  <c r="J23" i="1"/>
  <c r="F24" i="1"/>
  <c r="G24" i="1"/>
  <c r="H24" i="1"/>
  <c r="J24" i="1"/>
  <c r="F25" i="1"/>
  <c r="G25" i="1"/>
  <c r="H25" i="1"/>
  <c r="J25" i="1"/>
  <c r="F26" i="1"/>
  <c r="G26" i="1"/>
  <c r="H26" i="1"/>
  <c r="J26" i="1"/>
  <c r="F27" i="1"/>
  <c r="G27" i="1"/>
  <c r="H27" i="1"/>
  <c r="J27" i="1"/>
  <c r="F28" i="1"/>
  <c r="G28" i="1"/>
  <c r="H28" i="1"/>
  <c r="J28" i="1"/>
  <c r="F30" i="1"/>
  <c r="G30" i="1"/>
  <c r="H30" i="1"/>
  <c r="F31" i="1"/>
  <c r="G31" i="1"/>
  <c r="H31" i="1"/>
  <c r="F32" i="1"/>
  <c r="G32" i="1"/>
  <c r="H32" i="1"/>
  <c r="F33" i="1"/>
  <c r="G33" i="1"/>
  <c r="H33" i="1"/>
  <c r="J33" i="1"/>
  <c r="F34" i="1"/>
  <c r="G34" i="1"/>
  <c r="H34" i="1"/>
  <c r="J34" i="1"/>
  <c r="F35" i="1"/>
  <c r="G35" i="1"/>
  <c r="H35" i="1"/>
  <c r="J35" i="1"/>
  <c r="F36" i="1"/>
  <c r="G36" i="1"/>
  <c r="H36" i="1"/>
  <c r="J37" i="1"/>
  <c r="H38" i="1"/>
  <c r="J38" i="1"/>
  <c r="H39" i="1"/>
  <c r="J39" i="1"/>
  <c r="J41" i="1"/>
  <c r="J42" i="1"/>
  <c r="D43" i="1"/>
  <c r="D44" i="1"/>
  <c r="D45" i="1"/>
  <c r="H47" i="1"/>
  <c r="G48" i="1"/>
  <c r="H48" i="1"/>
  <c r="J49" i="1"/>
  <c r="H52" i="1"/>
  <c r="I52" i="1"/>
  <c r="F59" i="1"/>
  <c r="G61" i="1"/>
  <c r="H61" i="1"/>
  <c r="K61" i="1"/>
  <c r="F65" i="1"/>
  <c r="F66" i="1"/>
  <c r="F69" i="1"/>
  <c r="G70" i="1"/>
  <c r="H70" i="1"/>
  <c r="I70" i="1"/>
  <c r="G77" i="1"/>
  <c r="H77" i="1"/>
  <c r="K77" i="1"/>
  <c r="H79" i="1"/>
  <c r="I79" i="1"/>
  <c r="G85" i="1"/>
  <c r="H85" i="1"/>
  <c r="I85" i="1"/>
  <c r="G92" i="1"/>
  <c r="H92" i="1"/>
  <c r="I92" i="1"/>
  <c r="F95" i="1"/>
  <c r="G95" i="1"/>
  <c r="H95" i="1"/>
  <c r="J95" i="1"/>
  <c r="F96" i="1"/>
  <c r="G96" i="1"/>
  <c r="H96" i="1"/>
  <c r="J96" i="1"/>
  <c r="F97" i="1"/>
  <c r="G97" i="1"/>
  <c r="H97" i="1"/>
  <c r="J97" i="1"/>
  <c r="H105" i="1"/>
  <c r="I105" i="1"/>
  <c r="J105" i="1"/>
  <c r="H107" i="1"/>
  <c r="J107" i="1"/>
  <c r="G111" i="1"/>
  <c r="H111" i="1"/>
  <c r="I111" i="1"/>
  <c r="J111" i="1"/>
  <c r="K111" i="1"/>
  <c r="L112" i="1"/>
  <c r="I113" i="1"/>
  <c r="J113" i="1"/>
  <c r="K113" i="1"/>
  <c r="L113" i="1"/>
  <c r="M116" i="1"/>
  <c r="M117" i="1"/>
  <c r="F119" i="1"/>
  <c r="G119" i="1"/>
  <c r="M119" i="1"/>
  <c r="F120" i="1"/>
  <c r="G120" i="1"/>
  <c r="M120" i="1"/>
  <c r="F121" i="1"/>
  <c r="G121" i="1"/>
  <c r="N121" i="1"/>
  <c r="F122" i="1"/>
  <c r="G122" i="1"/>
  <c r="M122" i="1"/>
  <c r="F123" i="1"/>
  <c r="G123" i="1"/>
  <c r="N123" i="1"/>
  <c r="F124" i="1"/>
  <c r="G124" i="1"/>
  <c r="O124" i="1"/>
  <c r="A125" i="1"/>
  <c r="F125" i="1"/>
  <c r="G125" i="1"/>
  <c r="M125" i="1"/>
  <c r="N125" i="1"/>
  <c r="F126" i="1"/>
  <c r="G126" i="1"/>
  <c r="M126" i="1"/>
  <c r="N126" i="1"/>
  <c r="O126" i="1"/>
  <c r="A127" i="1"/>
  <c r="F127" i="1"/>
  <c r="G127" i="1"/>
  <c r="M127" i="1"/>
  <c r="N127" i="1"/>
  <c r="O127" i="1"/>
  <c r="F128" i="1"/>
  <c r="G128" i="1"/>
  <c r="P128" i="1"/>
  <c r="A129" i="1"/>
  <c r="D129" i="1"/>
  <c r="F129" i="1"/>
  <c r="G129" i="1"/>
  <c r="M129" i="1"/>
  <c r="N129" i="1"/>
  <c r="O129" i="1"/>
  <c r="D130" i="1"/>
  <c r="F130" i="1"/>
  <c r="G130" i="1"/>
  <c r="M130" i="1"/>
  <c r="N130" i="1"/>
  <c r="O130" i="1"/>
  <c r="G132" i="1"/>
  <c r="H132" i="1"/>
  <c r="I132" i="1"/>
  <c r="M132" i="1"/>
  <c r="N132" i="1"/>
  <c r="O132" i="1"/>
  <c r="P132" i="1"/>
  <c r="G135" i="1"/>
  <c r="H135" i="1"/>
  <c r="I135" i="1"/>
  <c r="M135" i="1"/>
  <c r="N135" i="1"/>
  <c r="O135" i="1"/>
  <c r="P135" i="1"/>
  <c r="N162" i="1"/>
  <c r="N163" i="1"/>
  <c r="N164" i="1"/>
  <c r="N165" i="1"/>
  <c r="M166" i="1"/>
  <c r="N166" i="1"/>
  <c r="M167" i="1"/>
  <c r="N167" i="1"/>
  <c r="M169" i="1"/>
  <c r="N169" i="1"/>
  <c r="M170" i="1"/>
  <c r="N170" i="1"/>
  <c r="M172" i="1"/>
  <c r="N172" i="1"/>
  <c r="N174" i="1"/>
  <c r="M175" i="1"/>
  <c r="N175" i="1"/>
  <c r="M176" i="1"/>
  <c r="N176" i="1"/>
  <c r="M178" i="1"/>
  <c r="N178" i="1"/>
  <c r="M179" i="1"/>
  <c r="N179" i="1"/>
  <c r="M181" i="1"/>
  <c r="N181" i="1"/>
  <c r="D189" i="1"/>
  <c r="E189" i="1"/>
  <c r="B2" i="6"/>
  <c r="B27" i="6"/>
  <c r="B29" i="6"/>
  <c r="B88" i="6"/>
  <c r="B2" i="3"/>
  <c r="D2" i="3"/>
  <c r="D3" i="3"/>
  <c r="L3" i="3"/>
  <c r="D4" i="3"/>
  <c r="B5" i="3"/>
  <c r="D5" i="3"/>
  <c r="B6" i="3"/>
  <c r="D6" i="3"/>
  <c r="D8" i="3"/>
  <c r="B9" i="3"/>
  <c r="D9" i="3"/>
  <c r="J9" i="3"/>
  <c r="B10" i="3"/>
  <c r="D10" i="3"/>
  <c r="J10" i="3"/>
  <c r="J11" i="3"/>
  <c r="J14" i="3"/>
  <c r="C15" i="3"/>
  <c r="D15" i="3"/>
  <c r="J15" i="3"/>
  <c r="J16" i="3"/>
  <c r="J25" i="3"/>
  <c r="D27" i="3"/>
  <c r="D28" i="3"/>
  <c r="D29" i="3"/>
  <c r="D30" i="3"/>
  <c r="D31" i="3"/>
  <c r="D50" i="3"/>
  <c r="D52" i="3"/>
  <c r="D58" i="3"/>
  <c r="D60" i="3"/>
  <c r="D66" i="3"/>
  <c r="D68" i="3"/>
  <c r="S5" i="4"/>
  <c r="S6" i="4"/>
  <c r="I38" i="4"/>
  <c r="J38" i="4"/>
  <c r="R38" i="4"/>
  <c r="S38" i="4"/>
  <c r="T38" i="4"/>
  <c r="Y38" i="4"/>
  <c r="Z38" i="4"/>
  <c r="AB38" i="4"/>
  <c r="AC38" i="4"/>
  <c r="F39" i="4"/>
  <c r="H39" i="4"/>
  <c r="I39" i="4"/>
  <c r="J39" i="4"/>
  <c r="M39" i="4"/>
  <c r="O39" i="4"/>
  <c r="Q39" i="4"/>
  <c r="R39" i="4"/>
  <c r="S39" i="4"/>
  <c r="T39" i="4"/>
  <c r="V39" i="4"/>
  <c r="X39" i="4"/>
  <c r="Y39" i="4"/>
  <c r="Z39" i="4"/>
  <c r="AB39" i="4"/>
  <c r="AC39" i="4"/>
  <c r="F40" i="4"/>
  <c r="H40" i="4"/>
  <c r="I40" i="4"/>
  <c r="J40" i="4"/>
  <c r="M40" i="4"/>
  <c r="O40" i="4"/>
  <c r="Q40" i="4"/>
  <c r="R40" i="4"/>
  <c r="S40" i="4"/>
  <c r="T40" i="4"/>
  <c r="V40" i="4"/>
  <c r="X40" i="4"/>
  <c r="Y40" i="4"/>
  <c r="Z40" i="4"/>
  <c r="AB40" i="4"/>
  <c r="AC40" i="4"/>
  <c r="F41" i="4"/>
  <c r="H41" i="4"/>
  <c r="I41" i="4"/>
  <c r="J41" i="4"/>
  <c r="M41" i="4"/>
  <c r="O41" i="4"/>
  <c r="Q41" i="4"/>
  <c r="R41" i="4"/>
  <c r="S41" i="4"/>
  <c r="T41" i="4"/>
  <c r="V41" i="4"/>
  <c r="X41" i="4"/>
  <c r="Y41" i="4"/>
  <c r="Z41" i="4"/>
  <c r="AB41" i="4"/>
  <c r="AC41" i="4"/>
  <c r="F42" i="4"/>
  <c r="H42" i="4"/>
  <c r="I42" i="4"/>
  <c r="J42" i="4"/>
  <c r="M42" i="4"/>
  <c r="O42" i="4"/>
  <c r="Q42" i="4"/>
  <c r="R42" i="4"/>
  <c r="S42" i="4"/>
  <c r="T42" i="4"/>
  <c r="V42" i="4"/>
  <c r="X42" i="4"/>
  <c r="Y42" i="4"/>
  <c r="Z42" i="4"/>
  <c r="AB42" i="4"/>
  <c r="AC42" i="4"/>
  <c r="F43" i="4"/>
  <c r="H43" i="4"/>
  <c r="I43" i="4"/>
  <c r="J43" i="4"/>
  <c r="M43" i="4"/>
  <c r="O43" i="4"/>
  <c r="Q43" i="4"/>
  <c r="R43" i="4"/>
  <c r="S43" i="4"/>
  <c r="T43" i="4"/>
  <c r="V43" i="4"/>
  <c r="X43" i="4"/>
  <c r="Y43" i="4"/>
  <c r="Z43" i="4"/>
  <c r="AB43" i="4"/>
  <c r="AC43" i="4"/>
  <c r="F44" i="4"/>
  <c r="H44" i="4"/>
  <c r="I44" i="4"/>
  <c r="J44" i="4"/>
  <c r="M44" i="4"/>
  <c r="O44" i="4"/>
  <c r="Q44" i="4"/>
  <c r="R44" i="4"/>
  <c r="S44" i="4"/>
  <c r="T44" i="4"/>
  <c r="V44" i="4"/>
  <c r="X44" i="4"/>
  <c r="Y44" i="4"/>
  <c r="Z44" i="4"/>
  <c r="AB44" i="4"/>
  <c r="AC44" i="4"/>
  <c r="F45" i="4"/>
  <c r="H45" i="4"/>
  <c r="I45" i="4"/>
  <c r="J45" i="4"/>
  <c r="M45" i="4"/>
  <c r="O45" i="4"/>
  <c r="Q45" i="4"/>
  <c r="R45" i="4"/>
  <c r="S45" i="4"/>
  <c r="T45" i="4"/>
  <c r="V45" i="4"/>
  <c r="X45" i="4"/>
  <c r="Y45" i="4"/>
  <c r="Z45" i="4"/>
  <c r="AB45" i="4"/>
  <c r="AC45" i="4"/>
  <c r="F46" i="4"/>
  <c r="H46" i="4"/>
  <c r="I46" i="4"/>
  <c r="J46" i="4"/>
  <c r="M46" i="4"/>
  <c r="O46" i="4"/>
  <c r="Q46" i="4"/>
  <c r="R46" i="4"/>
  <c r="S46" i="4"/>
  <c r="T46" i="4"/>
  <c r="V46" i="4"/>
  <c r="X46" i="4"/>
  <c r="Y46" i="4"/>
  <c r="Z46" i="4"/>
  <c r="AB46" i="4"/>
  <c r="AC46" i="4"/>
  <c r="F47" i="4"/>
  <c r="H47" i="4"/>
  <c r="I47" i="4"/>
  <c r="J47" i="4"/>
  <c r="M47" i="4"/>
  <c r="O47" i="4"/>
  <c r="Q47" i="4"/>
  <c r="R47" i="4"/>
  <c r="S47" i="4"/>
  <c r="T47" i="4"/>
  <c r="V47" i="4"/>
  <c r="X47" i="4"/>
  <c r="Y47" i="4"/>
  <c r="Z47" i="4"/>
  <c r="AB47" i="4"/>
  <c r="AC47" i="4"/>
  <c r="F48" i="4"/>
  <c r="H48" i="4"/>
  <c r="I48" i="4"/>
  <c r="J48" i="4"/>
  <c r="M48" i="4"/>
  <c r="O48" i="4"/>
  <c r="Q48" i="4"/>
  <c r="R48" i="4"/>
  <c r="S48" i="4"/>
  <c r="T48" i="4"/>
  <c r="V48" i="4"/>
  <c r="X48" i="4"/>
  <c r="Y48" i="4"/>
  <c r="Z48" i="4"/>
  <c r="AB48" i="4"/>
  <c r="AC48" i="4"/>
  <c r="F49" i="4"/>
  <c r="H49" i="4"/>
  <c r="I49" i="4"/>
  <c r="J49" i="4"/>
  <c r="M49" i="4"/>
  <c r="O49" i="4"/>
  <c r="Q49" i="4"/>
  <c r="R49" i="4"/>
  <c r="S49" i="4"/>
  <c r="T49" i="4"/>
  <c r="V49" i="4"/>
  <c r="X49" i="4"/>
  <c r="Y49" i="4"/>
  <c r="Z49" i="4"/>
  <c r="AB49" i="4"/>
  <c r="AC49" i="4"/>
  <c r="F50" i="4"/>
  <c r="H50" i="4"/>
  <c r="I50" i="4"/>
  <c r="J50" i="4"/>
  <c r="M50" i="4"/>
  <c r="O50" i="4"/>
  <c r="Q50" i="4"/>
  <c r="R50" i="4"/>
  <c r="S50" i="4"/>
  <c r="T50" i="4"/>
  <c r="V50" i="4"/>
  <c r="X50" i="4"/>
  <c r="Y50" i="4"/>
  <c r="Z50" i="4"/>
  <c r="AB50" i="4"/>
  <c r="AC50" i="4"/>
  <c r="F51" i="4"/>
  <c r="H51" i="4"/>
  <c r="I51" i="4"/>
  <c r="J51" i="4"/>
  <c r="M51" i="4"/>
  <c r="O51" i="4"/>
  <c r="Q51" i="4"/>
  <c r="R51" i="4"/>
  <c r="S51" i="4"/>
  <c r="T51" i="4"/>
  <c r="V51" i="4"/>
  <c r="X51" i="4"/>
  <c r="Y51" i="4"/>
  <c r="Z51" i="4"/>
  <c r="AB51" i="4"/>
  <c r="AC51" i="4"/>
  <c r="F52" i="4"/>
  <c r="H52" i="4"/>
  <c r="I52" i="4"/>
  <c r="J52" i="4"/>
  <c r="M52" i="4"/>
  <c r="O52" i="4"/>
  <c r="Q52" i="4"/>
  <c r="R52" i="4"/>
  <c r="S52" i="4"/>
  <c r="T52" i="4"/>
  <c r="V52" i="4"/>
  <c r="X52" i="4"/>
  <c r="Y52" i="4"/>
  <c r="Z52" i="4"/>
  <c r="AB52" i="4"/>
  <c r="AC52" i="4"/>
  <c r="F53" i="4"/>
  <c r="H53" i="4"/>
  <c r="I53" i="4"/>
  <c r="J53" i="4"/>
  <c r="M53" i="4"/>
  <c r="O53" i="4"/>
  <c r="Q53" i="4"/>
  <c r="R53" i="4"/>
  <c r="S53" i="4"/>
  <c r="T53" i="4"/>
  <c r="V53" i="4"/>
  <c r="X53" i="4"/>
  <c r="Y53" i="4"/>
  <c r="Z53" i="4"/>
  <c r="AB53" i="4"/>
  <c r="AC53" i="4"/>
  <c r="F54" i="4"/>
  <c r="H54" i="4"/>
  <c r="I54" i="4"/>
  <c r="J54" i="4"/>
  <c r="M54" i="4"/>
  <c r="O54" i="4"/>
  <c r="Q54" i="4"/>
  <c r="R54" i="4"/>
  <c r="S54" i="4"/>
  <c r="T54" i="4"/>
  <c r="V54" i="4"/>
  <c r="X54" i="4"/>
  <c r="Y54" i="4"/>
  <c r="Z54" i="4"/>
  <c r="AB54" i="4"/>
  <c r="AC54" i="4"/>
  <c r="F55" i="4"/>
  <c r="H55" i="4"/>
  <c r="I55" i="4"/>
  <c r="J55" i="4"/>
  <c r="M55" i="4"/>
  <c r="O55" i="4"/>
  <c r="Q55" i="4"/>
  <c r="R55" i="4"/>
  <c r="S55" i="4"/>
  <c r="T55" i="4"/>
  <c r="V55" i="4"/>
  <c r="X55" i="4"/>
  <c r="Y55" i="4"/>
  <c r="Z55" i="4"/>
  <c r="AB55" i="4"/>
  <c r="AC55" i="4"/>
  <c r="F56" i="4"/>
  <c r="H56" i="4"/>
  <c r="I56" i="4"/>
  <c r="J56" i="4"/>
  <c r="K56" i="4"/>
  <c r="M56" i="4"/>
  <c r="O56" i="4"/>
  <c r="Q56" i="4"/>
  <c r="R56" i="4"/>
  <c r="S56" i="4"/>
  <c r="T56" i="4"/>
  <c r="V56" i="4"/>
  <c r="X56" i="4"/>
  <c r="Y56" i="4"/>
  <c r="Z56" i="4"/>
  <c r="AB56" i="4"/>
  <c r="AC56" i="4"/>
  <c r="F57" i="4"/>
  <c r="H57" i="4"/>
  <c r="I57" i="4"/>
  <c r="J57" i="4"/>
  <c r="K57" i="4"/>
  <c r="M57" i="4"/>
  <c r="O57" i="4"/>
  <c r="Q57" i="4"/>
  <c r="R57" i="4"/>
  <c r="S57" i="4"/>
  <c r="T57" i="4"/>
  <c r="V57" i="4"/>
  <c r="X57" i="4"/>
  <c r="Y57" i="4"/>
  <c r="Z57" i="4"/>
  <c r="AB57" i="4"/>
  <c r="AC57" i="4"/>
  <c r="F58" i="4"/>
  <c r="H58" i="4"/>
  <c r="I58" i="4"/>
  <c r="J58" i="4"/>
  <c r="K58" i="4"/>
  <c r="M58" i="4"/>
  <c r="O58" i="4"/>
  <c r="Q58" i="4"/>
  <c r="R58" i="4"/>
  <c r="S58" i="4"/>
  <c r="T58" i="4"/>
  <c r="V58" i="4"/>
  <c r="X58" i="4"/>
  <c r="Y58" i="4"/>
  <c r="Z58" i="4"/>
  <c r="AB58" i="4"/>
  <c r="AC58" i="4"/>
  <c r="F59" i="4"/>
  <c r="H59" i="4"/>
  <c r="I59" i="4"/>
  <c r="J59" i="4"/>
  <c r="K59" i="4"/>
  <c r="M59" i="4"/>
  <c r="O59" i="4"/>
  <c r="Q59" i="4"/>
  <c r="R59" i="4"/>
  <c r="S59" i="4"/>
  <c r="T59" i="4"/>
  <c r="V59" i="4"/>
  <c r="X59" i="4"/>
  <c r="Y59" i="4"/>
  <c r="Z59" i="4"/>
  <c r="AB59" i="4"/>
  <c r="AC59" i="4"/>
  <c r="F60" i="4"/>
  <c r="H60" i="4"/>
  <c r="I60" i="4"/>
  <c r="J60" i="4"/>
  <c r="K60" i="4"/>
  <c r="M60" i="4"/>
  <c r="O60" i="4"/>
  <c r="Q60" i="4"/>
  <c r="R60" i="4"/>
  <c r="S60" i="4"/>
  <c r="T60" i="4"/>
  <c r="V60" i="4"/>
  <c r="X60" i="4"/>
  <c r="Y60" i="4"/>
  <c r="Z60" i="4"/>
  <c r="AB60" i="4"/>
  <c r="AC60" i="4"/>
  <c r="F61" i="4"/>
  <c r="H61" i="4"/>
  <c r="I61" i="4"/>
  <c r="J61" i="4"/>
  <c r="K61" i="4"/>
  <c r="M61" i="4"/>
  <c r="O61" i="4"/>
  <c r="Q61" i="4"/>
  <c r="R61" i="4"/>
  <c r="S61" i="4"/>
  <c r="T61" i="4"/>
  <c r="V61" i="4"/>
  <c r="X61" i="4"/>
  <c r="Y61" i="4"/>
  <c r="Z61" i="4"/>
  <c r="AB61" i="4"/>
  <c r="AC61" i="4"/>
  <c r="F62" i="4"/>
  <c r="H62" i="4"/>
  <c r="I62" i="4"/>
  <c r="J62" i="4"/>
  <c r="K62" i="4"/>
  <c r="M62" i="4"/>
  <c r="O62" i="4"/>
  <c r="Q62" i="4"/>
  <c r="R62" i="4"/>
  <c r="S62" i="4"/>
  <c r="T62" i="4"/>
  <c r="V62" i="4"/>
  <c r="X62" i="4"/>
  <c r="Y62" i="4"/>
  <c r="Z62" i="4"/>
  <c r="AB62" i="4"/>
  <c r="AC62" i="4"/>
  <c r="F63" i="4"/>
  <c r="H63" i="4"/>
  <c r="I63" i="4"/>
  <c r="J63" i="4"/>
  <c r="K63" i="4"/>
  <c r="M63" i="4"/>
  <c r="O63" i="4"/>
  <c r="Q63" i="4"/>
  <c r="R63" i="4"/>
  <c r="S63" i="4"/>
  <c r="T63" i="4"/>
  <c r="V63" i="4"/>
  <c r="X63" i="4"/>
  <c r="Y63" i="4"/>
  <c r="Z63" i="4"/>
  <c r="AB63" i="4"/>
  <c r="AC63" i="4"/>
  <c r="F64" i="4"/>
  <c r="H64" i="4"/>
  <c r="I64" i="4"/>
  <c r="J64" i="4"/>
  <c r="K64" i="4"/>
  <c r="M64" i="4"/>
  <c r="O64" i="4"/>
  <c r="Q64" i="4"/>
  <c r="R64" i="4"/>
  <c r="S64" i="4"/>
  <c r="T64" i="4"/>
  <c r="V64" i="4"/>
  <c r="X64" i="4"/>
  <c r="Y64" i="4"/>
  <c r="Z64" i="4"/>
  <c r="AB64" i="4"/>
  <c r="AC64" i="4"/>
  <c r="F65" i="4"/>
  <c r="H65" i="4"/>
  <c r="I65" i="4"/>
  <c r="J65" i="4"/>
  <c r="K65" i="4"/>
  <c r="M65" i="4"/>
  <c r="O65" i="4"/>
  <c r="Q65" i="4"/>
  <c r="R65" i="4"/>
  <c r="S65" i="4"/>
  <c r="T65" i="4"/>
  <c r="V65" i="4"/>
  <c r="X65" i="4"/>
  <c r="Y65" i="4"/>
  <c r="Z65" i="4"/>
  <c r="AB65" i="4"/>
  <c r="AC65" i="4"/>
  <c r="F66" i="4"/>
  <c r="H66" i="4"/>
  <c r="I66" i="4"/>
  <c r="J66" i="4"/>
  <c r="K66" i="4"/>
  <c r="M66" i="4"/>
  <c r="O66" i="4"/>
  <c r="Q66" i="4"/>
  <c r="R66" i="4"/>
  <c r="S66" i="4"/>
  <c r="T66" i="4"/>
  <c r="V66" i="4"/>
  <c r="X66" i="4"/>
  <c r="Y66" i="4"/>
  <c r="Z66" i="4"/>
  <c r="AB66" i="4"/>
  <c r="AC66" i="4"/>
  <c r="F67" i="4"/>
  <c r="H67" i="4"/>
  <c r="I67" i="4"/>
  <c r="J67" i="4"/>
  <c r="K67" i="4"/>
  <c r="M67" i="4"/>
  <c r="O67" i="4"/>
  <c r="Q67" i="4"/>
  <c r="R67" i="4"/>
  <c r="S67" i="4"/>
  <c r="T67" i="4"/>
  <c r="V67" i="4"/>
  <c r="X67" i="4"/>
  <c r="Y67" i="4"/>
  <c r="Z67" i="4"/>
  <c r="AB67" i="4"/>
  <c r="AC67" i="4"/>
  <c r="F68" i="4"/>
  <c r="H68" i="4"/>
  <c r="I68" i="4"/>
  <c r="J68" i="4"/>
  <c r="K68" i="4"/>
  <c r="M68" i="4"/>
  <c r="O68" i="4"/>
  <c r="Q68" i="4"/>
  <c r="R68" i="4"/>
  <c r="S68" i="4"/>
  <c r="T68" i="4"/>
  <c r="V68" i="4"/>
  <c r="X68" i="4"/>
  <c r="Y68" i="4"/>
  <c r="Z68" i="4"/>
  <c r="AB68" i="4"/>
  <c r="AC68" i="4"/>
  <c r="F69" i="4"/>
  <c r="H69" i="4"/>
  <c r="I69" i="4"/>
  <c r="J69" i="4"/>
  <c r="K69" i="4"/>
  <c r="M69" i="4"/>
  <c r="O69" i="4"/>
  <c r="Q69" i="4"/>
  <c r="R69" i="4"/>
  <c r="S69" i="4"/>
  <c r="T69" i="4"/>
  <c r="V69" i="4"/>
  <c r="X69" i="4"/>
  <c r="Y69" i="4"/>
  <c r="Z69" i="4"/>
  <c r="AB69" i="4"/>
  <c r="AC69" i="4"/>
  <c r="F70" i="4"/>
  <c r="H70" i="4"/>
  <c r="I70" i="4"/>
  <c r="J70" i="4"/>
  <c r="K70" i="4"/>
  <c r="M70" i="4"/>
  <c r="O70" i="4"/>
  <c r="Q70" i="4"/>
  <c r="R70" i="4"/>
  <c r="S70" i="4"/>
  <c r="T70" i="4"/>
  <c r="V70" i="4"/>
  <c r="X70" i="4"/>
  <c r="Y70" i="4"/>
  <c r="Z70" i="4"/>
  <c r="AB70" i="4"/>
  <c r="AC70" i="4"/>
  <c r="F71" i="4"/>
  <c r="H71" i="4"/>
  <c r="I71" i="4"/>
  <c r="J71" i="4"/>
  <c r="K71" i="4"/>
  <c r="M71" i="4"/>
  <c r="O71" i="4"/>
  <c r="Q71" i="4"/>
  <c r="R71" i="4"/>
  <c r="S71" i="4"/>
  <c r="T71" i="4"/>
  <c r="V71" i="4"/>
  <c r="X71" i="4"/>
  <c r="Y71" i="4"/>
  <c r="Z71" i="4"/>
  <c r="AB71" i="4"/>
  <c r="AC71" i="4"/>
  <c r="F72" i="4"/>
  <c r="H72" i="4"/>
  <c r="I72" i="4"/>
  <c r="J72" i="4"/>
  <c r="K72" i="4"/>
  <c r="M72" i="4"/>
  <c r="O72" i="4"/>
  <c r="Q72" i="4"/>
  <c r="R72" i="4"/>
  <c r="S72" i="4"/>
  <c r="T72" i="4"/>
  <c r="V72" i="4"/>
  <c r="X72" i="4"/>
  <c r="Y72" i="4"/>
  <c r="Z72" i="4"/>
  <c r="AB72" i="4"/>
  <c r="AC72" i="4"/>
  <c r="F73" i="4"/>
  <c r="H73" i="4"/>
  <c r="I73" i="4"/>
  <c r="J73" i="4"/>
  <c r="K73" i="4"/>
  <c r="M73" i="4"/>
  <c r="O73" i="4"/>
  <c r="Q73" i="4"/>
  <c r="R73" i="4"/>
  <c r="S73" i="4"/>
  <c r="T73" i="4"/>
  <c r="V73" i="4"/>
  <c r="X73" i="4"/>
  <c r="Y73" i="4"/>
  <c r="Z73" i="4"/>
  <c r="AB73" i="4"/>
  <c r="AC73" i="4"/>
  <c r="F74" i="4"/>
  <c r="H74" i="4"/>
  <c r="I74" i="4"/>
  <c r="J74" i="4"/>
  <c r="K74" i="4"/>
  <c r="M74" i="4"/>
  <c r="O74" i="4"/>
  <c r="Q74" i="4"/>
  <c r="R74" i="4"/>
  <c r="S74" i="4"/>
  <c r="T74" i="4"/>
  <c r="V74" i="4"/>
  <c r="X74" i="4"/>
  <c r="Y74" i="4"/>
  <c r="Z74" i="4"/>
  <c r="AB74" i="4"/>
  <c r="AC74" i="4"/>
  <c r="F75" i="4"/>
  <c r="H75" i="4"/>
  <c r="I75" i="4"/>
  <c r="J75" i="4"/>
  <c r="K75" i="4"/>
  <c r="M75" i="4"/>
  <c r="O75" i="4"/>
  <c r="Q75" i="4"/>
  <c r="R75" i="4"/>
  <c r="S75" i="4"/>
  <c r="T75" i="4"/>
  <c r="V75" i="4"/>
  <c r="X75" i="4"/>
  <c r="Y75" i="4"/>
  <c r="Z75" i="4"/>
  <c r="AB75" i="4"/>
  <c r="AC75" i="4"/>
  <c r="F76" i="4"/>
  <c r="H76" i="4"/>
  <c r="I76" i="4"/>
  <c r="J76" i="4"/>
  <c r="K76" i="4"/>
  <c r="M76" i="4"/>
  <c r="O76" i="4"/>
  <c r="Q76" i="4"/>
  <c r="R76" i="4"/>
  <c r="S76" i="4"/>
  <c r="T76" i="4"/>
  <c r="V76" i="4"/>
  <c r="X76" i="4"/>
  <c r="Y76" i="4"/>
  <c r="Z76" i="4"/>
  <c r="AB76" i="4"/>
  <c r="AC76" i="4"/>
  <c r="F77" i="4"/>
  <c r="H77" i="4"/>
  <c r="I77" i="4"/>
  <c r="J77" i="4"/>
  <c r="K77" i="4"/>
  <c r="M77" i="4"/>
  <c r="O77" i="4"/>
  <c r="Q77" i="4"/>
  <c r="R77" i="4"/>
  <c r="S77" i="4"/>
  <c r="T77" i="4"/>
  <c r="V77" i="4"/>
  <c r="X77" i="4"/>
  <c r="Y77" i="4"/>
  <c r="Z77" i="4"/>
  <c r="AB77" i="4"/>
  <c r="AC77" i="4"/>
  <c r="F78" i="4"/>
  <c r="H78" i="4"/>
  <c r="I78" i="4"/>
  <c r="J78" i="4"/>
  <c r="K78" i="4"/>
  <c r="M78" i="4"/>
  <c r="O78" i="4"/>
  <c r="Q78" i="4"/>
  <c r="R78" i="4"/>
  <c r="S78" i="4"/>
  <c r="T78" i="4"/>
  <c r="V78" i="4"/>
  <c r="X78" i="4"/>
  <c r="Y78" i="4"/>
  <c r="Z78" i="4"/>
  <c r="AB78" i="4"/>
  <c r="AC78" i="4"/>
  <c r="F79" i="4"/>
  <c r="H79" i="4"/>
  <c r="I79" i="4"/>
  <c r="J79" i="4"/>
  <c r="K79" i="4"/>
  <c r="M79" i="4"/>
  <c r="O79" i="4"/>
  <c r="Q79" i="4"/>
  <c r="R79" i="4"/>
  <c r="S79" i="4"/>
  <c r="T79" i="4"/>
  <c r="V79" i="4"/>
  <c r="X79" i="4"/>
  <c r="Y79" i="4"/>
  <c r="Z79" i="4"/>
  <c r="AB79" i="4"/>
  <c r="AC79" i="4"/>
  <c r="F80" i="4"/>
  <c r="H80" i="4"/>
  <c r="I80" i="4"/>
  <c r="J80" i="4"/>
  <c r="K80" i="4"/>
  <c r="M80" i="4"/>
  <c r="O80" i="4"/>
  <c r="Q80" i="4"/>
  <c r="R80" i="4"/>
  <c r="S80" i="4"/>
  <c r="T80" i="4"/>
  <c r="V80" i="4"/>
  <c r="X80" i="4"/>
  <c r="Y80" i="4"/>
  <c r="Z80" i="4"/>
  <c r="AB80" i="4"/>
  <c r="AC80" i="4"/>
  <c r="F81" i="4"/>
  <c r="H81" i="4"/>
  <c r="I81" i="4"/>
  <c r="J81" i="4"/>
  <c r="K81" i="4"/>
  <c r="M81" i="4"/>
  <c r="O81" i="4"/>
  <c r="Q81" i="4"/>
  <c r="R81" i="4"/>
  <c r="S81" i="4"/>
  <c r="T81" i="4"/>
  <c r="V81" i="4"/>
  <c r="X81" i="4"/>
  <c r="Y81" i="4"/>
  <c r="Z81" i="4"/>
  <c r="AB81" i="4"/>
  <c r="AC81" i="4"/>
  <c r="F82" i="4"/>
  <c r="H82" i="4"/>
  <c r="I82" i="4"/>
  <c r="J82" i="4"/>
  <c r="K82" i="4"/>
  <c r="M82" i="4"/>
  <c r="O82" i="4"/>
  <c r="Q82" i="4"/>
  <c r="R82" i="4"/>
  <c r="S82" i="4"/>
  <c r="T82" i="4"/>
  <c r="V82" i="4"/>
  <c r="X82" i="4"/>
  <c r="Y82" i="4"/>
  <c r="Z82" i="4"/>
  <c r="AB82" i="4"/>
  <c r="AC82" i="4"/>
  <c r="F83" i="4"/>
  <c r="H83" i="4"/>
  <c r="I83" i="4"/>
  <c r="J83" i="4"/>
  <c r="K83" i="4"/>
  <c r="M83" i="4"/>
  <c r="O83" i="4"/>
  <c r="Q83" i="4"/>
  <c r="R83" i="4"/>
  <c r="S83" i="4"/>
  <c r="T83" i="4"/>
  <c r="V83" i="4"/>
  <c r="X83" i="4"/>
  <c r="Y83" i="4"/>
  <c r="Z83" i="4"/>
  <c r="AB83" i="4"/>
  <c r="AC83" i="4"/>
  <c r="F84" i="4"/>
  <c r="H84" i="4"/>
  <c r="I84" i="4"/>
  <c r="J84" i="4"/>
  <c r="K84" i="4"/>
  <c r="M84" i="4"/>
  <c r="O84" i="4"/>
  <c r="Q84" i="4"/>
  <c r="R84" i="4"/>
  <c r="S84" i="4"/>
  <c r="T84" i="4"/>
  <c r="V84" i="4"/>
  <c r="X84" i="4"/>
  <c r="Y84" i="4"/>
  <c r="Z84" i="4"/>
  <c r="AB84" i="4"/>
  <c r="AC84" i="4"/>
  <c r="F85" i="4"/>
  <c r="H85" i="4"/>
  <c r="I85" i="4"/>
  <c r="J85" i="4"/>
  <c r="K85" i="4"/>
  <c r="M85" i="4"/>
  <c r="O85" i="4"/>
  <c r="Q85" i="4"/>
  <c r="R85" i="4"/>
  <c r="S85" i="4"/>
  <c r="T85" i="4"/>
  <c r="V85" i="4"/>
  <c r="X85" i="4"/>
  <c r="Y85" i="4"/>
  <c r="Z85" i="4"/>
  <c r="AB85" i="4"/>
  <c r="AC85" i="4"/>
  <c r="F86" i="4"/>
  <c r="H86" i="4"/>
  <c r="I86" i="4"/>
  <c r="J86" i="4"/>
  <c r="K86" i="4"/>
  <c r="M86" i="4"/>
  <c r="O86" i="4"/>
  <c r="Q86" i="4"/>
  <c r="R86" i="4"/>
  <c r="S86" i="4"/>
  <c r="T86" i="4"/>
  <c r="V86" i="4"/>
  <c r="X86" i="4"/>
  <c r="Y86" i="4"/>
  <c r="Z86" i="4"/>
  <c r="AB86" i="4"/>
  <c r="AC86" i="4"/>
  <c r="F87" i="4"/>
  <c r="H87" i="4"/>
  <c r="I87" i="4"/>
  <c r="J87" i="4"/>
  <c r="K87" i="4"/>
  <c r="M87" i="4"/>
  <c r="O87" i="4"/>
  <c r="Q87" i="4"/>
  <c r="R87" i="4"/>
  <c r="S87" i="4"/>
  <c r="T87" i="4"/>
  <c r="V87" i="4"/>
  <c r="X87" i="4"/>
  <c r="Y87" i="4"/>
  <c r="Z87" i="4"/>
  <c r="AB87" i="4"/>
  <c r="AC87" i="4"/>
  <c r="F88" i="4"/>
  <c r="H88" i="4"/>
  <c r="I88" i="4"/>
  <c r="J88" i="4"/>
  <c r="K88" i="4"/>
  <c r="M88" i="4"/>
  <c r="O88" i="4"/>
  <c r="Q88" i="4"/>
  <c r="R88" i="4"/>
  <c r="S88" i="4"/>
  <c r="T88" i="4"/>
  <c r="V88" i="4"/>
  <c r="X88" i="4"/>
  <c r="Y88" i="4"/>
  <c r="Z88" i="4"/>
  <c r="AB88" i="4"/>
  <c r="AC88" i="4"/>
  <c r="F89" i="4"/>
  <c r="H89" i="4"/>
  <c r="I89" i="4"/>
  <c r="J89" i="4"/>
  <c r="K89" i="4"/>
  <c r="M89" i="4"/>
  <c r="O89" i="4"/>
  <c r="Q89" i="4"/>
  <c r="R89" i="4"/>
  <c r="S89" i="4"/>
  <c r="T89" i="4"/>
  <c r="V89" i="4"/>
  <c r="X89" i="4"/>
  <c r="Y89" i="4"/>
  <c r="Z89" i="4"/>
  <c r="AB89" i="4"/>
  <c r="AC89" i="4"/>
  <c r="F90" i="4"/>
  <c r="H90" i="4"/>
  <c r="I90" i="4"/>
  <c r="J90" i="4"/>
  <c r="K90" i="4"/>
  <c r="M90" i="4"/>
  <c r="O90" i="4"/>
  <c r="Q90" i="4"/>
  <c r="R90" i="4"/>
  <c r="S90" i="4"/>
  <c r="T90" i="4"/>
  <c r="V90" i="4"/>
  <c r="X90" i="4"/>
  <c r="Y90" i="4"/>
  <c r="Z90" i="4"/>
  <c r="AB90" i="4"/>
  <c r="AC90" i="4"/>
  <c r="F91" i="4"/>
  <c r="H91" i="4"/>
  <c r="I91" i="4"/>
  <c r="J91" i="4"/>
  <c r="K91" i="4"/>
  <c r="M91" i="4"/>
  <c r="O91" i="4"/>
  <c r="Q91" i="4"/>
  <c r="R91" i="4"/>
  <c r="S91" i="4"/>
  <c r="T91" i="4"/>
  <c r="V91" i="4"/>
  <c r="X91" i="4"/>
  <c r="Y91" i="4"/>
  <c r="Z91" i="4"/>
  <c r="AB91" i="4"/>
  <c r="AC91" i="4"/>
  <c r="F92" i="4"/>
  <c r="H92" i="4"/>
  <c r="I92" i="4"/>
  <c r="J92" i="4"/>
  <c r="K92" i="4"/>
  <c r="M92" i="4"/>
  <c r="O92" i="4"/>
  <c r="Q92" i="4"/>
  <c r="R92" i="4"/>
  <c r="S92" i="4"/>
  <c r="T92" i="4"/>
  <c r="V92" i="4"/>
  <c r="X92" i="4"/>
  <c r="Y92" i="4"/>
  <c r="Z92" i="4"/>
  <c r="AB92" i="4"/>
  <c r="AC92" i="4"/>
  <c r="F93" i="4"/>
  <c r="H93" i="4"/>
  <c r="I93" i="4"/>
  <c r="J93" i="4"/>
  <c r="K93" i="4"/>
  <c r="M93" i="4"/>
  <c r="O93" i="4"/>
  <c r="Q93" i="4"/>
  <c r="R93" i="4"/>
  <c r="S93" i="4"/>
  <c r="T93" i="4"/>
  <c r="V93" i="4"/>
  <c r="X93" i="4"/>
  <c r="Y93" i="4"/>
  <c r="Z93" i="4"/>
  <c r="AB93" i="4"/>
  <c r="AC93" i="4"/>
  <c r="F94" i="4"/>
  <c r="H94" i="4"/>
  <c r="I94" i="4"/>
  <c r="J94" i="4"/>
  <c r="K94" i="4"/>
  <c r="M94" i="4"/>
  <c r="O94" i="4"/>
  <c r="Q94" i="4"/>
  <c r="R94" i="4"/>
  <c r="S94" i="4"/>
  <c r="T94" i="4"/>
  <c r="V94" i="4"/>
  <c r="X94" i="4"/>
  <c r="Y94" i="4"/>
  <c r="Z94" i="4"/>
  <c r="AB94" i="4"/>
  <c r="AC94" i="4"/>
  <c r="F95" i="4"/>
  <c r="H95" i="4"/>
  <c r="I95" i="4"/>
  <c r="J95" i="4"/>
  <c r="K95" i="4"/>
  <c r="M95" i="4"/>
  <c r="O95" i="4"/>
  <c r="Q95" i="4"/>
  <c r="R95" i="4"/>
  <c r="S95" i="4"/>
  <c r="T95" i="4"/>
  <c r="V95" i="4"/>
  <c r="X95" i="4"/>
  <c r="Y95" i="4"/>
  <c r="Z95" i="4"/>
  <c r="AB95" i="4"/>
  <c r="AC95" i="4"/>
  <c r="F96" i="4"/>
  <c r="H96" i="4"/>
  <c r="I96" i="4"/>
  <c r="J96" i="4"/>
  <c r="K96" i="4"/>
  <c r="M96" i="4"/>
  <c r="O96" i="4"/>
  <c r="Q96" i="4"/>
  <c r="R96" i="4"/>
  <c r="S96" i="4"/>
  <c r="T96" i="4"/>
  <c r="V96" i="4"/>
  <c r="X96" i="4"/>
  <c r="Y96" i="4"/>
  <c r="Z96" i="4"/>
  <c r="AB96" i="4"/>
  <c r="AC96" i="4"/>
  <c r="F97" i="4"/>
  <c r="H97" i="4"/>
  <c r="I97" i="4"/>
  <c r="J97" i="4"/>
  <c r="K97" i="4"/>
  <c r="M97" i="4"/>
  <c r="O97" i="4"/>
  <c r="Q97" i="4"/>
  <c r="R97" i="4"/>
  <c r="S97" i="4"/>
  <c r="T97" i="4"/>
  <c r="V97" i="4"/>
  <c r="X97" i="4"/>
  <c r="Y97" i="4"/>
  <c r="Z97" i="4"/>
  <c r="AB97" i="4"/>
  <c r="AC97" i="4"/>
  <c r="F98" i="4"/>
  <c r="H98" i="4"/>
  <c r="I98" i="4"/>
  <c r="J98" i="4"/>
  <c r="K98" i="4"/>
  <c r="M98" i="4"/>
  <c r="O98" i="4"/>
  <c r="Q98" i="4"/>
  <c r="R98" i="4"/>
  <c r="S98" i="4"/>
  <c r="T98" i="4"/>
  <c r="V98" i="4"/>
  <c r="X98" i="4"/>
  <c r="Y98" i="4"/>
  <c r="Z98" i="4"/>
  <c r="AB98" i="4"/>
  <c r="AC98" i="4"/>
  <c r="F99" i="4"/>
  <c r="H99" i="4"/>
  <c r="I99" i="4"/>
  <c r="J99" i="4"/>
  <c r="K99" i="4"/>
  <c r="M99" i="4"/>
  <c r="O99" i="4"/>
  <c r="Q99" i="4"/>
  <c r="R99" i="4"/>
  <c r="S99" i="4"/>
  <c r="T99" i="4"/>
  <c r="V99" i="4"/>
  <c r="X99" i="4"/>
  <c r="Y99" i="4"/>
  <c r="Z99" i="4"/>
  <c r="AB99" i="4"/>
  <c r="AC99" i="4"/>
  <c r="F100" i="4"/>
  <c r="H100" i="4"/>
  <c r="I100" i="4"/>
  <c r="J100" i="4"/>
  <c r="K100" i="4"/>
  <c r="M100" i="4"/>
  <c r="O100" i="4"/>
  <c r="Q100" i="4"/>
  <c r="R100" i="4"/>
  <c r="S100" i="4"/>
  <c r="T100" i="4"/>
  <c r="V100" i="4"/>
  <c r="X100" i="4"/>
  <c r="Y100" i="4"/>
  <c r="Z100" i="4"/>
  <c r="AB100" i="4"/>
  <c r="AC100" i="4"/>
  <c r="F101" i="4"/>
  <c r="H101" i="4"/>
  <c r="I101" i="4"/>
  <c r="J101" i="4"/>
  <c r="K101" i="4"/>
  <c r="M101" i="4"/>
  <c r="O101" i="4"/>
  <c r="Q101" i="4"/>
  <c r="R101" i="4"/>
  <c r="S101" i="4"/>
  <c r="T101" i="4"/>
  <c r="V101" i="4"/>
  <c r="X101" i="4"/>
  <c r="Y101" i="4"/>
  <c r="Z101" i="4"/>
  <c r="AB101" i="4"/>
  <c r="AC101" i="4"/>
  <c r="F102" i="4"/>
  <c r="H102" i="4"/>
  <c r="I102" i="4"/>
  <c r="J102" i="4"/>
  <c r="K102" i="4"/>
  <c r="M102" i="4"/>
  <c r="O102" i="4"/>
  <c r="Q102" i="4"/>
  <c r="R102" i="4"/>
  <c r="S102" i="4"/>
  <c r="T102" i="4"/>
  <c r="V102" i="4"/>
  <c r="X102" i="4"/>
  <c r="Y102" i="4"/>
  <c r="Z102" i="4"/>
  <c r="AB102" i="4"/>
  <c r="AC102" i="4"/>
  <c r="F103" i="4"/>
  <c r="H103" i="4"/>
  <c r="I103" i="4"/>
  <c r="J103" i="4"/>
  <c r="K103" i="4"/>
  <c r="M103" i="4"/>
  <c r="O103" i="4"/>
  <c r="Q103" i="4"/>
  <c r="R103" i="4"/>
  <c r="S103" i="4"/>
  <c r="T103" i="4"/>
  <c r="V103" i="4"/>
  <c r="X103" i="4"/>
  <c r="Y103" i="4"/>
  <c r="Z103" i="4"/>
  <c r="AB103" i="4"/>
  <c r="AC103" i="4"/>
  <c r="F104" i="4"/>
  <c r="H104" i="4"/>
  <c r="I104" i="4"/>
  <c r="J104" i="4"/>
  <c r="K104" i="4"/>
  <c r="M104" i="4"/>
  <c r="O104" i="4"/>
  <c r="Q104" i="4"/>
  <c r="R104" i="4"/>
  <c r="S104" i="4"/>
  <c r="T104" i="4"/>
  <c r="V104" i="4"/>
  <c r="X104" i="4"/>
  <c r="Y104" i="4"/>
  <c r="Z104" i="4"/>
  <c r="AB104" i="4"/>
  <c r="AC104" i="4"/>
  <c r="F105" i="4"/>
  <c r="H105" i="4"/>
  <c r="I105" i="4"/>
  <c r="J105" i="4"/>
  <c r="K105" i="4"/>
  <c r="M105" i="4"/>
  <c r="O105" i="4"/>
  <c r="Q105" i="4"/>
  <c r="R105" i="4"/>
  <c r="S105" i="4"/>
  <c r="T105" i="4"/>
  <c r="V105" i="4"/>
  <c r="X105" i="4"/>
  <c r="Y105" i="4"/>
  <c r="Z105" i="4"/>
  <c r="AB105" i="4"/>
  <c r="AC105" i="4"/>
  <c r="F106" i="4"/>
  <c r="H106" i="4"/>
  <c r="I106" i="4"/>
  <c r="J106" i="4"/>
  <c r="K106" i="4"/>
  <c r="M106" i="4"/>
  <c r="O106" i="4"/>
  <c r="Q106" i="4"/>
  <c r="R106" i="4"/>
  <c r="S106" i="4"/>
  <c r="T106" i="4"/>
  <c r="V106" i="4"/>
  <c r="X106" i="4"/>
  <c r="Y106" i="4"/>
  <c r="Z106" i="4"/>
  <c r="AB106" i="4"/>
  <c r="AC106" i="4"/>
  <c r="F107" i="4"/>
  <c r="H107" i="4"/>
  <c r="I107" i="4"/>
  <c r="J107" i="4"/>
  <c r="K107" i="4"/>
  <c r="M107" i="4"/>
  <c r="O107" i="4"/>
  <c r="Q107" i="4"/>
  <c r="R107" i="4"/>
  <c r="S107" i="4"/>
  <c r="T107" i="4"/>
  <c r="V107" i="4"/>
  <c r="X107" i="4"/>
  <c r="Y107" i="4"/>
  <c r="Z107" i="4"/>
  <c r="AB107" i="4"/>
  <c r="AC107" i="4"/>
  <c r="C10" i="7"/>
  <c r="D10" i="7"/>
  <c r="E10" i="7"/>
  <c r="F10" i="7"/>
  <c r="C12" i="7"/>
  <c r="D12" i="7"/>
  <c r="E12" i="7"/>
  <c r="F12" i="7"/>
  <c r="C14" i="7"/>
  <c r="E14" i="7"/>
  <c r="F14" i="7"/>
  <c r="C16" i="7"/>
  <c r="D16" i="7"/>
  <c r="E16" i="7"/>
  <c r="F16" i="7"/>
  <c r="H21" i="7"/>
  <c r="C25" i="7"/>
  <c r="A26" i="7"/>
  <c r="C26" i="7"/>
  <c r="E26" i="7"/>
  <c r="F26" i="7"/>
  <c r="C29" i="7"/>
</calcChain>
</file>

<file path=xl/sharedStrings.xml><?xml version="1.0" encoding="utf-8"?>
<sst xmlns="http://schemas.openxmlformats.org/spreadsheetml/2006/main" count="406" uniqueCount="362">
  <si>
    <t>After tax</t>
  </si>
  <si>
    <t>401-K</t>
  </si>
  <si>
    <t xml:space="preserve">        Total</t>
  </si>
  <si>
    <t>ESOP</t>
  </si>
  <si>
    <t xml:space="preserve">    CSCO</t>
  </si>
  <si>
    <t xml:space="preserve">    AXP</t>
  </si>
  <si>
    <t xml:space="preserve">    GE</t>
  </si>
  <si>
    <t xml:space="preserve">       Total S. B.</t>
  </si>
  <si>
    <t>IRA</t>
  </si>
  <si>
    <t xml:space="preserve">   Schwab-Phillip</t>
  </si>
  <si>
    <t xml:space="preserve">   Schwab-Heather</t>
  </si>
  <si>
    <t xml:space="preserve">      Total College</t>
  </si>
  <si>
    <t xml:space="preserve">Janus </t>
  </si>
  <si>
    <t xml:space="preserve">   Twenty</t>
  </si>
  <si>
    <t xml:space="preserve">   Mercury</t>
  </si>
  <si>
    <t xml:space="preserve">   Enterprise</t>
  </si>
  <si>
    <t xml:space="preserve">     Total Janus</t>
  </si>
  <si>
    <t>2nd Baptist</t>
  </si>
  <si>
    <t xml:space="preserve">   Fidelity Magellan</t>
  </si>
  <si>
    <t xml:space="preserve">   Fidelity Contrafund</t>
  </si>
  <si>
    <t xml:space="preserve">   Fidelity Pacific Basin</t>
  </si>
  <si>
    <t xml:space="preserve">      Total</t>
  </si>
  <si>
    <t>Long Term Comp</t>
  </si>
  <si>
    <t>Grand Total</t>
  </si>
  <si>
    <t>TOTAL UNEARNED</t>
  </si>
  <si>
    <t>Adjusted Total</t>
  </si>
  <si>
    <t>after tax</t>
  </si>
  <si>
    <t xml:space="preserve">   MSFT</t>
  </si>
  <si>
    <t>WCOM</t>
  </si>
  <si>
    <t>House</t>
  </si>
  <si>
    <t>ENE</t>
  </si>
  <si>
    <t>American Century Mutual Fund</t>
  </si>
  <si>
    <t xml:space="preserve">   022-001060395</t>
  </si>
  <si>
    <t xml:space="preserve">   022-001562819</t>
  </si>
  <si>
    <t>3/31/99</t>
  </si>
  <si>
    <t xml:space="preserve">    C</t>
  </si>
  <si>
    <t>SMITH BARNEY(104-17191-11 467)</t>
  </si>
  <si>
    <t>Vanguard Index 500 (9900359140)</t>
  </si>
  <si>
    <t>4/21/99</t>
  </si>
  <si>
    <t>Futures Account(ED&amp;F Man 816 006 00569)</t>
  </si>
  <si>
    <t>Deferral Plan 463-06-5796</t>
  </si>
  <si>
    <t>WATERHOUSE(350-39877-1-5)</t>
  </si>
  <si>
    <t>Stage Coach Inn</t>
  </si>
  <si>
    <t>Total</t>
  </si>
  <si>
    <t>Goal</t>
  </si>
  <si>
    <t>Education</t>
  </si>
  <si>
    <t>Real Estate</t>
  </si>
  <si>
    <t>12.31.99</t>
  </si>
  <si>
    <t>1.14.00</t>
  </si>
  <si>
    <t>total</t>
  </si>
  <si>
    <t>Bonds</t>
  </si>
  <si>
    <t>2/01/2002</t>
  </si>
  <si>
    <t>Slab</t>
  </si>
  <si>
    <t>Windows</t>
  </si>
  <si>
    <t>roof</t>
  </si>
  <si>
    <t>exterior</t>
  </si>
  <si>
    <t>a/c</t>
  </si>
  <si>
    <t>plumb</t>
  </si>
  <si>
    <t>electric</t>
  </si>
  <si>
    <t>floor</t>
  </si>
  <si>
    <t>appliances</t>
  </si>
  <si>
    <t>lights&amp;fans</t>
  </si>
  <si>
    <t>sheetrock</t>
  </si>
  <si>
    <t>trim</t>
  </si>
  <si>
    <t>garage door</t>
  </si>
  <si>
    <t>paint</t>
  </si>
  <si>
    <t>insulation</t>
  </si>
  <si>
    <t>driveway</t>
  </si>
  <si>
    <t>landscape</t>
  </si>
  <si>
    <t>00 OPT</t>
  </si>
  <si>
    <t>Cash Plan</t>
  </si>
  <si>
    <t>cabinet-kitchen</t>
  </si>
  <si>
    <t>counter-kitchen</t>
  </si>
  <si>
    <t>.</t>
  </si>
  <si>
    <t>Work</t>
  </si>
  <si>
    <t>Family</t>
  </si>
  <si>
    <t>Play</t>
  </si>
  <si>
    <t>Charity</t>
  </si>
  <si>
    <t>Teach</t>
  </si>
  <si>
    <t>Own Prop.</t>
  </si>
  <si>
    <t>Real Est.</t>
  </si>
  <si>
    <t>Develop</t>
  </si>
  <si>
    <t>House Bldr</t>
  </si>
  <si>
    <t>Coach</t>
  </si>
  <si>
    <t>Camp</t>
  </si>
  <si>
    <t>Tennis</t>
  </si>
  <si>
    <t>Golf</t>
  </si>
  <si>
    <t>Lots of time</t>
  </si>
  <si>
    <t>Exercise</t>
  </si>
  <si>
    <t>Bike</t>
  </si>
  <si>
    <t>Golf/Tennis</t>
  </si>
  <si>
    <t>Money</t>
  </si>
  <si>
    <t>Time</t>
  </si>
  <si>
    <t>Church</t>
  </si>
  <si>
    <t>Dream day</t>
  </si>
  <si>
    <t>Take kids to practice</t>
  </si>
  <si>
    <t>5:30-7:00</t>
  </si>
  <si>
    <t>Dinner/Clean up</t>
  </si>
  <si>
    <t>7:00-9:00</t>
  </si>
  <si>
    <t>9:00</t>
  </si>
  <si>
    <t>Bed time</t>
  </si>
  <si>
    <t>6:00-7:15</t>
  </si>
  <si>
    <t>Breakfast &amp; Dressed</t>
  </si>
  <si>
    <t>12:00-1:00</t>
  </si>
  <si>
    <t>1:00-3:00</t>
  </si>
  <si>
    <t>Afternoon Activity</t>
  </si>
  <si>
    <t>3:30-5:30</t>
  </si>
  <si>
    <t>Homework/Relax</t>
  </si>
  <si>
    <t>Trade</t>
  </si>
  <si>
    <t>Summer trips</t>
  </si>
  <si>
    <t>H-dream house</t>
  </si>
  <si>
    <t>earnings</t>
  </si>
  <si>
    <t>beg. Princ</t>
  </si>
  <si>
    <t>qqq</t>
  </si>
  <si>
    <t>Real Estate Tax</t>
  </si>
  <si>
    <t>House Insurance</t>
  </si>
  <si>
    <t>Electric</t>
  </si>
  <si>
    <t>Phone</t>
  </si>
  <si>
    <t>Gas</t>
  </si>
  <si>
    <t>Internet</t>
  </si>
  <si>
    <t>Water</t>
  </si>
  <si>
    <t>Car Insurance</t>
  </si>
  <si>
    <t>Car Maintenance</t>
  </si>
  <si>
    <t>Groceries</t>
  </si>
  <si>
    <t>Entertain</t>
  </si>
  <si>
    <t>Clothes</t>
  </si>
  <si>
    <t>Household</t>
  </si>
  <si>
    <t>Medical</t>
  </si>
  <si>
    <t>Vacation</t>
  </si>
  <si>
    <t>Gifts</t>
  </si>
  <si>
    <t>X-mas</t>
  </si>
  <si>
    <t>Total Monthly</t>
  </si>
  <si>
    <t>Total Annual</t>
  </si>
  <si>
    <t>Stocks</t>
  </si>
  <si>
    <t>Property</t>
  </si>
  <si>
    <t>Bishop</t>
  </si>
  <si>
    <t>San Antonio</t>
  </si>
  <si>
    <t>123</t>
  </si>
  <si>
    <t>Townhouse</t>
  </si>
  <si>
    <t>Scott</t>
  </si>
  <si>
    <t>Harvey</t>
  </si>
  <si>
    <t xml:space="preserve">  Total</t>
  </si>
  <si>
    <t xml:space="preserve">Proposed </t>
  </si>
  <si>
    <t>Kids School</t>
  </si>
  <si>
    <t>Kids Activities</t>
  </si>
  <si>
    <t>Pool/Country Club</t>
  </si>
  <si>
    <t>Misc</t>
  </si>
  <si>
    <t>drawdown</t>
  </si>
  <si>
    <t>income required</t>
  </si>
  <si>
    <t>Years before 55</t>
  </si>
  <si>
    <t>inflation rate</t>
  </si>
  <si>
    <t>tax</t>
  </si>
  <si>
    <t>Music Lesson</t>
  </si>
  <si>
    <t>8/00 options</t>
  </si>
  <si>
    <t>Gas/Propane</t>
  </si>
  <si>
    <t>AMGN</t>
  </si>
  <si>
    <t>JDSU</t>
  </si>
  <si>
    <t>CLRS</t>
  </si>
  <si>
    <t>NT</t>
  </si>
  <si>
    <t>2/01/2003</t>
  </si>
  <si>
    <t>Retirement(Stock)</t>
  </si>
  <si>
    <t>QQQ</t>
  </si>
  <si>
    <t>CASH</t>
  </si>
  <si>
    <t>MSFT</t>
  </si>
  <si>
    <t>SPY</t>
  </si>
  <si>
    <t>RETIREMENT</t>
  </si>
  <si>
    <t>INCOME</t>
  </si>
  <si>
    <t>COLLEGE</t>
  </si>
  <si>
    <t>San Marcos</t>
  </si>
  <si>
    <t>Jan 02 vesting</t>
  </si>
  <si>
    <t xml:space="preserve">   total</t>
  </si>
  <si>
    <t>4 baths</t>
  </si>
  <si>
    <t>fireplaces</t>
  </si>
  <si>
    <t>stairs+railings</t>
  </si>
  <si>
    <t>02 Bonus</t>
  </si>
  <si>
    <t>design</t>
  </si>
  <si>
    <t>contractor fee</t>
  </si>
  <si>
    <t>minimum</t>
  </si>
  <si>
    <t>goal</t>
  </si>
  <si>
    <t>Accountant</t>
  </si>
  <si>
    <t xml:space="preserve">Habitat </t>
  </si>
  <si>
    <t>per unit cost</t>
  </si>
  <si>
    <t>interior doors</t>
  </si>
  <si>
    <t>exterior doors</t>
  </si>
  <si>
    <t># of units</t>
  </si>
  <si>
    <t>Total cost</t>
  </si>
  <si>
    <t>Per sq. ft.</t>
  </si>
  <si>
    <t xml:space="preserve"> </t>
  </si>
  <si>
    <t>Enron??</t>
  </si>
  <si>
    <t>1/01 options</t>
  </si>
  <si>
    <t>1/01 PHANT</t>
  </si>
  <si>
    <t>1/2002</t>
  </si>
  <si>
    <t>1/2003</t>
  </si>
  <si>
    <t>strike</t>
  </si>
  <si>
    <t>1/2004</t>
  </si>
  <si>
    <t>8/2002</t>
  </si>
  <si>
    <t>1/02 $90 calls</t>
  </si>
  <si>
    <t>ene shares</t>
  </si>
  <si>
    <t>00 bonus phan.</t>
  </si>
  <si>
    <t>outside w</t>
  </si>
  <si>
    <t>inside w</t>
  </si>
  <si>
    <t>end wall</t>
  </si>
  <si>
    <t>garage doors</t>
  </si>
  <si>
    <t>ext door</t>
  </si>
  <si>
    <t>windows</t>
  </si>
  <si>
    <t>Boating</t>
  </si>
  <si>
    <t>Goals</t>
  </si>
  <si>
    <t>More family time</t>
  </si>
  <si>
    <t>Less stress</t>
  </si>
  <si>
    <t>Leave Houston</t>
  </si>
  <si>
    <t>More outdoor activity</t>
  </si>
  <si>
    <t>Heather's dream house</t>
  </si>
  <si>
    <t>More church/volunteer time</t>
  </si>
  <si>
    <t>Hobbies</t>
  </si>
  <si>
    <t>Find enjoyable part time work</t>
  </si>
  <si>
    <t>01 deferred Salary</t>
  </si>
  <si>
    <t>7:15-8:15</t>
  </si>
  <si>
    <t>8:30-12:00</t>
  </si>
  <si>
    <t>=</t>
  </si>
  <si>
    <t>subtotal</t>
  </si>
  <si>
    <t>total if phantom</t>
  </si>
  <si>
    <t>1/02 $70 calls</t>
  </si>
  <si>
    <t>1/02 $50 calls</t>
  </si>
  <si>
    <t>Deep in Money</t>
  </si>
  <si>
    <t>Out of Money</t>
  </si>
  <si>
    <t>Short Jan 02 $90 calls</t>
  </si>
  <si>
    <t>land</t>
  </si>
  <si>
    <t>case 1</t>
  </si>
  <si>
    <t>case 2</t>
  </si>
  <si>
    <t>interim</t>
  </si>
  <si>
    <t>common areas</t>
  </si>
  <si>
    <t>sitework</t>
  </si>
  <si>
    <t>unit cost</t>
  </si>
  <si>
    <t>cost/unit (134)</t>
  </si>
  <si>
    <t>loan amount(80%cost)</t>
  </si>
  <si>
    <t>profit &amp; overhead(15%)</t>
  </si>
  <si>
    <t>NOI</t>
  </si>
  <si>
    <t>appraisal</t>
  </si>
  <si>
    <t>perm. Loan amount</t>
  </si>
  <si>
    <t>debt service</t>
  </si>
  <si>
    <t>cash after d.s.</t>
  </si>
  <si>
    <t>invested equity</t>
  </si>
  <si>
    <t>value</t>
  </si>
  <si>
    <t>Gutters</t>
  </si>
  <si>
    <t>Porches</t>
  </si>
  <si>
    <t>98 Phantom</t>
  </si>
  <si>
    <t>97 Phantom</t>
  </si>
  <si>
    <t>99 Phantom</t>
  </si>
  <si>
    <t>HOUSE</t>
  </si>
  <si>
    <t>3/01 restricted</t>
  </si>
  <si>
    <t>3/01 options(60)</t>
  </si>
  <si>
    <t>2/01/2004</t>
  </si>
  <si>
    <t>2/01/2005</t>
  </si>
  <si>
    <t>Perimeter Panels</t>
  </si>
  <si>
    <t>Roof Panels</t>
  </si>
  <si>
    <t>Frame Materials</t>
  </si>
  <si>
    <t>Frame Labor</t>
  </si>
  <si>
    <t>air exchanger</t>
  </si>
  <si>
    <t>Panel Beams</t>
  </si>
  <si>
    <t>Trash &amp; Clean up</t>
  </si>
  <si>
    <t>Insurance</t>
  </si>
  <si>
    <t>Hard cost-subtotal</t>
  </si>
  <si>
    <t>Cabinet-wetbar</t>
  </si>
  <si>
    <t>Counter-wetbar</t>
  </si>
  <si>
    <t>Appliance -wetbar</t>
  </si>
  <si>
    <t>Cabinet-entertainment</t>
  </si>
  <si>
    <t>Bookshelves(living)</t>
  </si>
  <si>
    <t>Computer Nook</t>
  </si>
  <si>
    <t>Job toilet</t>
  </si>
  <si>
    <t>Office desk</t>
  </si>
  <si>
    <t>Sound board</t>
  </si>
  <si>
    <t>Trade?</t>
  </si>
  <si>
    <t>sell leander</t>
  </si>
  <si>
    <t>site work on bishop corner</t>
  </si>
  <si>
    <t>close bishop corner</t>
  </si>
  <si>
    <t>buy lot</t>
  </si>
  <si>
    <t>sell lot</t>
  </si>
  <si>
    <t>build house</t>
  </si>
  <si>
    <t>Investments</t>
  </si>
  <si>
    <t>Pool</t>
  </si>
  <si>
    <t>Land</t>
  </si>
  <si>
    <t>Per Square foot</t>
  </si>
  <si>
    <t>Leander</t>
  </si>
  <si>
    <t>Sales Price</t>
  </si>
  <si>
    <t>Road Escrow</t>
  </si>
  <si>
    <t>Commission</t>
  </si>
  <si>
    <t>Other Fees</t>
  </si>
  <si>
    <t>Loan</t>
  </si>
  <si>
    <t>Net Cash</t>
  </si>
  <si>
    <t>Gain</t>
  </si>
  <si>
    <t>tax on gain</t>
  </si>
  <si>
    <t>Subtotal</t>
  </si>
  <si>
    <t>Keith Share</t>
  </si>
  <si>
    <t>My share</t>
  </si>
  <si>
    <t>Taxes</t>
  </si>
  <si>
    <t>Cash on hand</t>
  </si>
  <si>
    <t>close new braunfels</t>
  </si>
  <si>
    <t>age</t>
  </si>
  <si>
    <t>Paine Webber</t>
  </si>
  <si>
    <t>Short Jan 02 $60 calls</t>
  </si>
  <si>
    <t>3/12/01</t>
  </si>
  <si>
    <t>Short Jan 02 $70 calls</t>
  </si>
  <si>
    <t>3/19/01</t>
  </si>
  <si>
    <t>4/16/01</t>
  </si>
  <si>
    <t>Short Jan 02 $80 calls</t>
  </si>
  <si>
    <t>1/23/01</t>
  </si>
  <si>
    <t>Short Jan 02 $50 puts</t>
  </si>
  <si>
    <t>Short Jan 02 $50 calls</t>
  </si>
  <si>
    <t>6/19/01</t>
  </si>
  <si>
    <t>Jan 2002</t>
  </si>
  <si>
    <t>Jan 2003</t>
  </si>
  <si>
    <t>6/7/01</t>
  </si>
  <si>
    <t>Short Jan 03 $45 calls</t>
  </si>
  <si>
    <t>Short Jan 03 $60 calls</t>
  </si>
  <si>
    <t>6/14/01</t>
  </si>
  <si>
    <t>Short Jan 03 $65 calls</t>
  </si>
  <si>
    <t>Short Jan 03 $75 calls</t>
  </si>
  <si>
    <t>6/6/01</t>
  </si>
  <si>
    <t>Short Jan 03 $50 calls</t>
  </si>
  <si>
    <t>US Treasury Notes</t>
  </si>
  <si>
    <t>Leander Land</t>
  </si>
  <si>
    <t>Per Paine Weber</t>
  </si>
  <si>
    <t>Option Premium</t>
  </si>
  <si>
    <t>After Tax Paine Webber</t>
  </si>
  <si>
    <t>Difference from detail</t>
  </si>
  <si>
    <t>Premium</t>
  </si>
  <si>
    <t xml:space="preserve">  Compass Bank (0077056025)</t>
  </si>
  <si>
    <t>Pre tax</t>
  </si>
  <si>
    <t>Intrinsic</t>
  </si>
  <si>
    <t>Value</t>
  </si>
  <si>
    <t>Bishops Corner</t>
  </si>
  <si>
    <t>AETNA 4504795869998</t>
  </si>
  <si>
    <t>Account Value</t>
  </si>
  <si>
    <t>Remaining Option Premium</t>
  </si>
  <si>
    <t>Tax on Gains</t>
  </si>
  <si>
    <t>Account</t>
  </si>
  <si>
    <t>Date</t>
  </si>
  <si>
    <t>98 OPT-1/31/02 vest</t>
  </si>
  <si>
    <t>98 OPT-1/31/03 vest</t>
  </si>
  <si>
    <t>99 OPT-1/31/02 vest</t>
  </si>
  <si>
    <t>97 OPT-1/31/02 vest</t>
  </si>
  <si>
    <t>99 OPT-1/31/03 vest</t>
  </si>
  <si>
    <t>99 OPT-1/31/04 vest</t>
  </si>
  <si>
    <t>Bond Income</t>
  </si>
  <si>
    <t>Aggressive Capital</t>
  </si>
  <si>
    <t>Money Markets(plug to make d45 equal 0)</t>
  </si>
  <si>
    <t>Retirement Funds</t>
  </si>
  <si>
    <t>Return</t>
  </si>
  <si>
    <t>Tax rate</t>
  </si>
  <si>
    <t>Age</t>
  </si>
  <si>
    <t>Front door</t>
  </si>
  <si>
    <t xml:space="preserve">Water tap &amp; electic </t>
  </si>
  <si>
    <t>Permits</t>
  </si>
  <si>
    <t>Septic</t>
  </si>
  <si>
    <t xml:space="preserve">Grow investments($10 by 40, $25 by 50) </t>
  </si>
  <si>
    <t>Lunch&amp;run/bike</t>
  </si>
  <si>
    <t>Exercise(lift)</t>
  </si>
  <si>
    <t>My share of taxes</t>
  </si>
  <si>
    <t>My after tax gain</t>
  </si>
  <si>
    <t>checking</t>
  </si>
  <si>
    <t>smith barney</t>
  </si>
  <si>
    <t>paine webber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</si>
</sst>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_)"/>
    <numFmt numFmtId="166" formatCode="0.0_)"/>
    <numFmt numFmtId="171" formatCode="_(* #,##0_);_(* \(#,##0\);_(* &quot;-&quot;??_);_(@_)"/>
    <numFmt numFmtId="172" formatCode="0.0%"/>
    <numFmt numFmtId="177" formatCode="0.000_)"/>
    <numFmt numFmtId="179" formatCode="mm/dd/yy"/>
  </numFmts>
  <fonts count="13">
    <font>
      <sz val="12"/>
      <name val="Arial MT"/>
    </font>
    <font>
      <sz val="10"/>
      <name val="Arial"/>
    </font>
    <font>
      <sz val="12"/>
      <color indexed="8"/>
      <name val="Arial MT"/>
    </font>
    <font>
      <u/>
      <sz val="12"/>
      <color indexed="8"/>
      <name val="Arial MT"/>
    </font>
    <font>
      <sz val="12"/>
      <color indexed="10"/>
      <name val="Arial MT"/>
    </font>
    <font>
      <b/>
      <sz val="12"/>
      <color indexed="8"/>
      <name val="Arial MT"/>
    </font>
    <font>
      <b/>
      <u/>
      <sz val="12"/>
      <name val="Arial MT"/>
    </font>
    <font>
      <b/>
      <sz val="12"/>
      <name val="Arial MT"/>
    </font>
    <font>
      <u/>
      <sz val="12"/>
      <name val="Arial MT"/>
    </font>
    <font>
      <sz val="12"/>
      <name val="Arial MT"/>
    </font>
    <font>
      <b/>
      <u val="singleAccounting"/>
      <sz val="12"/>
      <name val="Arial MT"/>
    </font>
    <font>
      <u val="singleAccounting"/>
      <sz val="12"/>
      <name val="Arial MT"/>
    </font>
    <font>
      <b/>
      <u val="singleAccounting"/>
      <sz val="12"/>
      <color indexed="8"/>
      <name val="Arial MT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165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6">
    <xf numFmtId="165" fontId="0" fillId="0" borderId="0" xfId="0"/>
    <xf numFmtId="165" fontId="0" fillId="0" borderId="0" xfId="0" quotePrefix="1"/>
    <xf numFmtId="165" fontId="7" fillId="0" borderId="0" xfId="0" applyFont="1"/>
    <xf numFmtId="9" fontId="0" fillId="0" borderId="0" xfId="3" applyFont="1"/>
    <xf numFmtId="165" fontId="8" fillId="0" borderId="0" xfId="0" applyFont="1"/>
    <xf numFmtId="171" fontId="0" fillId="0" borderId="0" xfId="1" applyNumberFormat="1" applyFont="1"/>
    <xf numFmtId="171" fontId="10" fillId="0" borderId="0" xfId="1" applyNumberFormat="1" applyFont="1"/>
    <xf numFmtId="165" fontId="6" fillId="0" borderId="0" xfId="0" applyFont="1"/>
    <xf numFmtId="172" fontId="0" fillId="0" borderId="0" xfId="3" applyNumberFormat="1" applyFont="1"/>
    <xf numFmtId="165" fontId="0" fillId="0" borderId="0" xfId="0" applyNumberFormat="1"/>
    <xf numFmtId="171" fontId="0" fillId="2" borderId="0" xfId="1" applyNumberFormat="1" applyFont="1" applyFill="1"/>
    <xf numFmtId="165" fontId="0" fillId="0" borderId="0" xfId="0" applyAlignment="1">
      <alignment horizontal="center"/>
    </xf>
    <xf numFmtId="171" fontId="0" fillId="3" borderId="0" xfId="1" applyNumberFormat="1" applyFont="1" applyFill="1"/>
    <xf numFmtId="165" fontId="8" fillId="0" borderId="0" xfId="0" applyNumberFormat="1" applyFont="1" applyProtection="1"/>
    <xf numFmtId="165" fontId="0" fillId="0" borderId="0" xfId="0" applyNumberFormat="1" applyProtection="1"/>
    <xf numFmtId="166" fontId="0" fillId="0" borderId="0" xfId="0" applyNumberFormat="1"/>
    <xf numFmtId="44" fontId="0" fillId="0" borderId="0" xfId="2" applyFont="1"/>
    <xf numFmtId="171" fontId="11" fillId="0" borderId="0" xfId="1" applyNumberFormat="1" applyFont="1"/>
    <xf numFmtId="171" fontId="0" fillId="0" borderId="0" xfId="1" applyNumberFormat="1" applyFont="1" applyAlignment="1">
      <alignment horizontal="center"/>
    </xf>
    <xf numFmtId="171" fontId="8" fillId="0" borderId="0" xfId="1" applyNumberFormat="1" applyFont="1" applyAlignment="1">
      <alignment horizontal="center"/>
    </xf>
    <xf numFmtId="171" fontId="11" fillId="0" borderId="0" xfId="1" applyNumberFormat="1" applyFont="1" applyAlignment="1">
      <alignment horizontal="center"/>
    </xf>
    <xf numFmtId="43" fontId="0" fillId="0" borderId="0" xfId="1" applyNumberFormat="1" applyFont="1" applyAlignment="1">
      <alignment horizontal="center"/>
    </xf>
    <xf numFmtId="177" fontId="0" fillId="0" borderId="0" xfId="0" applyNumberFormat="1"/>
    <xf numFmtId="165" fontId="0" fillId="0" borderId="0" xfId="0" quotePrefix="1" applyAlignment="1">
      <alignment horizontal="center"/>
    </xf>
    <xf numFmtId="165" fontId="0" fillId="0" borderId="0" xfId="0" quotePrefix="1" applyAlignment="1">
      <alignment horizontal="left"/>
    </xf>
    <xf numFmtId="43" fontId="0" fillId="0" borderId="0" xfId="1" applyFont="1"/>
    <xf numFmtId="43" fontId="0" fillId="0" borderId="0" xfId="1" applyNumberFormat="1" applyFont="1"/>
    <xf numFmtId="43" fontId="2" fillId="0" borderId="0" xfId="1" applyNumberFormat="1" applyFont="1" applyProtection="1"/>
    <xf numFmtId="171" fontId="2" fillId="4" borderId="0" xfId="1" applyNumberFormat="1" applyFont="1" applyFill="1" applyProtection="1"/>
    <xf numFmtId="171" fontId="2" fillId="0" borderId="0" xfId="1" applyNumberFormat="1" applyFont="1" applyProtection="1"/>
    <xf numFmtId="171" fontId="2" fillId="0" borderId="0" xfId="1" applyNumberFormat="1" applyFont="1" applyFill="1" applyProtection="1"/>
    <xf numFmtId="171" fontId="6" fillId="0" borderId="0" xfId="1" quotePrefix="1" applyNumberFormat="1" applyFont="1" applyAlignment="1">
      <alignment horizontal="right"/>
    </xf>
    <xf numFmtId="171" fontId="0" fillId="0" borderId="0" xfId="1" applyNumberFormat="1" applyFont="1" applyProtection="1"/>
    <xf numFmtId="171" fontId="0" fillId="0" borderId="0" xfId="1" applyNumberFormat="1" applyFont="1" applyFill="1"/>
    <xf numFmtId="171" fontId="0" fillId="4" borderId="0" xfId="1" applyNumberFormat="1" applyFont="1" applyFill="1"/>
    <xf numFmtId="171" fontId="0" fillId="5" borderId="0" xfId="1" applyNumberFormat="1" applyFont="1" applyFill="1"/>
    <xf numFmtId="171" fontId="0" fillId="0" borderId="0" xfId="1" quotePrefix="1" applyNumberFormat="1" applyFont="1"/>
    <xf numFmtId="171" fontId="5" fillId="0" borderId="0" xfId="1" applyNumberFormat="1" applyFont="1" applyProtection="1"/>
    <xf numFmtId="171" fontId="2" fillId="0" borderId="0" xfId="1" quotePrefix="1" applyNumberFormat="1" applyFont="1" applyProtection="1"/>
    <xf numFmtId="171" fontId="0" fillId="6" borderId="0" xfId="1" applyNumberFormat="1" applyFont="1" applyFill="1"/>
    <xf numFmtId="171" fontId="0" fillId="7" borderId="0" xfId="1" applyNumberFormat="1" applyFont="1" applyFill="1"/>
    <xf numFmtId="171" fontId="5" fillId="0" borderId="0" xfId="1" applyNumberFormat="1" applyFont="1" applyFill="1" applyProtection="1"/>
    <xf numFmtId="171" fontId="0" fillId="0" borderId="0" xfId="1" applyNumberFormat="1" applyFont="1" applyFill="1" applyProtection="1"/>
    <xf numFmtId="171" fontId="6" fillId="0" borderId="0" xfId="1" quotePrefix="1" applyNumberFormat="1" applyFont="1"/>
    <xf numFmtId="171" fontId="4" fillId="0" borderId="0" xfId="1" applyNumberFormat="1" applyFont="1" applyFill="1" applyProtection="1"/>
    <xf numFmtId="171" fontId="9" fillId="2" borderId="0" xfId="1" applyNumberFormat="1" applyFont="1" applyFill="1" applyProtection="1"/>
    <xf numFmtId="171" fontId="9" fillId="4" borderId="0" xfId="1" applyNumberFormat="1" applyFont="1" applyFill="1" applyProtection="1"/>
    <xf numFmtId="171" fontId="9" fillId="6" borderId="0" xfId="1" applyNumberFormat="1" applyFont="1" applyFill="1" applyProtection="1"/>
    <xf numFmtId="171" fontId="9" fillId="7" borderId="0" xfId="1" applyNumberFormat="1" applyFont="1" applyFill="1" applyProtection="1"/>
    <xf numFmtId="171" fontId="9" fillId="5" borderId="0" xfId="1" applyNumberFormat="1" applyFont="1" applyFill="1" applyProtection="1"/>
    <xf numFmtId="171" fontId="8" fillId="0" borderId="0" xfId="1" quotePrefix="1" applyNumberFormat="1" applyFont="1"/>
    <xf numFmtId="171" fontId="8" fillId="0" borderId="0" xfId="1" quotePrefix="1" applyNumberFormat="1" applyFont="1" applyAlignment="1">
      <alignment horizontal="right"/>
    </xf>
    <xf numFmtId="171" fontId="2" fillId="3" borderId="0" xfId="1" applyNumberFormat="1" applyFont="1" applyFill="1" applyProtection="1"/>
    <xf numFmtId="171" fontId="8" fillId="0" borderId="0" xfId="1" applyNumberFormat="1" applyFont="1"/>
    <xf numFmtId="171" fontId="6" fillId="0" borderId="0" xfId="1" applyNumberFormat="1" applyFont="1" applyAlignment="1">
      <alignment horizontal="right"/>
    </xf>
    <xf numFmtId="171" fontId="7" fillId="0" borderId="0" xfId="1" applyNumberFormat="1" applyFont="1"/>
    <xf numFmtId="171" fontId="2" fillId="0" borderId="0" xfId="1" applyNumberFormat="1" applyFont="1" applyAlignment="1" applyProtection="1">
      <alignment horizontal="center"/>
    </xf>
    <xf numFmtId="171" fontId="2" fillId="0" borderId="0" xfId="1" applyNumberFormat="1" applyFont="1" applyFill="1" applyAlignment="1" applyProtection="1">
      <alignment horizontal="center"/>
    </xf>
    <xf numFmtId="171" fontId="3" fillId="0" borderId="0" xfId="1" applyNumberFormat="1" applyFont="1" applyAlignment="1" applyProtection="1">
      <alignment horizontal="center"/>
    </xf>
    <xf numFmtId="171" fontId="6" fillId="0" borderId="0" xfId="1" quotePrefix="1" applyNumberFormat="1" applyFont="1" applyAlignment="1">
      <alignment horizontal="center"/>
    </xf>
    <xf numFmtId="171" fontId="0" fillId="0" borderId="0" xfId="1" applyNumberFormat="1" applyFont="1" applyAlignment="1" applyProtection="1">
      <alignment horizontal="center"/>
    </xf>
    <xf numFmtId="171" fontId="0" fillId="0" borderId="0" xfId="1" applyNumberFormat="1" applyFont="1" applyFill="1" applyAlignment="1">
      <alignment horizontal="center"/>
    </xf>
    <xf numFmtId="171" fontId="0" fillId="4" borderId="0" xfId="1" applyNumberFormat="1" applyFont="1" applyFill="1" applyAlignment="1">
      <alignment horizontal="center"/>
    </xf>
    <xf numFmtId="171" fontId="12" fillId="0" borderId="0" xfId="1" applyNumberFormat="1" applyFont="1" applyProtection="1"/>
    <xf numFmtId="171" fontId="12" fillId="0" borderId="0" xfId="1" quotePrefix="1" applyNumberFormat="1" applyFont="1" applyProtection="1"/>
    <xf numFmtId="171" fontId="12" fillId="0" borderId="0" xfId="1" applyNumberFormat="1" applyFont="1" applyAlignment="1" applyProtection="1">
      <alignment horizontal="center"/>
    </xf>
    <xf numFmtId="43" fontId="0" fillId="0" borderId="0" xfId="1" applyNumberFormat="1" applyFont="1" applyFill="1"/>
    <xf numFmtId="179" fontId="0" fillId="0" borderId="0" xfId="1" quotePrefix="1" applyNumberFormat="1" applyFont="1" applyAlignment="1">
      <alignment horizontal="left"/>
    </xf>
    <xf numFmtId="171" fontId="0" fillId="0" borderId="1" xfId="1" applyNumberFormat="1" applyFont="1" applyBorder="1" applyAlignment="1">
      <alignment horizontal="right"/>
    </xf>
    <xf numFmtId="9" fontId="0" fillId="0" borderId="2" xfId="3" applyFont="1" applyBorder="1" applyAlignment="1">
      <alignment horizontal="left"/>
    </xf>
    <xf numFmtId="165" fontId="8" fillId="0" borderId="0" xfId="0" applyFont="1" applyAlignment="1">
      <alignment horizontal="right"/>
    </xf>
    <xf numFmtId="165" fontId="0" fillId="0" borderId="0" xfId="0" applyAlignment="1">
      <alignment horizontal="right"/>
    </xf>
    <xf numFmtId="171" fontId="11" fillId="0" borderId="3" xfId="1" applyNumberFormat="1" applyFont="1" applyBorder="1" applyAlignment="1">
      <alignment horizontal="right"/>
    </xf>
    <xf numFmtId="9" fontId="11" fillId="0" borderId="3" xfId="3" applyFont="1" applyBorder="1" applyAlignment="1">
      <alignment horizontal="right"/>
    </xf>
    <xf numFmtId="179" fontId="0" fillId="0" borderId="0" xfId="0" applyNumberFormat="1"/>
    <xf numFmtId="171" fontId="6" fillId="0" borderId="0" xfId="1" applyNumberFormat="1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5"/>
  <sheetViews>
    <sheetView topLeftCell="A25" workbookViewId="0">
      <selection activeCell="C31" sqref="C31"/>
    </sheetView>
  </sheetViews>
  <sheetFormatPr defaultRowHeight="15"/>
  <cols>
    <col min="2" max="2" width="10.08984375" customWidth="1"/>
    <col min="3" max="3" width="9.6328125" customWidth="1"/>
    <col min="4" max="4" width="10.6328125" customWidth="1"/>
    <col min="6" max="6" width="12.54296875" customWidth="1"/>
    <col min="7" max="7" width="11" bestFit="1" customWidth="1"/>
    <col min="8" max="8" width="14.1796875" style="5" customWidth="1"/>
    <col min="9" max="9" width="12.90625" style="5" customWidth="1"/>
    <col min="10" max="10" width="11.36328125" style="5" customWidth="1"/>
    <col min="11" max="11" width="9.81640625" customWidth="1"/>
    <col min="12" max="12" width="6.54296875" style="5" customWidth="1"/>
    <col min="13" max="14" width="15.90625" style="5" customWidth="1"/>
    <col min="15" max="15" width="11" customWidth="1"/>
    <col min="16" max="16" width="11.90625" customWidth="1"/>
    <col min="17" max="17" width="12.1796875" customWidth="1"/>
    <col min="18" max="18" width="11.81640625" customWidth="1"/>
    <col min="19" max="19" width="10.90625" customWidth="1"/>
    <col min="21" max="21" width="4.90625" customWidth="1"/>
    <col min="22" max="22" width="11" bestFit="1" customWidth="1"/>
    <col min="24" max="24" width="13.90625" customWidth="1"/>
    <col min="25" max="25" width="12.54296875" customWidth="1"/>
    <col min="26" max="26" width="11" customWidth="1"/>
    <col min="29" max="29" width="18.36328125" customWidth="1"/>
  </cols>
  <sheetData>
    <row r="1" spans="1:19" ht="19.2">
      <c r="A1" s="7" t="s">
        <v>206</v>
      </c>
      <c r="C1" s="7"/>
      <c r="D1" s="7"/>
      <c r="I1" s="6"/>
    </row>
    <row r="2" spans="1:19" ht="16.8">
      <c r="A2" t="s">
        <v>207</v>
      </c>
      <c r="C2" s="11"/>
      <c r="D2" s="1"/>
      <c r="F2" s="16"/>
      <c r="K2" s="17"/>
    </row>
    <row r="3" spans="1:19">
      <c r="A3" t="s">
        <v>208</v>
      </c>
      <c r="B3" s="1"/>
      <c r="C3" s="11"/>
    </row>
    <row r="4" spans="1:19">
      <c r="A4" t="s">
        <v>209</v>
      </c>
      <c r="B4" s="1"/>
      <c r="C4" s="11"/>
      <c r="D4" s="11"/>
      <c r="S4">
        <v>700000</v>
      </c>
    </row>
    <row r="5" spans="1:19">
      <c r="A5" t="s">
        <v>210</v>
      </c>
      <c r="C5" s="11"/>
      <c r="D5" s="24"/>
      <c r="F5" s="9"/>
      <c r="S5">
        <f>4*20</f>
        <v>80</v>
      </c>
    </row>
    <row r="6" spans="1:19">
      <c r="A6" t="s">
        <v>211</v>
      </c>
      <c r="C6" s="11"/>
      <c r="D6" s="11"/>
      <c r="S6">
        <f>+S4/S5</f>
        <v>8750</v>
      </c>
    </row>
    <row r="7" spans="1:19">
      <c r="A7" t="s">
        <v>212</v>
      </c>
      <c r="C7" s="11"/>
      <c r="D7" s="24"/>
    </row>
    <row r="8" spans="1:19">
      <c r="A8" t="s">
        <v>213</v>
      </c>
      <c r="C8" s="11"/>
      <c r="D8" s="23"/>
    </row>
    <row r="9" spans="1:19">
      <c r="A9" t="s">
        <v>214</v>
      </c>
      <c r="C9" s="11"/>
      <c r="D9" s="23"/>
    </row>
    <row r="10" spans="1:19">
      <c r="A10" t="s">
        <v>354</v>
      </c>
      <c r="C10" s="11"/>
      <c r="D10" s="11"/>
      <c r="E10" s="11"/>
    </row>
    <row r="11" spans="1:19">
      <c r="C11" s="11"/>
      <c r="D11" s="11"/>
      <c r="E11" s="11"/>
    </row>
    <row r="12" spans="1:19">
      <c r="C12" s="11"/>
      <c r="D12" s="11"/>
      <c r="E12" s="11"/>
    </row>
    <row r="13" spans="1:19">
      <c r="C13" s="11"/>
      <c r="D13" s="11"/>
      <c r="E13" s="11"/>
    </row>
    <row r="15" spans="1:19" ht="15.6">
      <c r="B15" s="7" t="s">
        <v>74</v>
      </c>
      <c r="C15" s="7" t="s">
        <v>75</v>
      </c>
      <c r="D15" s="7" t="s">
        <v>76</v>
      </c>
      <c r="E15" s="7" t="s">
        <v>77</v>
      </c>
      <c r="F15" s="7"/>
      <c r="G15" s="8"/>
    </row>
    <row r="16" spans="1:19" ht="16.8">
      <c r="C16" t="s">
        <v>83</v>
      </c>
      <c r="D16" t="s">
        <v>88</v>
      </c>
      <c r="E16" t="s">
        <v>91</v>
      </c>
      <c r="I16" s="17"/>
      <c r="K16" s="17"/>
    </row>
    <row r="17" spans="1:25">
      <c r="B17" t="s">
        <v>79</v>
      </c>
      <c r="C17" t="s">
        <v>45</v>
      </c>
      <c r="D17" t="s">
        <v>89</v>
      </c>
      <c r="E17" t="s">
        <v>92</v>
      </c>
    </row>
    <row r="18" spans="1:25">
      <c r="B18" t="s">
        <v>78</v>
      </c>
      <c r="C18" t="s">
        <v>84</v>
      </c>
      <c r="D18" t="s">
        <v>90</v>
      </c>
      <c r="E18" t="s">
        <v>93</v>
      </c>
    </row>
    <row r="19" spans="1:25">
      <c r="B19" t="s">
        <v>80</v>
      </c>
      <c r="C19" t="s">
        <v>85</v>
      </c>
      <c r="E19" t="s">
        <v>180</v>
      </c>
      <c r="S19" s="3"/>
    </row>
    <row r="20" spans="1:25">
      <c r="B20" t="s">
        <v>81</v>
      </c>
      <c r="C20" t="s">
        <v>86</v>
      </c>
      <c r="D20" t="s">
        <v>152</v>
      </c>
    </row>
    <row r="21" spans="1:25">
      <c r="B21" t="s">
        <v>82</v>
      </c>
      <c r="C21" t="s">
        <v>87</v>
      </c>
      <c r="Q21" s="3"/>
    </row>
    <row r="22" spans="1:25">
      <c r="B22" t="s">
        <v>108</v>
      </c>
      <c r="C22" t="s">
        <v>93</v>
      </c>
      <c r="D22" t="s">
        <v>205</v>
      </c>
    </row>
    <row r="23" spans="1:25">
      <c r="B23" t="s">
        <v>179</v>
      </c>
      <c r="C23" t="s">
        <v>109</v>
      </c>
    </row>
    <row r="24" spans="1:25">
      <c r="B24" t="s">
        <v>188</v>
      </c>
      <c r="C24" t="s">
        <v>110</v>
      </c>
    </row>
    <row r="25" spans="1:25">
      <c r="B25" t="s">
        <v>271</v>
      </c>
    </row>
    <row r="28" spans="1:25" ht="15.6">
      <c r="C28" s="7" t="s">
        <v>94</v>
      </c>
    </row>
    <row r="29" spans="1:25">
      <c r="F29" s="3"/>
    </row>
    <row r="30" spans="1:25" ht="15.6">
      <c r="A30" s="2"/>
      <c r="B30" s="1" t="s">
        <v>101</v>
      </c>
      <c r="C30" t="s">
        <v>356</v>
      </c>
    </row>
    <row r="31" spans="1:25" ht="15.6">
      <c r="A31" s="2"/>
      <c r="B31" s="1" t="s">
        <v>216</v>
      </c>
      <c r="C31" t="s">
        <v>102</v>
      </c>
      <c r="T31" s="15"/>
      <c r="Y31">
        <v>0</v>
      </c>
    </row>
    <row r="32" spans="1:25">
      <c r="B32" s="1" t="s">
        <v>217</v>
      </c>
      <c r="C32" t="s">
        <v>74</v>
      </c>
    </row>
    <row r="33" spans="1:29" ht="19.2">
      <c r="B33" s="1" t="s">
        <v>103</v>
      </c>
      <c r="C33" t="s">
        <v>355</v>
      </c>
      <c r="I33" s="6" t="s">
        <v>346</v>
      </c>
      <c r="Q33" s="5"/>
      <c r="R33" s="6" t="s">
        <v>149</v>
      </c>
      <c r="S33" s="5"/>
      <c r="U33" s="5"/>
      <c r="X33" s="5"/>
      <c r="Y33" s="6" t="s">
        <v>344</v>
      </c>
      <c r="Z33" s="5"/>
    </row>
    <row r="34" spans="1:29" ht="15.6" thickBot="1">
      <c r="B34" s="1" t="s">
        <v>104</v>
      </c>
      <c r="C34" t="s">
        <v>105</v>
      </c>
      <c r="Q34" s="5"/>
      <c r="R34" s="5"/>
      <c r="S34" s="5"/>
      <c r="U34" s="5"/>
      <c r="X34" s="5"/>
      <c r="Y34" s="5"/>
      <c r="Z34" s="5"/>
    </row>
    <row r="35" spans="1:29" ht="15.6" thickBot="1">
      <c r="B35" s="1" t="s">
        <v>106</v>
      </c>
      <c r="C35" t="s">
        <v>95</v>
      </c>
      <c r="H35" s="68" t="s">
        <v>347</v>
      </c>
      <c r="I35" s="69">
        <v>0.08</v>
      </c>
      <c r="L35" s="5" t="s">
        <v>150</v>
      </c>
      <c r="Q35" s="5"/>
      <c r="R35" s="3">
        <v>0.05</v>
      </c>
      <c r="S35" s="3">
        <v>0</v>
      </c>
      <c r="U35" s="5"/>
      <c r="X35" s="5"/>
      <c r="Y35" s="3">
        <v>0.15</v>
      </c>
      <c r="Z35" s="3">
        <v>0.3</v>
      </c>
    </row>
    <row r="36" spans="1:29">
      <c r="B36" t="s">
        <v>96</v>
      </c>
      <c r="C36" t="s">
        <v>97</v>
      </c>
      <c r="I36" s="3"/>
      <c r="J36" s="3" t="s">
        <v>348</v>
      </c>
      <c r="L36" s="3">
        <v>0.04</v>
      </c>
      <c r="M36" s="3"/>
      <c r="N36" s="3"/>
      <c r="Q36" s="5"/>
      <c r="R36" s="3"/>
      <c r="S36" s="5"/>
      <c r="U36" s="3"/>
      <c r="X36" s="5"/>
      <c r="Y36" s="3"/>
      <c r="Z36" s="5"/>
      <c r="AC36" t="s">
        <v>43</v>
      </c>
    </row>
    <row r="37" spans="1:29" ht="16.8">
      <c r="B37" s="1" t="s">
        <v>98</v>
      </c>
      <c r="C37" t="s">
        <v>107</v>
      </c>
      <c r="F37" s="70" t="s">
        <v>349</v>
      </c>
      <c r="G37" s="71"/>
      <c r="H37" s="72" t="s">
        <v>112</v>
      </c>
      <c r="I37" s="72" t="s">
        <v>111</v>
      </c>
      <c r="J37" s="73">
        <v>0.2</v>
      </c>
      <c r="M37" s="5" t="s">
        <v>148</v>
      </c>
      <c r="Q37" s="5" t="s">
        <v>112</v>
      </c>
      <c r="R37" s="5" t="s">
        <v>111</v>
      </c>
      <c r="S37" s="5" t="s">
        <v>151</v>
      </c>
      <c r="T37" t="s">
        <v>147</v>
      </c>
      <c r="U37" s="5"/>
      <c r="X37" s="5" t="s">
        <v>112</v>
      </c>
      <c r="Y37" s="5" t="s">
        <v>111</v>
      </c>
      <c r="Z37" s="5" t="s">
        <v>151</v>
      </c>
      <c r="AA37" t="s">
        <v>147</v>
      </c>
      <c r="AB37" t="s">
        <v>297</v>
      </c>
      <c r="AC37" t="s">
        <v>278</v>
      </c>
    </row>
    <row r="38" spans="1:29">
      <c r="B38" s="1" t="s">
        <v>99</v>
      </c>
      <c r="C38" t="s">
        <v>100</v>
      </c>
      <c r="F38">
        <v>33</v>
      </c>
      <c r="G38">
        <v>2002</v>
      </c>
      <c r="H38" s="5">
        <v>2000000</v>
      </c>
      <c r="I38" s="5">
        <f>H38*$I$35</f>
        <v>160000</v>
      </c>
      <c r="J38" s="5">
        <f>I38*$J$37</f>
        <v>32000</v>
      </c>
      <c r="M38" s="5">
        <v>85000</v>
      </c>
      <c r="O38">
        <v>33</v>
      </c>
      <c r="P38">
        <v>2002</v>
      </c>
      <c r="Q38" s="5">
        <v>2500000</v>
      </c>
      <c r="R38" s="5">
        <f>Q38*$R$35+$R$31</f>
        <v>125000</v>
      </c>
      <c r="S38" s="5">
        <f>R38*$S$35</f>
        <v>0</v>
      </c>
      <c r="T38">
        <f>M38</f>
        <v>85000</v>
      </c>
      <c r="U38" s="5"/>
      <c r="V38">
        <v>33</v>
      </c>
      <c r="W38">
        <v>2002</v>
      </c>
      <c r="X38" s="5">
        <v>2500000</v>
      </c>
      <c r="Y38" s="5">
        <f>X38*$Y$35</f>
        <v>375000</v>
      </c>
      <c r="Z38" s="5">
        <f>Y38*$Z$35</f>
        <v>112500</v>
      </c>
      <c r="AB38">
        <f>V38</f>
        <v>33</v>
      </c>
      <c r="AC38" s="5">
        <f>X38+Q38+H38</f>
        <v>7000000</v>
      </c>
    </row>
    <row r="39" spans="1:29">
      <c r="F39">
        <f>F38+1</f>
        <v>34</v>
      </c>
      <c r="G39">
        <v>2003</v>
      </c>
      <c r="H39" s="5">
        <f>H38+I38-J38-K38</f>
        <v>2128000</v>
      </c>
      <c r="I39" s="5">
        <f t="shared" ref="I39:I102" si="0">H39*$I$35</f>
        <v>170240</v>
      </c>
      <c r="J39" s="5">
        <f t="shared" ref="J39:J69" si="1">I39*$J$37</f>
        <v>34048</v>
      </c>
      <c r="M39" s="5">
        <f>M38*(1+$L$36)</f>
        <v>88400</v>
      </c>
      <c r="O39">
        <f>O38+1</f>
        <v>34</v>
      </c>
      <c r="P39">
        <v>2003</v>
      </c>
      <c r="Q39" s="5">
        <f t="shared" ref="Q39:Q60" si="2">Q38+R38-S38-T38</f>
        <v>2540000</v>
      </c>
      <c r="R39" s="5">
        <f t="shared" ref="R39:R102" si="3">Q39*$R$35+$R$31</f>
        <v>127000</v>
      </c>
      <c r="S39" s="5">
        <f t="shared" ref="S39:S102" si="4">R39*$S$35</f>
        <v>0</v>
      </c>
      <c r="T39">
        <f t="shared" ref="T39:T102" si="5">M39</f>
        <v>88400</v>
      </c>
      <c r="U39" s="5"/>
      <c r="V39">
        <f>V38+1</f>
        <v>34</v>
      </c>
      <c r="W39">
        <v>2003</v>
      </c>
      <c r="X39" s="5">
        <f t="shared" ref="X39:X102" si="6">X38+Y38-Z38-AA38</f>
        <v>2762500</v>
      </c>
      <c r="Y39" s="5">
        <f t="shared" ref="Y39:Y102" si="7">X39*$Y$35</f>
        <v>414375</v>
      </c>
      <c r="Z39" s="5">
        <f t="shared" ref="Z39:Z102" si="8">Y39*$Z$35</f>
        <v>124312.5</v>
      </c>
      <c r="AB39">
        <f t="shared" ref="AB39:AB102" si="9">V39</f>
        <v>34</v>
      </c>
      <c r="AC39" s="5">
        <f t="shared" ref="AC39:AC102" si="10">X39+Q39+H39</f>
        <v>7430500</v>
      </c>
    </row>
    <row r="40" spans="1:29">
      <c r="F40">
        <f t="shared" ref="F40:F103" si="11">F39+1</f>
        <v>35</v>
      </c>
      <c r="G40">
        <v>2004</v>
      </c>
      <c r="H40" s="5">
        <f t="shared" ref="H40:H103" si="12">H39+I39-J39-K39</f>
        <v>2264192</v>
      </c>
      <c r="I40" s="5">
        <f t="shared" si="0"/>
        <v>181135.36000000002</v>
      </c>
      <c r="J40" s="5">
        <f t="shared" si="1"/>
        <v>36227.072000000007</v>
      </c>
      <c r="M40" s="5">
        <f t="shared" ref="M40:M103" si="13">M39*(1+$L$36)</f>
        <v>91936</v>
      </c>
      <c r="O40">
        <f t="shared" ref="O40:O103" si="14">O39+1</f>
        <v>35</v>
      </c>
      <c r="P40">
        <v>2004</v>
      </c>
      <c r="Q40" s="5">
        <f t="shared" si="2"/>
        <v>2578600</v>
      </c>
      <c r="R40" s="5">
        <f t="shared" si="3"/>
        <v>128930</v>
      </c>
      <c r="S40" s="5">
        <f t="shared" si="4"/>
        <v>0</v>
      </c>
      <c r="T40">
        <f t="shared" si="5"/>
        <v>91936</v>
      </c>
      <c r="U40" s="5"/>
      <c r="V40">
        <f t="shared" ref="V40:V103" si="15">V39+1</f>
        <v>35</v>
      </c>
      <c r="W40">
        <v>2004</v>
      </c>
      <c r="X40" s="5">
        <f t="shared" si="6"/>
        <v>3052562.5</v>
      </c>
      <c r="Y40" s="5">
        <f t="shared" si="7"/>
        <v>457884.375</v>
      </c>
      <c r="Z40" s="5">
        <f t="shared" si="8"/>
        <v>137365.3125</v>
      </c>
      <c r="AB40">
        <f t="shared" si="9"/>
        <v>35</v>
      </c>
      <c r="AC40" s="5">
        <f t="shared" si="10"/>
        <v>7895354.5</v>
      </c>
    </row>
    <row r="41" spans="1:29">
      <c r="F41">
        <f t="shared" si="11"/>
        <v>36</v>
      </c>
      <c r="G41">
        <v>2005</v>
      </c>
      <c r="H41" s="5">
        <f t="shared" si="12"/>
        <v>2409100.2879999997</v>
      </c>
      <c r="I41" s="5">
        <f t="shared" si="0"/>
        <v>192728.02303999997</v>
      </c>
      <c r="J41" s="5">
        <f t="shared" si="1"/>
        <v>38545.604607999994</v>
      </c>
      <c r="M41" s="5">
        <f t="shared" si="13"/>
        <v>95613.440000000002</v>
      </c>
      <c r="O41">
        <f t="shared" si="14"/>
        <v>36</v>
      </c>
      <c r="P41">
        <v>2005</v>
      </c>
      <c r="Q41" s="5">
        <f t="shared" si="2"/>
        <v>2615594</v>
      </c>
      <c r="R41" s="5">
        <f t="shared" si="3"/>
        <v>130779.70000000001</v>
      </c>
      <c r="S41" s="5">
        <f t="shared" si="4"/>
        <v>0</v>
      </c>
      <c r="T41">
        <f t="shared" si="5"/>
        <v>95613.440000000002</v>
      </c>
      <c r="U41" s="5"/>
      <c r="V41">
        <f t="shared" si="15"/>
        <v>36</v>
      </c>
      <c r="W41">
        <v>2005</v>
      </c>
      <c r="X41" s="5">
        <f t="shared" si="6"/>
        <v>3373081.5625</v>
      </c>
      <c r="Y41" s="5">
        <f t="shared" si="7"/>
        <v>505962.234375</v>
      </c>
      <c r="Z41" s="5">
        <f t="shared" si="8"/>
        <v>151788.67031250001</v>
      </c>
      <c r="AB41">
        <f t="shared" si="9"/>
        <v>36</v>
      </c>
      <c r="AC41" s="5">
        <f t="shared" si="10"/>
        <v>8397775.8504999988</v>
      </c>
    </row>
    <row r="42" spans="1:29">
      <c r="F42">
        <f t="shared" si="11"/>
        <v>37</v>
      </c>
      <c r="G42">
        <v>2006</v>
      </c>
      <c r="H42" s="5">
        <f t="shared" si="12"/>
        <v>2563282.7064319998</v>
      </c>
      <c r="I42" s="5">
        <f t="shared" si="0"/>
        <v>205062.61651455998</v>
      </c>
      <c r="J42" s="5">
        <f t="shared" si="1"/>
        <v>41012.523302911999</v>
      </c>
      <c r="M42" s="5">
        <f t="shared" si="13"/>
        <v>99437.977600000013</v>
      </c>
      <c r="O42">
        <f t="shared" si="14"/>
        <v>37</v>
      </c>
      <c r="P42">
        <v>2006</v>
      </c>
      <c r="Q42" s="5">
        <f t="shared" si="2"/>
        <v>2650760.2600000002</v>
      </c>
      <c r="R42" s="5">
        <f t="shared" si="3"/>
        <v>132538.01300000001</v>
      </c>
      <c r="S42" s="5">
        <f t="shared" si="4"/>
        <v>0</v>
      </c>
      <c r="T42">
        <f t="shared" si="5"/>
        <v>99437.977600000013</v>
      </c>
      <c r="U42" s="5"/>
      <c r="V42">
        <f t="shared" si="15"/>
        <v>37</v>
      </c>
      <c r="W42">
        <v>2006</v>
      </c>
      <c r="X42" s="5">
        <f t="shared" si="6"/>
        <v>3727255.1265624999</v>
      </c>
      <c r="Y42" s="5">
        <f t="shared" si="7"/>
        <v>559088.26898437494</v>
      </c>
      <c r="Z42" s="5">
        <f t="shared" si="8"/>
        <v>167726.48069531246</v>
      </c>
      <c r="AB42">
        <f t="shared" si="9"/>
        <v>37</v>
      </c>
      <c r="AC42" s="5">
        <f t="shared" si="10"/>
        <v>8941298.0929945</v>
      </c>
    </row>
    <row r="43" spans="1:29" ht="15.6">
      <c r="A43" s="2"/>
      <c r="B43" s="1"/>
      <c r="F43">
        <f t="shared" si="11"/>
        <v>38</v>
      </c>
      <c r="G43">
        <v>2007</v>
      </c>
      <c r="H43" s="5">
        <f t="shared" si="12"/>
        <v>2727332.7996436479</v>
      </c>
      <c r="I43" s="5">
        <f t="shared" si="0"/>
        <v>218186.62397149182</v>
      </c>
      <c r="J43" s="5">
        <f t="shared" si="1"/>
        <v>43637.324794298365</v>
      </c>
      <c r="M43" s="5">
        <f t="shared" si="13"/>
        <v>103415.49670400002</v>
      </c>
      <c r="O43">
        <f t="shared" si="14"/>
        <v>38</v>
      </c>
      <c r="P43">
        <v>2007</v>
      </c>
      <c r="Q43" s="5">
        <f t="shared" si="2"/>
        <v>2683860.2954000002</v>
      </c>
      <c r="R43" s="5">
        <f t="shared" si="3"/>
        <v>134193.01477000001</v>
      </c>
      <c r="S43" s="5">
        <f t="shared" si="4"/>
        <v>0</v>
      </c>
      <c r="T43">
        <f t="shared" si="5"/>
        <v>103415.49670400002</v>
      </c>
      <c r="U43" s="5"/>
      <c r="V43">
        <f t="shared" si="15"/>
        <v>38</v>
      </c>
      <c r="W43">
        <v>2007</v>
      </c>
      <c r="X43" s="5">
        <f t="shared" si="6"/>
        <v>4118616.9148515626</v>
      </c>
      <c r="Y43" s="5">
        <f t="shared" si="7"/>
        <v>617792.53722773434</v>
      </c>
      <c r="Z43" s="5">
        <f t="shared" si="8"/>
        <v>185337.76116832028</v>
      </c>
      <c r="AB43">
        <f t="shared" si="9"/>
        <v>38</v>
      </c>
      <c r="AC43" s="5">
        <f t="shared" si="10"/>
        <v>9529810.0098952092</v>
      </c>
    </row>
    <row r="44" spans="1:29">
      <c r="B44" s="1"/>
      <c r="F44">
        <f t="shared" si="11"/>
        <v>39</v>
      </c>
      <c r="G44">
        <v>2008</v>
      </c>
      <c r="H44" s="5">
        <f t="shared" si="12"/>
        <v>2901882.0988208414</v>
      </c>
      <c r="I44" s="5">
        <f t="shared" si="0"/>
        <v>232150.56790566733</v>
      </c>
      <c r="J44" s="5">
        <f t="shared" si="1"/>
        <v>46430.113581133468</v>
      </c>
      <c r="M44" s="5">
        <f t="shared" si="13"/>
        <v>107552.11657216003</v>
      </c>
      <c r="O44">
        <f t="shared" si="14"/>
        <v>39</v>
      </c>
      <c r="P44">
        <v>2008</v>
      </c>
      <c r="Q44" s="5">
        <f t="shared" si="2"/>
        <v>2714637.8134660004</v>
      </c>
      <c r="R44" s="5">
        <f t="shared" si="3"/>
        <v>135731.89067330002</v>
      </c>
      <c r="S44" s="5">
        <f t="shared" si="4"/>
        <v>0</v>
      </c>
      <c r="T44">
        <f t="shared" si="5"/>
        <v>107552.11657216003</v>
      </c>
      <c r="U44" s="5"/>
      <c r="V44">
        <f t="shared" si="15"/>
        <v>39</v>
      </c>
      <c r="W44">
        <v>2008</v>
      </c>
      <c r="X44" s="5">
        <f t="shared" si="6"/>
        <v>4551071.6909109764</v>
      </c>
      <c r="Y44" s="5">
        <f t="shared" si="7"/>
        <v>682660.75363664643</v>
      </c>
      <c r="Z44" s="5">
        <f t="shared" si="8"/>
        <v>204798.22609099394</v>
      </c>
      <c r="AB44">
        <f t="shared" si="9"/>
        <v>39</v>
      </c>
      <c r="AC44" s="5">
        <f t="shared" si="10"/>
        <v>10167591.603197819</v>
      </c>
    </row>
    <row r="45" spans="1:29">
      <c r="B45" s="1"/>
      <c r="F45">
        <f t="shared" si="11"/>
        <v>40</v>
      </c>
      <c r="G45">
        <v>2009</v>
      </c>
      <c r="H45" s="5">
        <f t="shared" si="12"/>
        <v>3087602.5531453751</v>
      </c>
      <c r="I45" s="5">
        <f t="shared" si="0"/>
        <v>247008.20425163</v>
      </c>
      <c r="J45" s="5">
        <f t="shared" si="1"/>
        <v>49401.640850326003</v>
      </c>
      <c r="M45" s="5">
        <f t="shared" si="13"/>
        <v>111854.20123504644</v>
      </c>
      <c r="O45">
        <f t="shared" si="14"/>
        <v>40</v>
      </c>
      <c r="P45">
        <v>2009</v>
      </c>
      <c r="Q45" s="5">
        <f t="shared" si="2"/>
        <v>2742817.5875671408</v>
      </c>
      <c r="R45" s="5">
        <f t="shared" si="3"/>
        <v>137140.87937835706</v>
      </c>
      <c r="S45" s="5">
        <f t="shared" si="4"/>
        <v>0</v>
      </c>
      <c r="T45">
        <f t="shared" si="5"/>
        <v>111854.20123504644</v>
      </c>
      <c r="U45" s="5"/>
      <c r="V45">
        <f t="shared" si="15"/>
        <v>40</v>
      </c>
      <c r="W45">
        <v>2009</v>
      </c>
      <c r="X45" s="5">
        <f t="shared" si="6"/>
        <v>5028934.2184566287</v>
      </c>
      <c r="Y45" s="5">
        <f t="shared" si="7"/>
        <v>754340.13276849431</v>
      </c>
      <c r="Z45" s="5">
        <f t="shared" si="8"/>
        <v>226302.03983054828</v>
      </c>
      <c r="AB45">
        <f t="shared" si="9"/>
        <v>40</v>
      </c>
      <c r="AC45" s="5">
        <f t="shared" si="10"/>
        <v>10859354.359169144</v>
      </c>
    </row>
    <row r="46" spans="1:29">
      <c r="B46" s="1"/>
      <c r="F46">
        <f t="shared" si="11"/>
        <v>41</v>
      </c>
      <c r="G46">
        <v>2010</v>
      </c>
      <c r="H46" s="5">
        <f t="shared" si="12"/>
        <v>3285209.1165466793</v>
      </c>
      <c r="I46" s="5">
        <f t="shared" si="0"/>
        <v>262816.72932373435</v>
      </c>
      <c r="J46" s="5">
        <f t="shared" si="1"/>
        <v>52563.345864746872</v>
      </c>
      <c r="M46" s="5">
        <f t="shared" si="13"/>
        <v>116328.3692844483</v>
      </c>
      <c r="O46">
        <f t="shared" si="14"/>
        <v>41</v>
      </c>
      <c r="P46">
        <v>2010</v>
      </c>
      <c r="Q46" s="5">
        <f t="shared" si="2"/>
        <v>2768104.2657104512</v>
      </c>
      <c r="R46" s="5">
        <f t="shared" si="3"/>
        <v>138405.21328552256</v>
      </c>
      <c r="S46" s="5">
        <f t="shared" si="4"/>
        <v>0</v>
      </c>
      <c r="T46">
        <f t="shared" si="5"/>
        <v>116328.3692844483</v>
      </c>
      <c r="U46" s="5"/>
      <c r="V46">
        <f t="shared" si="15"/>
        <v>41</v>
      </c>
      <c r="W46">
        <v>2010</v>
      </c>
      <c r="X46" s="5">
        <f t="shared" si="6"/>
        <v>5556972.3113945741</v>
      </c>
      <c r="Y46" s="5">
        <f t="shared" si="7"/>
        <v>833545.84670918609</v>
      </c>
      <c r="Z46" s="5">
        <f t="shared" si="8"/>
        <v>250063.75401275582</v>
      </c>
      <c r="AB46">
        <f t="shared" si="9"/>
        <v>41</v>
      </c>
      <c r="AC46" s="5">
        <f t="shared" si="10"/>
        <v>11610285.693651704</v>
      </c>
    </row>
    <row r="47" spans="1:29">
      <c r="F47">
        <f t="shared" si="11"/>
        <v>42</v>
      </c>
      <c r="G47">
        <v>2011</v>
      </c>
      <c r="H47" s="5">
        <f t="shared" si="12"/>
        <v>3495462.5000056671</v>
      </c>
      <c r="I47" s="5">
        <f t="shared" si="0"/>
        <v>279637.00000045338</v>
      </c>
      <c r="J47" s="5">
        <f t="shared" si="1"/>
        <v>55927.400000090682</v>
      </c>
      <c r="M47" s="5">
        <f t="shared" si="13"/>
        <v>120981.50405582624</v>
      </c>
      <c r="O47">
        <f t="shared" si="14"/>
        <v>42</v>
      </c>
      <c r="P47">
        <v>2011</v>
      </c>
      <c r="Q47" s="5">
        <f t="shared" si="2"/>
        <v>2790181.1097115255</v>
      </c>
      <c r="R47" s="5">
        <f t="shared" si="3"/>
        <v>139509.05548557627</v>
      </c>
      <c r="S47" s="5">
        <f t="shared" si="4"/>
        <v>0</v>
      </c>
      <c r="T47">
        <f t="shared" si="5"/>
        <v>120981.50405582624</v>
      </c>
      <c r="U47" s="5"/>
      <c r="V47">
        <f t="shared" si="15"/>
        <v>42</v>
      </c>
      <c r="W47">
        <v>2011</v>
      </c>
      <c r="X47" s="5">
        <f t="shared" si="6"/>
        <v>6140454.4040910043</v>
      </c>
      <c r="Y47" s="5">
        <f t="shared" si="7"/>
        <v>921068.16061365057</v>
      </c>
      <c r="Z47" s="5">
        <f t="shared" si="8"/>
        <v>276320.44818409515</v>
      </c>
      <c r="AB47">
        <f t="shared" si="9"/>
        <v>42</v>
      </c>
      <c r="AC47" s="5">
        <f t="shared" si="10"/>
        <v>12426098.013808198</v>
      </c>
    </row>
    <row r="48" spans="1:29">
      <c r="B48" s="1"/>
      <c r="F48">
        <f t="shared" si="11"/>
        <v>43</v>
      </c>
      <c r="G48">
        <v>2012</v>
      </c>
      <c r="H48" s="5">
        <f t="shared" si="12"/>
        <v>3719172.1000060299</v>
      </c>
      <c r="I48" s="5">
        <f t="shared" si="0"/>
        <v>297533.76800048241</v>
      </c>
      <c r="J48" s="5">
        <f t="shared" si="1"/>
        <v>59506.753600096483</v>
      </c>
      <c r="M48" s="5">
        <f t="shared" si="13"/>
        <v>125820.7642180593</v>
      </c>
      <c r="O48">
        <f t="shared" si="14"/>
        <v>43</v>
      </c>
      <c r="P48">
        <v>2012</v>
      </c>
      <c r="Q48" s="5">
        <f t="shared" si="2"/>
        <v>2808708.6611412754</v>
      </c>
      <c r="R48" s="5">
        <f t="shared" si="3"/>
        <v>140435.43305706378</v>
      </c>
      <c r="S48" s="5">
        <f t="shared" si="4"/>
        <v>0</v>
      </c>
      <c r="T48">
        <f t="shared" si="5"/>
        <v>125820.7642180593</v>
      </c>
      <c r="U48" s="5"/>
      <c r="V48">
        <f t="shared" si="15"/>
        <v>43</v>
      </c>
      <c r="W48">
        <v>2012</v>
      </c>
      <c r="X48" s="5">
        <f t="shared" si="6"/>
        <v>6785202.1165205594</v>
      </c>
      <c r="Y48" s="5">
        <f t="shared" si="7"/>
        <v>1017780.3174780839</v>
      </c>
      <c r="Z48" s="5">
        <f t="shared" si="8"/>
        <v>305334.09524342517</v>
      </c>
      <c r="AB48">
        <f t="shared" si="9"/>
        <v>43</v>
      </c>
      <c r="AC48" s="5">
        <f t="shared" si="10"/>
        <v>13313082.877667863</v>
      </c>
    </row>
    <row r="49" spans="2:29">
      <c r="B49" s="1"/>
      <c r="F49">
        <f t="shared" si="11"/>
        <v>44</v>
      </c>
      <c r="G49">
        <v>2013</v>
      </c>
      <c r="H49" s="5">
        <f t="shared" si="12"/>
        <v>3957199.1144064162</v>
      </c>
      <c r="I49" s="5">
        <f t="shared" si="0"/>
        <v>316575.92915251333</v>
      </c>
      <c r="J49" s="5">
        <f t="shared" si="1"/>
        <v>63315.185830502669</v>
      </c>
      <c r="M49" s="5">
        <f t="shared" si="13"/>
        <v>130853.59478678167</v>
      </c>
      <c r="O49">
        <f t="shared" si="14"/>
        <v>44</v>
      </c>
      <c r="P49">
        <v>2013</v>
      </c>
      <c r="Q49" s="5">
        <f t="shared" si="2"/>
        <v>2823323.3299802798</v>
      </c>
      <c r="R49" s="5">
        <f t="shared" si="3"/>
        <v>141166.16649901398</v>
      </c>
      <c r="S49" s="5">
        <f t="shared" si="4"/>
        <v>0</v>
      </c>
      <c r="T49">
        <f t="shared" si="5"/>
        <v>130853.59478678167</v>
      </c>
      <c r="U49" s="5"/>
      <c r="V49">
        <f t="shared" si="15"/>
        <v>44</v>
      </c>
      <c r="W49">
        <v>2013</v>
      </c>
      <c r="X49" s="5">
        <f t="shared" si="6"/>
        <v>7497648.3387552183</v>
      </c>
      <c r="Y49" s="5">
        <f t="shared" si="7"/>
        <v>1124647.2508132828</v>
      </c>
      <c r="Z49" s="5">
        <f t="shared" si="8"/>
        <v>337394.17524398485</v>
      </c>
      <c r="AB49">
        <f t="shared" si="9"/>
        <v>44</v>
      </c>
      <c r="AC49" s="5">
        <f t="shared" si="10"/>
        <v>14278170.783141915</v>
      </c>
    </row>
    <row r="50" spans="2:29">
      <c r="F50">
        <f t="shared" si="11"/>
        <v>45</v>
      </c>
      <c r="G50">
        <v>2014</v>
      </c>
      <c r="H50" s="5">
        <f t="shared" si="12"/>
        <v>4210459.8577284263</v>
      </c>
      <c r="I50" s="5">
        <f t="shared" si="0"/>
        <v>336836.78861827409</v>
      </c>
      <c r="J50" s="5">
        <f t="shared" si="1"/>
        <v>67367.357723654815</v>
      </c>
      <c r="M50" s="5">
        <f t="shared" si="13"/>
        <v>136087.73857825293</v>
      </c>
      <c r="O50">
        <f t="shared" si="14"/>
        <v>45</v>
      </c>
      <c r="P50">
        <v>2014</v>
      </c>
      <c r="Q50" s="5">
        <f t="shared" si="2"/>
        <v>2833635.901692512</v>
      </c>
      <c r="R50" s="5">
        <f t="shared" si="3"/>
        <v>141681.7950846256</v>
      </c>
      <c r="S50" s="5">
        <f t="shared" si="4"/>
        <v>0</v>
      </c>
      <c r="T50">
        <f t="shared" si="5"/>
        <v>136087.73857825293</v>
      </c>
      <c r="U50" s="5"/>
      <c r="V50">
        <f t="shared" si="15"/>
        <v>45</v>
      </c>
      <c r="W50">
        <v>2014</v>
      </c>
      <c r="X50" s="5">
        <f t="shared" si="6"/>
        <v>8284901.4143245164</v>
      </c>
      <c r="Y50" s="5">
        <f t="shared" si="7"/>
        <v>1242735.2121486773</v>
      </c>
      <c r="Z50" s="5">
        <f t="shared" si="8"/>
        <v>372820.56364460319</v>
      </c>
      <c r="AB50">
        <f t="shared" si="9"/>
        <v>45</v>
      </c>
      <c r="AC50" s="5">
        <f t="shared" si="10"/>
        <v>15328997.173745453</v>
      </c>
    </row>
    <row r="51" spans="2:29">
      <c r="F51">
        <f t="shared" si="11"/>
        <v>46</v>
      </c>
      <c r="G51">
        <v>2015</v>
      </c>
      <c r="H51" s="5">
        <f t="shared" si="12"/>
        <v>4479929.2886230452</v>
      </c>
      <c r="I51" s="5">
        <f t="shared" si="0"/>
        <v>358394.34308984363</v>
      </c>
      <c r="J51" s="5">
        <f t="shared" si="1"/>
        <v>71678.868617968736</v>
      </c>
      <c r="M51" s="5">
        <f t="shared" si="13"/>
        <v>141531.24812138305</v>
      </c>
      <c r="O51">
        <f t="shared" si="14"/>
        <v>46</v>
      </c>
      <c r="P51">
        <v>2015</v>
      </c>
      <c r="Q51" s="5">
        <f t="shared" si="2"/>
        <v>2839229.9581988845</v>
      </c>
      <c r="R51" s="5">
        <f t="shared" si="3"/>
        <v>141961.49790994424</v>
      </c>
      <c r="S51" s="5">
        <f t="shared" si="4"/>
        <v>0</v>
      </c>
      <c r="T51">
        <f t="shared" si="5"/>
        <v>141531.24812138305</v>
      </c>
      <c r="U51" s="5"/>
      <c r="V51">
        <f t="shared" si="15"/>
        <v>46</v>
      </c>
      <c r="W51">
        <v>2015</v>
      </c>
      <c r="X51" s="5">
        <f t="shared" si="6"/>
        <v>9154816.0628285911</v>
      </c>
      <c r="Y51" s="5">
        <f t="shared" si="7"/>
        <v>1373222.4094242887</v>
      </c>
      <c r="Z51" s="5">
        <f t="shared" si="8"/>
        <v>411966.72282728658</v>
      </c>
      <c r="AB51">
        <f t="shared" si="9"/>
        <v>46</v>
      </c>
      <c r="AC51" s="5">
        <f t="shared" si="10"/>
        <v>16473975.309650522</v>
      </c>
    </row>
    <row r="52" spans="2:29">
      <c r="F52">
        <f t="shared" si="11"/>
        <v>47</v>
      </c>
      <c r="G52">
        <v>2016</v>
      </c>
      <c r="H52" s="5">
        <f t="shared" si="12"/>
        <v>4766644.7630949207</v>
      </c>
      <c r="I52" s="5">
        <f t="shared" si="0"/>
        <v>381331.58104759367</v>
      </c>
      <c r="J52" s="5">
        <f t="shared" si="1"/>
        <v>76266.316209518744</v>
      </c>
      <c r="M52" s="5">
        <f t="shared" si="13"/>
        <v>147192.49804623838</v>
      </c>
      <c r="O52">
        <f t="shared" si="14"/>
        <v>47</v>
      </c>
      <c r="P52">
        <v>2016</v>
      </c>
      <c r="Q52" s="5">
        <f t="shared" si="2"/>
        <v>2839660.2079874454</v>
      </c>
      <c r="R52" s="5">
        <f t="shared" si="3"/>
        <v>141983.01039937229</v>
      </c>
      <c r="S52" s="5">
        <f t="shared" si="4"/>
        <v>0</v>
      </c>
      <c r="T52">
        <f t="shared" si="5"/>
        <v>147192.49804623838</v>
      </c>
      <c r="U52" s="5"/>
      <c r="V52">
        <f t="shared" si="15"/>
        <v>47</v>
      </c>
      <c r="W52">
        <v>2016</v>
      </c>
      <c r="X52" s="5">
        <f t="shared" si="6"/>
        <v>10116071.749425592</v>
      </c>
      <c r="Y52" s="5">
        <f t="shared" si="7"/>
        <v>1517410.7624138386</v>
      </c>
      <c r="Z52" s="5">
        <f t="shared" si="8"/>
        <v>455223.22872415156</v>
      </c>
      <c r="AB52">
        <f t="shared" si="9"/>
        <v>47</v>
      </c>
      <c r="AC52" s="5">
        <f t="shared" si="10"/>
        <v>17722376.720507957</v>
      </c>
    </row>
    <row r="53" spans="2:29">
      <c r="F53">
        <f t="shared" si="11"/>
        <v>48</v>
      </c>
      <c r="G53">
        <v>2017</v>
      </c>
      <c r="H53" s="5">
        <f t="shared" si="12"/>
        <v>5071710.0279329959</v>
      </c>
      <c r="I53" s="5">
        <f t="shared" si="0"/>
        <v>405736.8022346397</v>
      </c>
      <c r="J53" s="5">
        <f t="shared" si="1"/>
        <v>81147.360446927953</v>
      </c>
      <c r="M53" s="5">
        <f t="shared" si="13"/>
        <v>153080.19796808792</v>
      </c>
      <c r="O53">
        <f t="shared" si="14"/>
        <v>48</v>
      </c>
      <c r="P53">
        <v>2017</v>
      </c>
      <c r="Q53" s="5">
        <f t="shared" si="2"/>
        <v>2834450.7203405793</v>
      </c>
      <c r="R53" s="5">
        <f t="shared" si="3"/>
        <v>141722.53601702896</v>
      </c>
      <c r="S53" s="5">
        <f t="shared" si="4"/>
        <v>0</v>
      </c>
      <c r="T53">
        <f t="shared" si="5"/>
        <v>153080.19796808792</v>
      </c>
      <c r="U53" s="5"/>
      <c r="V53">
        <f t="shared" si="15"/>
        <v>48</v>
      </c>
      <c r="W53">
        <v>2017</v>
      </c>
      <c r="X53" s="5">
        <f t="shared" si="6"/>
        <v>11178259.283115279</v>
      </c>
      <c r="Y53" s="5">
        <f t="shared" si="7"/>
        <v>1676738.8924672918</v>
      </c>
      <c r="Z53" s="5">
        <f t="shared" si="8"/>
        <v>503021.66774018749</v>
      </c>
      <c r="AB53">
        <f t="shared" si="9"/>
        <v>48</v>
      </c>
      <c r="AC53" s="5">
        <f t="shared" si="10"/>
        <v>19084420.031388856</v>
      </c>
    </row>
    <row r="54" spans="2:29">
      <c r="F54">
        <f t="shared" si="11"/>
        <v>49</v>
      </c>
      <c r="G54">
        <v>2018</v>
      </c>
      <c r="H54" s="5">
        <f t="shared" si="12"/>
        <v>5396299.4697207073</v>
      </c>
      <c r="I54" s="5">
        <f t="shared" si="0"/>
        <v>431703.95757765661</v>
      </c>
      <c r="J54" s="5">
        <f t="shared" si="1"/>
        <v>86340.791515531324</v>
      </c>
      <c r="M54" s="5">
        <f t="shared" si="13"/>
        <v>159203.40588681144</v>
      </c>
      <c r="O54">
        <f t="shared" si="14"/>
        <v>49</v>
      </c>
      <c r="P54">
        <v>2018</v>
      </c>
      <c r="Q54" s="5">
        <f t="shared" si="2"/>
        <v>2823093.0583895203</v>
      </c>
      <c r="R54" s="5">
        <f t="shared" si="3"/>
        <v>141154.65291947601</v>
      </c>
      <c r="S54" s="5">
        <f t="shared" si="4"/>
        <v>0</v>
      </c>
      <c r="T54">
        <f t="shared" si="5"/>
        <v>159203.40588681144</v>
      </c>
      <c r="U54" s="5"/>
      <c r="V54">
        <f t="shared" si="15"/>
        <v>49</v>
      </c>
      <c r="W54">
        <v>2018</v>
      </c>
      <c r="X54" s="5">
        <f t="shared" si="6"/>
        <v>12351976.507842384</v>
      </c>
      <c r="Y54" s="5">
        <f t="shared" si="7"/>
        <v>1852796.4761763576</v>
      </c>
      <c r="Z54" s="5">
        <f t="shared" si="8"/>
        <v>555838.94285290723</v>
      </c>
      <c r="AB54">
        <f t="shared" si="9"/>
        <v>49</v>
      </c>
      <c r="AC54" s="5">
        <f t="shared" si="10"/>
        <v>20571369.035952613</v>
      </c>
    </row>
    <row r="55" spans="2:29">
      <c r="F55">
        <f t="shared" si="11"/>
        <v>50</v>
      </c>
      <c r="G55">
        <v>2019</v>
      </c>
      <c r="H55" s="5">
        <f t="shared" si="12"/>
        <v>5741662.6357828332</v>
      </c>
      <c r="I55" s="5">
        <f t="shared" si="0"/>
        <v>459333.01086262666</v>
      </c>
      <c r="J55" s="5">
        <f t="shared" si="1"/>
        <v>91866.602172525338</v>
      </c>
      <c r="M55" s="5">
        <f t="shared" si="13"/>
        <v>165571.54212228389</v>
      </c>
      <c r="O55">
        <f t="shared" si="14"/>
        <v>50</v>
      </c>
      <c r="P55">
        <v>2019</v>
      </c>
      <c r="Q55" s="5">
        <f t="shared" si="2"/>
        <v>2805044.305422185</v>
      </c>
      <c r="R55" s="5">
        <f t="shared" si="3"/>
        <v>140252.21527110925</v>
      </c>
      <c r="S55" s="5">
        <f t="shared" si="4"/>
        <v>0</v>
      </c>
      <c r="T55">
        <f t="shared" si="5"/>
        <v>165571.54212228389</v>
      </c>
      <c r="U55" s="5"/>
      <c r="V55">
        <f t="shared" si="15"/>
        <v>50</v>
      </c>
      <c r="W55">
        <v>2019</v>
      </c>
      <c r="X55" s="5">
        <f t="shared" si="6"/>
        <v>13648934.041165834</v>
      </c>
      <c r="Y55" s="5">
        <f t="shared" si="7"/>
        <v>2047340.1061748751</v>
      </c>
      <c r="Z55" s="5">
        <f t="shared" si="8"/>
        <v>614202.03185246245</v>
      </c>
      <c r="AB55">
        <f t="shared" si="9"/>
        <v>50</v>
      </c>
      <c r="AC55" s="5">
        <f t="shared" si="10"/>
        <v>22195640.982370853</v>
      </c>
    </row>
    <row r="56" spans="2:29">
      <c r="F56">
        <f t="shared" si="11"/>
        <v>51</v>
      </c>
      <c r="G56">
        <v>2020</v>
      </c>
      <c r="H56" s="5">
        <f t="shared" si="12"/>
        <v>6109129.0444729347</v>
      </c>
      <c r="I56" s="5">
        <f t="shared" si="0"/>
        <v>488730.32355783478</v>
      </c>
      <c r="J56" s="5">
        <f t="shared" si="1"/>
        <v>97746.064711566956</v>
      </c>
      <c r="K56">
        <f t="shared" ref="K56:K64" si="16">M56</f>
        <v>172194.40380717526</v>
      </c>
      <c r="M56" s="5">
        <f t="shared" si="13"/>
        <v>172194.40380717526</v>
      </c>
      <c r="O56">
        <f t="shared" si="14"/>
        <v>51</v>
      </c>
      <c r="P56">
        <v>2020</v>
      </c>
      <c r="Q56" s="5">
        <f t="shared" si="2"/>
        <v>2779724.9785710103</v>
      </c>
      <c r="R56" s="5">
        <f t="shared" si="3"/>
        <v>138986.24892855051</v>
      </c>
      <c r="S56" s="5">
        <f t="shared" si="4"/>
        <v>0</v>
      </c>
      <c r="T56">
        <f t="shared" si="5"/>
        <v>172194.40380717526</v>
      </c>
      <c r="U56" s="5"/>
      <c r="V56">
        <f t="shared" si="15"/>
        <v>51</v>
      </c>
      <c r="W56">
        <v>2020</v>
      </c>
      <c r="X56" s="5">
        <f t="shared" si="6"/>
        <v>15082072.115488246</v>
      </c>
      <c r="Y56" s="5">
        <f t="shared" si="7"/>
        <v>2262310.8173232367</v>
      </c>
      <c r="Z56" s="5">
        <f t="shared" si="8"/>
        <v>678693.24519697099</v>
      </c>
      <c r="AB56">
        <f t="shared" si="9"/>
        <v>51</v>
      </c>
      <c r="AC56" s="5">
        <f t="shared" si="10"/>
        <v>23970926.138532192</v>
      </c>
    </row>
    <row r="57" spans="2:29">
      <c r="F57">
        <f t="shared" si="11"/>
        <v>52</v>
      </c>
      <c r="G57">
        <v>2021</v>
      </c>
      <c r="H57" s="5">
        <f t="shared" si="12"/>
        <v>6327918.8995120274</v>
      </c>
      <c r="I57" s="5">
        <f t="shared" si="0"/>
        <v>506233.51196096221</v>
      </c>
      <c r="J57" s="5">
        <f t="shared" si="1"/>
        <v>101246.70239219244</v>
      </c>
      <c r="K57">
        <f t="shared" si="16"/>
        <v>179082.17995946229</v>
      </c>
      <c r="M57" s="5">
        <f t="shared" si="13"/>
        <v>179082.17995946229</v>
      </c>
      <c r="O57">
        <f t="shared" si="14"/>
        <v>52</v>
      </c>
      <c r="P57">
        <v>2021</v>
      </c>
      <c r="Q57" s="5">
        <f t="shared" si="2"/>
        <v>2746516.8236923856</v>
      </c>
      <c r="R57" s="5">
        <f t="shared" si="3"/>
        <v>137325.84118461929</v>
      </c>
      <c r="S57" s="5">
        <f t="shared" si="4"/>
        <v>0</v>
      </c>
      <c r="T57">
        <f t="shared" si="5"/>
        <v>179082.17995946229</v>
      </c>
      <c r="U57" s="5"/>
      <c r="V57">
        <f t="shared" si="15"/>
        <v>52</v>
      </c>
      <c r="W57">
        <v>2021</v>
      </c>
      <c r="X57" s="5">
        <f t="shared" si="6"/>
        <v>16665689.687614514</v>
      </c>
      <c r="Y57" s="5">
        <f t="shared" si="7"/>
        <v>2499853.4531421768</v>
      </c>
      <c r="Z57" s="5">
        <f t="shared" si="8"/>
        <v>749956.03594265308</v>
      </c>
      <c r="AB57">
        <f t="shared" si="9"/>
        <v>52</v>
      </c>
      <c r="AC57" s="5">
        <f t="shared" si="10"/>
        <v>25740125.410818927</v>
      </c>
    </row>
    <row r="58" spans="2:29">
      <c r="F58">
        <f t="shared" si="11"/>
        <v>53</v>
      </c>
      <c r="G58">
        <v>2022</v>
      </c>
      <c r="H58" s="5">
        <f t="shared" si="12"/>
        <v>6553823.5291213347</v>
      </c>
      <c r="I58" s="5">
        <f t="shared" si="0"/>
        <v>524305.8823297068</v>
      </c>
      <c r="J58" s="5">
        <f t="shared" si="1"/>
        <v>104861.17646594136</v>
      </c>
      <c r="K58">
        <f t="shared" si="16"/>
        <v>186245.46715784079</v>
      </c>
      <c r="M58" s="5">
        <f t="shared" si="13"/>
        <v>186245.46715784079</v>
      </c>
      <c r="O58">
        <f t="shared" si="14"/>
        <v>53</v>
      </c>
      <c r="P58">
        <v>2022</v>
      </c>
      <c r="Q58" s="5">
        <f t="shared" si="2"/>
        <v>2704760.4849175424</v>
      </c>
      <c r="R58" s="5">
        <f t="shared" si="3"/>
        <v>135238.02424587714</v>
      </c>
      <c r="S58" s="5">
        <f t="shared" si="4"/>
        <v>0</v>
      </c>
      <c r="T58">
        <f t="shared" si="5"/>
        <v>186245.46715784079</v>
      </c>
      <c r="U58" s="5"/>
      <c r="V58">
        <f t="shared" si="15"/>
        <v>53</v>
      </c>
      <c r="W58">
        <v>2022</v>
      </c>
      <c r="X58" s="5">
        <f t="shared" si="6"/>
        <v>18415587.104814038</v>
      </c>
      <c r="Y58" s="5">
        <f t="shared" si="7"/>
        <v>2762338.0657221056</v>
      </c>
      <c r="Z58" s="5">
        <f t="shared" si="8"/>
        <v>828701.41971663164</v>
      </c>
      <c r="AB58">
        <f t="shared" si="9"/>
        <v>53</v>
      </c>
      <c r="AC58" s="5">
        <f t="shared" si="10"/>
        <v>27674171.118852917</v>
      </c>
    </row>
    <row r="59" spans="2:29">
      <c r="F59">
        <f t="shared" si="11"/>
        <v>54</v>
      </c>
      <c r="G59">
        <v>2023</v>
      </c>
      <c r="H59" s="5">
        <f t="shared" si="12"/>
        <v>6787022.7678272594</v>
      </c>
      <c r="I59" s="5">
        <f t="shared" si="0"/>
        <v>542961.82142618077</v>
      </c>
      <c r="J59" s="5">
        <f t="shared" si="1"/>
        <v>108592.36428523617</v>
      </c>
      <c r="K59">
        <f t="shared" si="16"/>
        <v>193695.28584415442</v>
      </c>
      <c r="M59" s="5">
        <f t="shared" si="13"/>
        <v>193695.28584415442</v>
      </c>
      <c r="O59">
        <f t="shared" si="14"/>
        <v>54</v>
      </c>
      <c r="P59">
        <v>2023</v>
      </c>
      <c r="Q59" s="5">
        <f t="shared" si="2"/>
        <v>2653753.042005579</v>
      </c>
      <c r="R59" s="5">
        <f t="shared" si="3"/>
        <v>132687.65210027897</v>
      </c>
      <c r="S59" s="5">
        <f t="shared" si="4"/>
        <v>0</v>
      </c>
      <c r="T59">
        <f t="shared" si="5"/>
        <v>193695.28584415442</v>
      </c>
      <c r="U59" s="5"/>
      <c r="V59">
        <f t="shared" si="15"/>
        <v>54</v>
      </c>
      <c r="W59">
        <v>2023</v>
      </c>
      <c r="X59" s="5">
        <f t="shared" si="6"/>
        <v>20349223.750819512</v>
      </c>
      <c r="Y59" s="5">
        <f t="shared" si="7"/>
        <v>3052383.5626229267</v>
      </c>
      <c r="Z59" s="5">
        <f t="shared" si="8"/>
        <v>915715.06878687802</v>
      </c>
      <c r="AB59">
        <f t="shared" si="9"/>
        <v>54</v>
      </c>
      <c r="AC59" s="5">
        <f t="shared" si="10"/>
        <v>29789999.560652353</v>
      </c>
    </row>
    <row r="60" spans="2:29">
      <c r="F60">
        <f t="shared" si="11"/>
        <v>55</v>
      </c>
      <c r="G60">
        <v>2024</v>
      </c>
      <c r="H60" s="5">
        <f t="shared" si="12"/>
        <v>7027696.9391240496</v>
      </c>
      <c r="I60" s="5">
        <f t="shared" si="0"/>
        <v>562215.75512992393</v>
      </c>
      <c r="J60" s="5">
        <f t="shared" si="1"/>
        <v>112443.15102598479</v>
      </c>
      <c r="K60">
        <f t="shared" si="16"/>
        <v>201443.09727792061</v>
      </c>
      <c r="M60" s="5">
        <f t="shared" si="13"/>
        <v>201443.09727792061</v>
      </c>
      <c r="O60">
        <f t="shared" si="14"/>
        <v>55</v>
      </c>
      <c r="P60">
        <v>2024</v>
      </c>
      <c r="Q60" s="5">
        <f t="shared" si="2"/>
        <v>2592745.4082617033</v>
      </c>
      <c r="R60" s="5">
        <f t="shared" si="3"/>
        <v>129637.27041308518</v>
      </c>
      <c r="S60" s="5">
        <f t="shared" si="4"/>
        <v>0</v>
      </c>
      <c r="T60">
        <f t="shared" si="5"/>
        <v>201443.09727792061</v>
      </c>
      <c r="U60" s="5"/>
      <c r="V60">
        <f t="shared" si="15"/>
        <v>55</v>
      </c>
      <c r="W60">
        <v>2024</v>
      </c>
      <c r="X60" s="5">
        <f t="shared" si="6"/>
        <v>22485892.244655561</v>
      </c>
      <c r="Y60" s="5">
        <f t="shared" si="7"/>
        <v>3372883.8366983342</v>
      </c>
      <c r="Z60" s="5">
        <f t="shared" si="8"/>
        <v>1011865.1510095003</v>
      </c>
      <c r="AB60">
        <f t="shared" si="9"/>
        <v>55</v>
      </c>
      <c r="AC60" s="5">
        <f t="shared" si="10"/>
        <v>32106334.592041314</v>
      </c>
    </row>
    <row r="61" spans="2:29">
      <c r="F61">
        <f t="shared" si="11"/>
        <v>56</v>
      </c>
      <c r="G61">
        <v>2025</v>
      </c>
      <c r="H61" s="5">
        <f t="shared" si="12"/>
        <v>7276026.4459500685</v>
      </c>
      <c r="I61" s="5">
        <f t="shared" si="0"/>
        <v>582082.11567600549</v>
      </c>
      <c r="J61" s="5">
        <f t="shared" si="1"/>
        <v>116416.4231352011</v>
      </c>
      <c r="K61">
        <f t="shared" si="16"/>
        <v>209500.82116903743</v>
      </c>
      <c r="M61" s="5">
        <f t="shared" si="13"/>
        <v>209500.82116903743</v>
      </c>
      <c r="O61">
        <f t="shared" si="14"/>
        <v>56</v>
      </c>
      <c r="P61">
        <v>2025</v>
      </c>
      <c r="Q61" s="5">
        <f t="shared" ref="Q61:Q107" si="17">Q60+R60-S60-T60</f>
        <v>2520939.581396868</v>
      </c>
      <c r="R61" s="5">
        <f t="shared" si="3"/>
        <v>126046.97906984341</v>
      </c>
      <c r="S61" s="5">
        <f t="shared" si="4"/>
        <v>0</v>
      </c>
      <c r="T61">
        <f t="shared" si="5"/>
        <v>209500.82116903743</v>
      </c>
      <c r="V61">
        <f t="shared" si="15"/>
        <v>56</v>
      </c>
      <c r="W61">
        <v>2025</v>
      </c>
      <c r="X61" s="5">
        <f t="shared" si="6"/>
        <v>24846910.930344395</v>
      </c>
      <c r="Y61" s="5">
        <f t="shared" si="7"/>
        <v>3727036.6395516591</v>
      </c>
      <c r="Z61" s="5">
        <f t="shared" si="8"/>
        <v>1118110.9918654978</v>
      </c>
      <c r="AB61">
        <f t="shared" si="9"/>
        <v>56</v>
      </c>
      <c r="AC61" s="5">
        <f t="shared" si="10"/>
        <v>34643876.957691327</v>
      </c>
    </row>
    <row r="62" spans="2:29">
      <c r="F62">
        <f t="shared" si="11"/>
        <v>57</v>
      </c>
      <c r="G62">
        <v>2026</v>
      </c>
      <c r="H62" s="5">
        <f t="shared" si="12"/>
        <v>7532191.3173218351</v>
      </c>
      <c r="I62" s="5">
        <f t="shared" si="0"/>
        <v>602575.30538574688</v>
      </c>
      <c r="J62" s="5">
        <f t="shared" si="1"/>
        <v>120515.06107714938</v>
      </c>
      <c r="K62">
        <f t="shared" si="16"/>
        <v>217880.85401579895</v>
      </c>
      <c r="M62" s="5">
        <f t="shared" si="13"/>
        <v>217880.85401579895</v>
      </c>
      <c r="O62">
        <f t="shared" si="14"/>
        <v>57</v>
      </c>
      <c r="P62">
        <v>2026</v>
      </c>
      <c r="Q62" s="5">
        <f t="shared" si="17"/>
        <v>2437485.739297674</v>
      </c>
      <c r="R62" s="5">
        <f t="shared" si="3"/>
        <v>121874.28696488371</v>
      </c>
      <c r="S62" s="5">
        <f t="shared" si="4"/>
        <v>0</v>
      </c>
      <c r="T62">
        <f t="shared" si="5"/>
        <v>217880.85401579895</v>
      </c>
      <c r="V62">
        <f t="shared" si="15"/>
        <v>57</v>
      </c>
      <c r="W62">
        <v>2026</v>
      </c>
      <c r="X62" s="5">
        <f t="shared" si="6"/>
        <v>27455836.578030556</v>
      </c>
      <c r="Y62" s="5">
        <f t="shared" si="7"/>
        <v>4118375.4867045833</v>
      </c>
      <c r="Z62" s="5">
        <f t="shared" si="8"/>
        <v>1235512.6460113749</v>
      </c>
      <c r="AB62">
        <f t="shared" si="9"/>
        <v>57</v>
      </c>
      <c r="AC62" s="5">
        <f t="shared" si="10"/>
        <v>37425513.634650066</v>
      </c>
    </row>
    <row r="63" spans="2:29">
      <c r="F63">
        <f t="shared" si="11"/>
        <v>58</v>
      </c>
      <c r="G63">
        <v>2027</v>
      </c>
      <c r="H63" s="5">
        <f t="shared" si="12"/>
        <v>7796370.7076146333</v>
      </c>
      <c r="I63" s="5">
        <f t="shared" si="0"/>
        <v>623709.65660917072</v>
      </c>
      <c r="J63" s="5">
        <f t="shared" si="1"/>
        <v>124741.93132183416</v>
      </c>
      <c r="K63">
        <f t="shared" si="16"/>
        <v>226596.0881764309</v>
      </c>
      <c r="M63" s="5">
        <f t="shared" si="13"/>
        <v>226596.0881764309</v>
      </c>
      <c r="O63">
        <f t="shared" si="14"/>
        <v>58</v>
      </c>
      <c r="P63">
        <v>2027</v>
      </c>
      <c r="Q63" s="5">
        <f t="shared" si="17"/>
        <v>2341479.1722467588</v>
      </c>
      <c r="R63" s="5">
        <f t="shared" si="3"/>
        <v>117073.95861233794</v>
      </c>
      <c r="S63" s="5">
        <f t="shared" si="4"/>
        <v>0</v>
      </c>
      <c r="T63">
        <f t="shared" si="5"/>
        <v>226596.0881764309</v>
      </c>
      <c r="V63">
        <f t="shared" si="15"/>
        <v>58</v>
      </c>
      <c r="W63">
        <v>2027</v>
      </c>
      <c r="X63" s="5">
        <f t="shared" si="6"/>
        <v>30338699.418723766</v>
      </c>
      <c r="Y63" s="5">
        <f t="shared" si="7"/>
        <v>4550804.9128085645</v>
      </c>
      <c r="Z63" s="5">
        <f t="shared" si="8"/>
        <v>1365241.4738425694</v>
      </c>
      <c r="AB63">
        <f t="shared" si="9"/>
        <v>58</v>
      </c>
      <c r="AC63" s="5">
        <f t="shared" si="10"/>
        <v>40476549.298585154</v>
      </c>
    </row>
    <row r="64" spans="2:29">
      <c r="F64">
        <f t="shared" si="11"/>
        <v>59</v>
      </c>
      <c r="G64">
        <v>2028</v>
      </c>
      <c r="H64" s="5">
        <f t="shared" si="12"/>
        <v>8068742.344725539</v>
      </c>
      <c r="I64" s="5">
        <f t="shared" si="0"/>
        <v>645499.38757804316</v>
      </c>
      <c r="J64" s="5">
        <f t="shared" si="1"/>
        <v>129099.87751560863</v>
      </c>
      <c r="K64">
        <f t="shared" si="16"/>
        <v>235659.93170348814</v>
      </c>
      <c r="M64" s="5">
        <f t="shared" si="13"/>
        <v>235659.93170348814</v>
      </c>
      <c r="O64">
        <f t="shared" si="14"/>
        <v>59</v>
      </c>
      <c r="P64">
        <v>2028</v>
      </c>
      <c r="Q64" s="5">
        <f t="shared" si="17"/>
        <v>2231957.0426826654</v>
      </c>
      <c r="R64" s="5">
        <f t="shared" si="3"/>
        <v>111597.85213413328</v>
      </c>
      <c r="S64" s="5">
        <f t="shared" si="4"/>
        <v>0</v>
      </c>
      <c r="T64">
        <f t="shared" si="5"/>
        <v>235659.93170348814</v>
      </c>
      <c r="V64">
        <f t="shared" si="15"/>
        <v>59</v>
      </c>
      <c r="W64">
        <v>2028</v>
      </c>
      <c r="X64" s="5">
        <f t="shared" si="6"/>
        <v>33524262.857689761</v>
      </c>
      <c r="Y64" s="5">
        <f t="shared" si="7"/>
        <v>5028639.4286534637</v>
      </c>
      <c r="Z64" s="5">
        <f t="shared" si="8"/>
        <v>1508591.828596039</v>
      </c>
      <c r="AB64">
        <f t="shared" si="9"/>
        <v>59</v>
      </c>
      <c r="AC64" s="5">
        <f t="shared" si="10"/>
        <v>43824962.245097965</v>
      </c>
    </row>
    <row r="65" spans="6:29">
      <c r="F65">
        <f t="shared" si="11"/>
        <v>60</v>
      </c>
      <c r="G65">
        <v>2029</v>
      </c>
      <c r="H65" s="5">
        <f t="shared" si="12"/>
        <v>8349481.9230844853</v>
      </c>
      <c r="I65" s="5">
        <f t="shared" si="0"/>
        <v>667958.55384675879</v>
      </c>
      <c r="J65" s="5">
        <f t="shared" si="1"/>
        <v>133591.71076935178</v>
      </c>
      <c r="K65">
        <f>M65</f>
        <v>245086.32897162766</v>
      </c>
      <c r="M65" s="5">
        <f t="shared" si="13"/>
        <v>245086.32897162766</v>
      </c>
      <c r="O65">
        <f t="shared" si="14"/>
        <v>60</v>
      </c>
      <c r="P65">
        <v>2029</v>
      </c>
      <c r="Q65" s="5">
        <f t="shared" si="17"/>
        <v>2107894.9631133103</v>
      </c>
      <c r="R65" s="5">
        <f t="shared" si="3"/>
        <v>105394.74815566553</v>
      </c>
      <c r="S65" s="5">
        <f t="shared" si="4"/>
        <v>0</v>
      </c>
      <c r="T65">
        <f t="shared" si="5"/>
        <v>245086.32897162766</v>
      </c>
      <c r="V65">
        <f t="shared" si="15"/>
        <v>60</v>
      </c>
      <c r="W65">
        <v>2029</v>
      </c>
      <c r="X65" s="5">
        <f t="shared" si="6"/>
        <v>37044310.457747184</v>
      </c>
      <c r="Y65" s="5">
        <f t="shared" si="7"/>
        <v>5556646.5686620772</v>
      </c>
      <c r="Z65" s="5">
        <f t="shared" si="8"/>
        <v>1666993.9705986232</v>
      </c>
      <c r="AB65">
        <f t="shared" si="9"/>
        <v>60</v>
      </c>
      <c r="AC65" s="5">
        <f t="shared" si="10"/>
        <v>47501687.343944974</v>
      </c>
    </row>
    <row r="66" spans="6:29">
      <c r="F66">
        <f t="shared" si="11"/>
        <v>61</v>
      </c>
      <c r="G66">
        <v>2030</v>
      </c>
      <c r="H66" s="5">
        <f t="shared" si="12"/>
        <v>8638762.4371902645</v>
      </c>
      <c r="I66" s="5">
        <f t="shared" si="0"/>
        <v>691100.99497522123</v>
      </c>
      <c r="J66" s="5">
        <f t="shared" si="1"/>
        <v>138220.19899504425</v>
      </c>
      <c r="K66">
        <f t="shared" ref="K66:K107" si="18">M66</f>
        <v>254889.78213049276</v>
      </c>
      <c r="M66" s="5">
        <f t="shared" si="13"/>
        <v>254889.78213049276</v>
      </c>
      <c r="O66">
        <f t="shared" si="14"/>
        <v>61</v>
      </c>
      <c r="P66">
        <v>2030</v>
      </c>
      <c r="Q66" s="5">
        <f t="shared" si="17"/>
        <v>1968203.3822973482</v>
      </c>
      <c r="R66" s="5">
        <f t="shared" si="3"/>
        <v>98410.169114867414</v>
      </c>
      <c r="S66" s="5">
        <f t="shared" si="4"/>
        <v>0</v>
      </c>
      <c r="T66">
        <f t="shared" si="5"/>
        <v>254889.78213049276</v>
      </c>
      <c r="V66">
        <f t="shared" si="15"/>
        <v>61</v>
      </c>
      <c r="W66">
        <v>2030</v>
      </c>
      <c r="X66" s="5">
        <f t="shared" si="6"/>
        <v>40933963.055810638</v>
      </c>
      <c r="Y66" s="5">
        <f t="shared" si="7"/>
        <v>6140094.4583715955</v>
      </c>
      <c r="Z66" s="5">
        <f t="shared" si="8"/>
        <v>1842028.3375114787</v>
      </c>
      <c r="AB66">
        <f t="shared" si="9"/>
        <v>61</v>
      </c>
      <c r="AC66" s="5">
        <f t="shared" si="10"/>
        <v>51540928.875298247</v>
      </c>
    </row>
    <row r="67" spans="6:29">
      <c r="F67">
        <f t="shared" si="11"/>
        <v>62</v>
      </c>
      <c r="G67">
        <v>2031</v>
      </c>
      <c r="H67" s="5">
        <f t="shared" si="12"/>
        <v>8936753.4510399476</v>
      </c>
      <c r="I67" s="5">
        <f t="shared" si="0"/>
        <v>714940.27608319581</v>
      </c>
      <c r="J67" s="5">
        <f t="shared" si="1"/>
        <v>142988.05521663916</v>
      </c>
      <c r="K67">
        <f t="shared" si="18"/>
        <v>265085.3734157125</v>
      </c>
      <c r="M67" s="5">
        <f t="shared" si="13"/>
        <v>265085.3734157125</v>
      </c>
      <c r="O67">
        <f t="shared" si="14"/>
        <v>62</v>
      </c>
      <c r="P67">
        <v>2031</v>
      </c>
      <c r="Q67" s="5">
        <f t="shared" si="17"/>
        <v>1811723.7692817228</v>
      </c>
      <c r="R67" s="5">
        <f t="shared" si="3"/>
        <v>90586.188464086154</v>
      </c>
      <c r="S67" s="5">
        <f t="shared" si="4"/>
        <v>0</v>
      </c>
      <c r="T67">
        <f t="shared" si="5"/>
        <v>265085.3734157125</v>
      </c>
      <c r="V67">
        <f t="shared" si="15"/>
        <v>62</v>
      </c>
      <c r="W67">
        <v>2031</v>
      </c>
      <c r="X67" s="5">
        <f t="shared" si="6"/>
        <v>45232029.176670752</v>
      </c>
      <c r="Y67" s="5">
        <f t="shared" si="7"/>
        <v>6784804.3765006131</v>
      </c>
      <c r="Z67" s="5">
        <f t="shared" si="8"/>
        <v>2035441.3129501839</v>
      </c>
      <c r="AB67">
        <f t="shared" si="9"/>
        <v>62</v>
      </c>
      <c r="AC67" s="5">
        <f t="shared" si="10"/>
        <v>55980506.396992423</v>
      </c>
    </row>
    <row r="68" spans="6:29">
      <c r="F68">
        <f t="shared" si="11"/>
        <v>63</v>
      </c>
      <c r="G68">
        <v>2032</v>
      </c>
      <c r="H68" s="5">
        <f t="shared" si="12"/>
        <v>9243620.2984907925</v>
      </c>
      <c r="I68" s="5">
        <f t="shared" si="0"/>
        <v>739489.62387926341</v>
      </c>
      <c r="J68" s="5">
        <f t="shared" si="1"/>
        <v>147897.92477585268</v>
      </c>
      <c r="K68">
        <f t="shared" si="18"/>
        <v>275688.78835234098</v>
      </c>
      <c r="M68" s="5">
        <f t="shared" si="13"/>
        <v>275688.78835234098</v>
      </c>
      <c r="O68">
        <f t="shared" si="14"/>
        <v>63</v>
      </c>
      <c r="P68">
        <v>2032</v>
      </c>
      <c r="Q68" s="5">
        <f t="shared" si="17"/>
        <v>1637224.5843300966</v>
      </c>
      <c r="R68" s="5">
        <f t="shared" si="3"/>
        <v>81861.229216504842</v>
      </c>
      <c r="S68" s="5">
        <f t="shared" si="4"/>
        <v>0</v>
      </c>
      <c r="T68">
        <f t="shared" si="5"/>
        <v>275688.78835234098</v>
      </c>
      <c r="V68">
        <f t="shared" si="15"/>
        <v>63</v>
      </c>
      <c r="W68">
        <v>2032</v>
      </c>
      <c r="X68" s="5">
        <f t="shared" si="6"/>
        <v>49981392.24022118</v>
      </c>
      <c r="Y68" s="5">
        <f t="shared" si="7"/>
        <v>7497208.8360331766</v>
      </c>
      <c r="Z68" s="5">
        <f t="shared" si="8"/>
        <v>2249162.650809953</v>
      </c>
      <c r="AB68">
        <f t="shared" si="9"/>
        <v>63</v>
      </c>
      <c r="AC68" s="5">
        <f t="shared" si="10"/>
        <v>60862237.123042069</v>
      </c>
    </row>
    <row r="69" spans="6:29">
      <c r="F69">
        <f t="shared" si="11"/>
        <v>64</v>
      </c>
      <c r="G69">
        <v>2033</v>
      </c>
      <c r="H69" s="5">
        <f t="shared" si="12"/>
        <v>9559523.2092418633</v>
      </c>
      <c r="I69" s="5">
        <f t="shared" si="0"/>
        <v>764761.85673934908</v>
      </c>
      <c r="J69" s="5">
        <f t="shared" si="1"/>
        <v>152952.37134786983</v>
      </c>
      <c r="K69">
        <f t="shared" si="18"/>
        <v>286716.33988643461</v>
      </c>
      <c r="M69" s="5">
        <f t="shared" si="13"/>
        <v>286716.33988643461</v>
      </c>
      <c r="O69">
        <f t="shared" si="14"/>
        <v>64</v>
      </c>
      <c r="P69">
        <v>2033</v>
      </c>
      <c r="Q69" s="5">
        <f t="shared" si="17"/>
        <v>1443397.0251942605</v>
      </c>
      <c r="R69" s="5">
        <f t="shared" si="3"/>
        <v>72169.851259713032</v>
      </c>
      <c r="S69" s="5">
        <f t="shared" si="4"/>
        <v>0</v>
      </c>
      <c r="T69">
        <f t="shared" si="5"/>
        <v>286716.33988643461</v>
      </c>
      <c r="V69">
        <f t="shared" si="15"/>
        <v>64</v>
      </c>
      <c r="W69">
        <v>2033</v>
      </c>
      <c r="X69" s="5">
        <f t="shared" si="6"/>
        <v>55229438.425444402</v>
      </c>
      <c r="Y69" s="5">
        <f t="shared" si="7"/>
        <v>8284415.7638166603</v>
      </c>
      <c r="Z69" s="5">
        <f t="shared" si="8"/>
        <v>2485324.7291449979</v>
      </c>
      <c r="AB69">
        <f t="shared" si="9"/>
        <v>64</v>
      </c>
      <c r="AC69" s="5">
        <f t="shared" si="10"/>
        <v>66232358.659880519</v>
      </c>
    </row>
    <row r="70" spans="6:29">
      <c r="F70">
        <f t="shared" si="11"/>
        <v>65</v>
      </c>
      <c r="G70">
        <v>2034</v>
      </c>
      <c r="H70" s="5">
        <f t="shared" si="12"/>
        <v>9884616.3547469079</v>
      </c>
      <c r="I70" s="5">
        <f t="shared" si="0"/>
        <v>790769.30837975268</v>
      </c>
      <c r="J70" s="5">
        <f t="shared" ref="J70:J107" si="19">I70*$J$37</f>
        <v>158153.86167595055</v>
      </c>
      <c r="K70">
        <f t="shared" si="18"/>
        <v>298184.99348189199</v>
      </c>
      <c r="M70" s="5">
        <f t="shared" si="13"/>
        <v>298184.99348189199</v>
      </c>
      <c r="O70">
        <f t="shared" si="14"/>
        <v>65</v>
      </c>
      <c r="P70">
        <v>2034</v>
      </c>
      <c r="Q70" s="5">
        <f t="shared" si="17"/>
        <v>1228850.536567539</v>
      </c>
      <c r="R70" s="5">
        <f t="shared" si="3"/>
        <v>61442.526828376955</v>
      </c>
      <c r="S70" s="5">
        <f t="shared" si="4"/>
        <v>0</v>
      </c>
      <c r="T70">
        <f t="shared" si="5"/>
        <v>298184.99348189199</v>
      </c>
      <c r="V70">
        <f t="shared" si="15"/>
        <v>65</v>
      </c>
      <c r="W70">
        <v>2034</v>
      </c>
      <c r="X70" s="5">
        <f t="shared" si="6"/>
        <v>61028529.460116066</v>
      </c>
      <c r="Y70" s="5">
        <f t="shared" si="7"/>
        <v>9154279.4190174099</v>
      </c>
      <c r="Z70" s="5">
        <f t="shared" si="8"/>
        <v>2746283.8257052228</v>
      </c>
      <c r="AB70">
        <f t="shared" si="9"/>
        <v>65</v>
      </c>
      <c r="AC70" s="5">
        <f t="shared" si="10"/>
        <v>72141996.351430506</v>
      </c>
    </row>
    <row r="71" spans="6:29">
      <c r="F71">
        <f t="shared" si="11"/>
        <v>66</v>
      </c>
      <c r="G71">
        <v>2035</v>
      </c>
      <c r="H71" s="5">
        <f t="shared" si="12"/>
        <v>10219046.80796882</v>
      </c>
      <c r="I71" s="5">
        <f t="shared" si="0"/>
        <v>817523.74463750562</v>
      </c>
      <c r="J71" s="5">
        <f t="shared" si="19"/>
        <v>163504.74892750115</v>
      </c>
      <c r="K71">
        <f t="shared" si="18"/>
        <v>310112.39322116767</v>
      </c>
      <c r="M71" s="5">
        <f t="shared" si="13"/>
        <v>310112.39322116767</v>
      </c>
      <c r="O71">
        <f t="shared" si="14"/>
        <v>66</v>
      </c>
      <c r="P71">
        <v>2035</v>
      </c>
      <c r="Q71" s="5">
        <f t="shared" si="17"/>
        <v>992108.06991402409</v>
      </c>
      <c r="R71" s="5">
        <f t="shared" si="3"/>
        <v>49605.403495701205</v>
      </c>
      <c r="S71" s="5">
        <f t="shared" si="4"/>
        <v>0</v>
      </c>
      <c r="T71">
        <f t="shared" si="5"/>
        <v>310112.39322116767</v>
      </c>
      <c r="V71">
        <f t="shared" si="15"/>
        <v>66</v>
      </c>
      <c r="W71">
        <v>2035</v>
      </c>
      <c r="X71" s="5">
        <f t="shared" si="6"/>
        <v>67436525.053428262</v>
      </c>
      <c r="Y71" s="5">
        <f t="shared" si="7"/>
        <v>10115478.758014239</v>
      </c>
      <c r="Z71" s="5">
        <f t="shared" si="8"/>
        <v>3034643.6274042716</v>
      </c>
      <c r="AB71">
        <f t="shared" si="9"/>
        <v>66</v>
      </c>
      <c r="AC71" s="5">
        <f t="shared" si="10"/>
        <v>78647679.931311116</v>
      </c>
    </row>
    <row r="72" spans="6:29">
      <c r="F72">
        <f t="shared" si="11"/>
        <v>67</v>
      </c>
      <c r="G72">
        <v>2036</v>
      </c>
      <c r="H72" s="5">
        <f t="shared" si="12"/>
        <v>10562953.410457656</v>
      </c>
      <c r="I72" s="5">
        <f t="shared" si="0"/>
        <v>845036.27283661254</v>
      </c>
      <c r="J72" s="5">
        <f t="shared" si="19"/>
        <v>169007.25456732252</v>
      </c>
      <c r="K72">
        <f t="shared" si="18"/>
        <v>322516.88895001437</v>
      </c>
      <c r="M72" s="5">
        <f t="shared" si="13"/>
        <v>322516.88895001437</v>
      </c>
      <c r="O72">
        <f t="shared" si="14"/>
        <v>67</v>
      </c>
      <c r="P72">
        <v>2036</v>
      </c>
      <c r="Q72" s="5">
        <f t="shared" si="17"/>
        <v>731601.08018855774</v>
      </c>
      <c r="R72" s="5">
        <f t="shared" si="3"/>
        <v>36580.054009427891</v>
      </c>
      <c r="S72" s="5">
        <f t="shared" si="4"/>
        <v>0</v>
      </c>
      <c r="T72">
        <f t="shared" si="5"/>
        <v>322516.88895001437</v>
      </c>
      <c r="V72">
        <f t="shared" si="15"/>
        <v>67</v>
      </c>
      <c r="W72">
        <v>2036</v>
      </c>
      <c r="X72" s="5">
        <f t="shared" si="6"/>
        <v>74517360.184038222</v>
      </c>
      <c r="Y72" s="5">
        <f t="shared" si="7"/>
        <v>11177604.027605733</v>
      </c>
      <c r="Z72" s="5">
        <f t="shared" si="8"/>
        <v>3353281.2082817196</v>
      </c>
      <c r="AB72">
        <f t="shared" si="9"/>
        <v>67</v>
      </c>
      <c r="AC72" s="5">
        <f t="shared" si="10"/>
        <v>85811914.674684435</v>
      </c>
    </row>
    <row r="73" spans="6:29">
      <c r="F73">
        <f t="shared" si="11"/>
        <v>68</v>
      </c>
      <c r="G73">
        <v>2037</v>
      </c>
      <c r="H73" s="5">
        <f t="shared" si="12"/>
        <v>10916465.539776931</v>
      </c>
      <c r="I73" s="5">
        <f t="shared" si="0"/>
        <v>873317.24318215449</v>
      </c>
      <c r="J73" s="5">
        <f t="shared" si="19"/>
        <v>174663.4486364309</v>
      </c>
      <c r="K73">
        <f t="shared" si="18"/>
        <v>335417.56450801494</v>
      </c>
      <c r="M73" s="5">
        <f t="shared" si="13"/>
        <v>335417.56450801494</v>
      </c>
      <c r="O73">
        <f t="shared" si="14"/>
        <v>68</v>
      </c>
      <c r="P73">
        <v>2037</v>
      </c>
      <c r="Q73" s="5">
        <f t="shared" si="17"/>
        <v>445664.24524797127</v>
      </c>
      <c r="R73" s="5">
        <f t="shared" si="3"/>
        <v>22283.212262398563</v>
      </c>
      <c r="S73" s="5">
        <f t="shared" si="4"/>
        <v>0</v>
      </c>
      <c r="T73">
        <f t="shared" si="5"/>
        <v>335417.56450801494</v>
      </c>
      <c r="V73">
        <f t="shared" si="15"/>
        <v>68</v>
      </c>
      <c r="W73">
        <v>2037</v>
      </c>
      <c r="X73" s="5">
        <f t="shared" si="6"/>
        <v>82341683.003362224</v>
      </c>
      <c r="Y73" s="5">
        <f t="shared" si="7"/>
        <v>12351252.450504333</v>
      </c>
      <c r="Z73" s="5">
        <f t="shared" si="8"/>
        <v>3705375.7351512997</v>
      </c>
      <c r="AB73">
        <f t="shared" si="9"/>
        <v>68</v>
      </c>
      <c r="AC73" s="5">
        <f t="shared" si="10"/>
        <v>93703812.788387135</v>
      </c>
    </row>
    <row r="74" spans="6:29">
      <c r="F74">
        <f t="shared" si="11"/>
        <v>69</v>
      </c>
      <c r="G74">
        <v>2038</v>
      </c>
      <c r="H74" s="5">
        <f t="shared" si="12"/>
        <v>11279701.769814638</v>
      </c>
      <c r="I74" s="5">
        <f t="shared" si="0"/>
        <v>902376.14158517111</v>
      </c>
      <c r="J74" s="5">
        <f t="shared" si="19"/>
        <v>180475.22831703423</v>
      </c>
      <c r="K74">
        <f t="shared" si="18"/>
        <v>348834.26708833553</v>
      </c>
      <c r="M74" s="5">
        <f t="shared" si="13"/>
        <v>348834.26708833553</v>
      </c>
      <c r="O74">
        <f t="shared" si="14"/>
        <v>69</v>
      </c>
      <c r="P74">
        <v>2038</v>
      </c>
      <c r="Q74" s="5">
        <f t="shared" si="17"/>
        <v>132529.89300235489</v>
      </c>
      <c r="R74" s="5">
        <f t="shared" si="3"/>
        <v>6626.4946501177446</v>
      </c>
      <c r="S74" s="5">
        <f t="shared" si="4"/>
        <v>0</v>
      </c>
      <c r="T74">
        <f t="shared" si="5"/>
        <v>348834.26708833553</v>
      </c>
      <c r="V74">
        <f t="shared" si="15"/>
        <v>69</v>
      </c>
      <c r="W74">
        <v>2038</v>
      </c>
      <c r="X74" s="5">
        <f t="shared" si="6"/>
        <v>90987559.71871525</v>
      </c>
      <c r="Y74" s="5">
        <f t="shared" si="7"/>
        <v>13648133.957807288</v>
      </c>
      <c r="Z74" s="5">
        <f t="shared" si="8"/>
        <v>4094440.187342186</v>
      </c>
      <c r="AB74">
        <f t="shared" si="9"/>
        <v>69</v>
      </c>
      <c r="AC74" s="5">
        <f t="shared" si="10"/>
        <v>102399791.38153225</v>
      </c>
    </row>
    <row r="75" spans="6:29">
      <c r="F75">
        <f t="shared" si="11"/>
        <v>70</v>
      </c>
      <c r="G75">
        <v>2039</v>
      </c>
      <c r="H75" s="5">
        <f t="shared" si="12"/>
        <v>11652768.415994441</v>
      </c>
      <c r="I75" s="5">
        <f t="shared" si="0"/>
        <v>932221.47327955533</v>
      </c>
      <c r="J75" s="5">
        <f t="shared" si="19"/>
        <v>186444.29465591107</v>
      </c>
      <c r="K75">
        <f t="shared" si="18"/>
        <v>362787.63777186896</v>
      </c>
      <c r="M75" s="5">
        <f t="shared" si="13"/>
        <v>362787.63777186896</v>
      </c>
      <c r="O75">
        <f t="shared" si="14"/>
        <v>70</v>
      </c>
      <c r="P75">
        <v>2039</v>
      </c>
      <c r="Q75" s="5">
        <f t="shared" si="17"/>
        <v>-209677.87943586291</v>
      </c>
      <c r="R75" s="5">
        <f t="shared" si="3"/>
        <v>-10483.893971793146</v>
      </c>
      <c r="S75" s="5">
        <f t="shared" si="4"/>
        <v>0</v>
      </c>
      <c r="T75">
        <f t="shared" si="5"/>
        <v>362787.63777186896</v>
      </c>
      <c r="V75">
        <f t="shared" si="15"/>
        <v>70</v>
      </c>
      <c r="W75">
        <v>2039</v>
      </c>
      <c r="X75" s="5">
        <f t="shared" si="6"/>
        <v>100541253.48918036</v>
      </c>
      <c r="Y75" s="5">
        <f t="shared" si="7"/>
        <v>15081188.023377053</v>
      </c>
      <c r="Z75" s="5">
        <f t="shared" si="8"/>
        <v>4524356.4070131155</v>
      </c>
      <c r="AB75">
        <f t="shared" si="9"/>
        <v>70</v>
      </c>
      <c r="AC75" s="5">
        <f t="shared" si="10"/>
        <v>111984344.02573892</v>
      </c>
    </row>
    <row r="76" spans="6:29">
      <c r="F76">
        <f t="shared" si="11"/>
        <v>71</v>
      </c>
      <c r="G76">
        <v>2040</v>
      </c>
      <c r="H76" s="5">
        <f t="shared" si="12"/>
        <v>12035757.956846217</v>
      </c>
      <c r="I76" s="5">
        <f t="shared" si="0"/>
        <v>962860.63654769736</v>
      </c>
      <c r="J76" s="5">
        <f t="shared" si="19"/>
        <v>192572.12730953947</v>
      </c>
      <c r="K76">
        <f t="shared" si="18"/>
        <v>377299.14328274375</v>
      </c>
      <c r="M76" s="5">
        <f t="shared" si="13"/>
        <v>377299.14328274375</v>
      </c>
      <c r="O76">
        <f t="shared" si="14"/>
        <v>71</v>
      </c>
      <c r="P76">
        <v>2040</v>
      </c>
      <c r="Q76" s="5">
        <f t="shared" si="17"/>
        <v>-582949.41117952508</v>
      </c>
      <c r="R76" s="5">
        <f t="shared" si="3"/>
        <v>-29147.470558976256</v>
      </c>
      <c r="S76" s="5">
        <f t="shared" si="4"/>
        <v>0</v>
      </c>
      <c r="T76">
        <f t="shared" si="5"/>
        <v>377299.14328274375</v>
      </c>
      <c r="V76">
        <f t="shared" si="15"/>
        <v>71</v>
      </c>
      <c r="W76">
        <v>2040</v>
      </c>
      <c r="X76" s="5">
        <f t="shared" si="6"/>
        <v>111098085.1055443</v>
      </c>
      <c r="Y76" s="5">
        <f t="shared" si="7"/>
        <v>16664712.765831644</v>
      </c>
      <c r="Z76" s="5">
        <f t="shared" si="8"/>
        <v>4999413.8297494929</v>
      </c>
      <c r="AB76">
        <f t="shared" si="9"/>
        <v>71</v>
      </c>
      <c r="AC76" s="5">
        <f t="shared" si="10"/>
        <v>122550893.65121099</v>
      </c>
    </row>
    <row r="77" spans="6:29">
      <c r="F77">
        <f t="shared" si="11"/>
        <v>72</v>
      </c>
      <c r="G77">
        <v>2041</v>
      </c>
      <c r="H77" s="5">
        <f t="shared" si="12"/>
        <v>12428747.322801631</v>
      </c>
      <c r="I77" s="5">
        <f t="shared" si="0"/>
        <v>994299.78582413052</v>
      </c>
      <c r="J77" s="5">
        <f t="shared" si="19"/>
        <v>198859.9571648261</v>
      </c>
      <c r="K77">
        <f t="shared" si="18"/>
        <v>392391.10901405354</v>
      </c>
      <c r="M77" s="5">
        <f t="shared" si="13"/>
        <v>392391.10901405354</v>
      </c>
      <c r="O77">
        <f t="shared" si="14"/>
        <v>72</v>
      </c>
      <c r="P77">
        <v>2041</v>
      </c>
      <c r="Q77" s="5">
        <f t="shared" si="17"/>
        <v>-989396.02502124512</v>
      </c>
      <c r="R77" s="5">
        <f t="shared" si="3"/>
        <v>-49469.801251062258</v>
      </c>
      <c r="S77" s="5">
        <f t="shared" si="4"/>
        <v>0</v>
      </c>
      <c r="T77">
        <f t="shared" si="5"/>
        <v>392391.10901405354</v>
      </c>
      <c r="V77">
        <f t="shared" si="15"/>
        <v>72</v>
      </c>
      <c r="W77">
        <v>2041</v>
      </c>
      <c r="X77" s="5">
        <f t="shared" si="6"/>
        <v>122763384.04162645</v>
      </c>
      <c r="Y77" s="5">
        <f t="shared" si="7"/>
        <v>18414507.606243968</v>
      </c>
      <c r="Z77" s="5">
        <f t="shared" si="8"/>
        <v>5524352.2818731898</v>
      </c>
      <c r="AB77">
        <f t="shared" si="9"/>
        <v>72</v>
      </c>
      <c r="AC77" s="5">
        <f t="shared" si="10"/>
        <v>134202735.33940685</v>
      </c>
    </row>
    <row r="78" spans="6:29">
      <c r="F78">
        <f t="shared" si="11"/>
        <v>73</v>
      </c>
      <c r="G78">
        <v>2042</v>
      </c>
      <c r="H78" s="5">
        <f t="shared" si="12"/>
        <v>12831796.042446883</v>
      </c>
      <c r="I78" s="5">
        <f t="shared" si="0"/>
        <v>1026543.6833957507</v>
      </c>
      <c r="J78" s="5">
        <f t="shared" si="19"/>
        <v>205308.73667915014</v>
      </c>
      <c r="K78">
        <f t="shared" si="18"/>
        <v>408086.75337461568</v>
      </c>
      <c r="M78" s="5">
        <f t="shared" si="13"/>
        <v>408086.75337461568</v>
      </c>
      <c r="O78">
        <f t="shared" si="14"/>
        <v>73</v>
      </c>
      <c r="P78">
        <v>2042</v>
      </c>
      <c r="Q78" s="5">
        <f t="shared" si="17"/>
        <v>-1431256.935286361</v>
      </c>
      <c r="R78" s="5">
        <f t="shared" si="3"/>
        <v>-71562.846764318048</v>
      </c>
      <c r="S78" s="5">
        <f t="shared" si="4"/>
        <v>0</v>
      </c>
      <c r="T78">
        <f t="shared" si="5"/>
        <v>408086.75337461568</v>
      </c>
      <c r="V78">
        <f t="shared" si="15"/>
        <v>73</v>
      </c>
      <c r="W78">
        <v>2042</v>
      </c>
      <c r="X78" s="5">
        <f t="shared" si="6"/>
        <v>135653539.36599723</v>
      </c>
      <c r="Y78" s="5">
        <f t="shared" si="7"/>
        <v>20348030.904899582</v>
      </c>
      <c r="Z78" s="5">
        <f t="shared" si="8"/>
        <v>6104409.2714698743</v>
      </c>
      <c r="AB78">
        <f t="shared" si="9"/>
        <v>73</v>
      </c>
      <c r="AC78" s="5">
        <f t="shared" si="10"/>
        <v>147054078.47315773</v>
      </c>
    </row>
    <row r="79" spans="6:29">
      <c r="F79">
        <f t="shared" si="11"/>
        <v>74</v>
      </c>
      <c r="G79">
        <v>2043</v>
      </c>
      <c r="H79" s="5">
        <f t="shared" si="12"/>
        <v>13244944.235788869</v>
      </c>
      <c r="I79" s="5">
        <f t="shared" si="0"/>
        <v>1059595.5388631094</v>
      </c>
      <c r="J79" s="5">
        <f t="shared" si="19"/>
        <v>211919.10777262191</v>
      </c>
      <c r="K79">
        <f t="shared" si="18"/>
        <v>424410.22350960033</v>
      </c>
      <c r="M79" s="5">
        <f t="shared" si="13"/>
        <v>424410.22350960033</v>
      </c>
      <c r="O79">
        <f t="shared" si="14"/>
        <v>74</v>
      </c>
      <c r="P79">
        <v>2043</v>
      </c>
      <c r="Q79" s="5">
        <f t="shared" si="17"/>
        <v>-1910906.5354252947</v>
      </c>
      <c r="R79" s="5">
        <f t="shared" si="3"/>
        <v>-95545.326771264736</v>
      </c>
      <c r="S79" s="5">
        <f t="shared" si="4"/>
        <v>0</v>
      </c>
      <c r="T79">
        <f t="shared" si="5"/>
        <v>424410.22350960033</v>
      </c>
      <c r="V79">
        <f t="shared" si="15"/>
        <v>74</v>
      </c>
      <c r="W79">
        <v>2043</v>
      </c>
      <c r="X79" s="5">
        <f t="shared" si="6"/>
        <v>149897160.99942693</v>
      </c>
      <c r="Y79" s="5">
        <f t="shared" si="7"/>
        <v>22484574.149914037</v>
      </c>
      <c r="Z79" s="5">
        <f t="shared" si="8"/>
        <v>6745372.2449742109</v>
      </c>
      <c r="AB79">
        <f t="shared" si="9"/>
        <v>74</v>
      </c>
      <c r="AC79" s="5">
        <f t="shared" si="10"/>
        <v>161231198.69979051</v>
      </c>
    </row>
    <row r="80" spans="6:29">
      <c r="F80">
        <f t="shared" si="11"/>
        <v>75</v>
      </c>
      <c r="G80">
        <v>2044</v>
      </c>
      <c r="H80" s="5">
        <f t="shared" si="12"/>
        <v>13668210.443369756</v>
      </c>
      <c r="I80" s="5">
        <f t="shared" si="0"/>
        <v>1093456.8354695805</v>
      </c>
      <c r="J80" s="5">
        <f t="shared" si="19"/>
        <v>218691.36709391611</v>
      </c>
      <c r="K80">
        <f t="shared" si="18"/>
        <v>441386.63244998438</v>
      </c>
      <c r="M80" s="5">
        <f t="shared" si="13"/>
        <v>441386.63244998438</v>
      </c>
      <c r="O80">
        <f t="shared" si="14"/>
        <v>75</v>
      </c>
      <c r="P80">
        <v>2044</v>
      </c>
      <c r="Q80" s="5">
        <f t="shared" si="17"/>
        <v>-2430862.0857061595</v>
      </c>
      <c r="R80" s="5">
        <f t="shared" si="3"/>
        <v>-121543.10428530799</v>
      </c>
      <c r="S80" s="5">
        <f t="shared" si="4"/>
        <v>0</v>
      </c>
      <c r="T80">
        <f t="shared" si="5"/>
        <v>441386.63244998438</v>
      </c>
      <c r="V80">
        <f t="shared" si="15"/>
        <v>75</v>
      </c>
      <c r="W80">
        <v>2044</v>
      </c>
      <c r="X80" s="5">
        <f t="shared" si="6"/>
        <v>165636362.90436673</v>
      </c>
      <c r="Y80" s="5">
        <f t="shared" si="7"/>
        <v>24845454.435655009</v>
      </c>
      <c r="Z80" s="5">
        <f t="shared" si="8"/>
        <v>7453636.3306965027</v>
      </c>
      <c r="AB80">
        <f t="shared" si="9"/>
        <v>75</v>
      </c>
      <c r="AC80" s="5">
        <f t="shared" si="10"/>
        <v>176873711.2620303</v>
      </c>
    </row>
    <row r="81" spans="6:29">
      <c r="F81">
        <f t="shared" si="11"/>
        <v>76</v>
      </c>
      <c r="G81">
        <v>2045</v>
      </c>
      <c r="H81" s="5">
        <f t="shared" si="12"/>
        <v>14101589.279295435</v>
      </c>
      <c r="I81" s="5">
        <f t="shared" si="0"/>
        <v>1128127.1423436347</v>
      </c>
      <c r="J81" s="5">
        <f t="shared" si="19"/>
        <v>225625.42846872695</v>
      </c>
      <c r="K81">
        <f t="shared" si="18"/>
        <v>459042.09774798376</v>
      </c>
      <c r="M81" s="5">
        <f t="shared" si="13"/>
        <v>459042.09774798376</v>
      </c>
      <c r="O81">
        <f t="shared" si="14"/>
        <v>76</v>
      </c>
      <c r="P81">
        <v>2045</v>
      </c>
      <c r="Q81" s="5">
        <f t="shared" si="17"/>
        <v>-2993791.8224414522</v>
      </c>
      <c r="R81" s="5">
        <f t="shared" si="3"/>
        <v>-149689.59112207263</v>
      </c>
      <c r="S81" s="5">
        <f t="shared" si="4"/>
        <v>0</v>
      </c>
      <c r="T81">
        <f t="shared" si="5"/>
        <v>459042.09774798376</v>
      </c>
      <c r="V81">
        <f t="shared" si="15"/>
        <v>76</v>
      </c>
      <c r="W81">
        <v>2045</v>
      </c>
      <c r="X81" s="5">
        <f t="shared" si="6"/>
        <v>183028181.00932524</v>
      </c>
      <c r="Y81" s="5">
        <f t="shared" si="7"/>
        <v>27454227.151398785</v>
      </c>
      <c r="Z81" s="5">
        <f t="shared" si="8"/>
        <v>8236268.1454196349</v>
      </c>
      <c r="AB81">
        <f t="shared" si="9"/>
        <v>76</v>
      </c>
      <c r="AC81" s="5">
        <f t="shared" si="10"/>
        <v>194135978.46617922</v>
      </c>
    </row>
    <row r="82" spans="6:29">
      <c r="F82">
        <f t="shared" si="11"/>
        <v>77</v>
      </c>
      <c r="G82">
        <v>2046</v>
      </c>
      <c r="H82" s="5">
        <f t="shared" si="12"/>
        <v>14545048.89542236</v>
      </c>
      <c r="I82" s="5">
        <f t="shared" si="0"/>
        <v>1163603.9116337888</v>
      </c>
      <c r="J82" s="5">
        <f t="shared" si="19"/>
        <v>232720.78232675779</v>
      </c>
      <c r="K82">
        <f t="shared" si="18"/>
        <v>477403.78165790311</v>
      </c>
      <c r="M82" s="5">
        <f t="shared" si="13"/>
        <v>477403.78165790311</v>
      </c>
      <c r="O82">
        <f t="shared" si="14"/>
        <v>77</v>
      </c>
      <c r="P82">
        <v>2046</v>
      </c>
      <c r="Q82" s="5">
        <f t="shared" si="17"/>
        <v>-3602523.5113115087</v>
      </c>
      <c r="R82" s="5">
        <f t="shared" si="3"/>
        <v>-180126.17556557545</v>
      </c>
      <c r="S82" s="5">
        <f t="shared" si="4"/>
        <v>0</v>
      </c>
      <c r="T82">
        <f t="shared" si="5"/>
        <v>477403.78165790311</v>
      </c>
      <c r="V82">
        <f t="shared" si="15"/>
        <v>77</v>
      </c>
      <c r="W82">
        <v>2046</v>
      </c>
      <c r="X82" s="5">
        <f t="shared" si="6"/>
        <v>202246140.01530439</v>
      </c>
      <c r="Y82" s="5">
        <f t="shared" si="7"/>
        <v>30336921.002295658</v>
      </c>
      <c r="Z82" s="5">
        <f t="shared" si="8"/>
        <v>9101076.300688697</v>
      </c>
      <c r="AB82">
        <f t="shared" si="9"/>
        <v>77</v>
      </c>
      <c r="AC82" s="5">
        <f t="shared" si="10"/>
        <v>213188665.39941525</v>
      </c>
    </row>
    <row r="83" spans="6:29">
      <c r="F83">
        <f t="shared" si="11"/>
        <v>78</v>
      </c>
      <c r="G83">
        <v>2047</v>
      </c>
      <c r="H83" s="5">
        <f t="shared" si="12"/>
        <v>14998528.243071489</v>
      </c>
      <c r="I83" s="5">
        <f t="shared" si="0"/>
        <v>1199882.2594457192</v>
      </c>
      <c r="J83" s="5">
        <f t="shared" si="19"/>
        <v>239976.45188914385</v>
      </c>
      <c r="K83">
        <f t="shared" si="18"/>
        <v>496499.93292421923</v>
      </c>
      <c r="M83" s="5">
        <f t="shared" si="13"/>
        <v>496499.93292421923</v>
      </c>
      <c r="O83">
        <f t="shared" si="14"/>
        <v>78</v>
      </c>
      <c r="P83">
        <v>2047</v>
      </c>
      <c r="Q83" s="5">
        <f t="shared" si="17"/>
        <v>-4260053.4685349874</v>
      </c>
      <c r="R83" s="5">
        <f t="shared" si="3"/>
        <v>-213002.67342674939</v>
      </c>
      <c r="S83" s="5">
        <f t="shared" si="4"/>
        <v>0</v>
      </c>
      <c r="T83">
        <f t="shared" si="5"/>
        <v>496499.93292421923</v>
      </c>
      <c r="V83">
        <f t="shared" si="15"/>
        <v>78</v>
      </c>
      <c r="W83">
        <v>2047</v>
      </c>
      <c r="X83" s="5">
        <f t="shared" si="6"/>
        <v>223481984.71691138</v>
      </c>
      <c r="Y83" s="5">
        <f t="shared" si="7"/>
        <v>33522297.707536705</v>
      </c>
      <c r="Z83" s="5">
        <f t="shared" si="8"/>
        <v>10056689.312261011</v>
      </c>
      <c r="AB83">
        <f t="shared" si="9"/>
        <v>78</v>
      </c>
      <c r="AC83" s="5">
        <f t="shared" si="10"/>
        <v>234220459.4914479</v>
      </c>
    </row>
    <row r="84" spans="6:29">
      <c r="F84">
        <f t="shared" si="11"/>
        <v>79</v>
      </c>
      <c r="G84">
        <v>2048</v>
      </c>
      <c r="H84" s="5">
        <f t="shared" si="12"/>
        <v>15461934.117703846</v>
      </c>
      <c r="I84" s="5">
        <f t="shared" si="0"/>
        <v>1236954.7294163078</v>
      </c>
      <c r="J84" s="5">
        <f t="shared" si="19"/>
        <v>247390.94588326156</v>
      </c>
      <c r="K84">
        <f t="shared" si="18"/>
        <v>516359.93024118803</v>
      </c>
      <c r="M84" s="5">
        <f t="shared" si="13"/>
        <v>516359.93024118803</v>
      </c>
      <c r="O84">
        <f t="shared" si="14"/>
        <v>79</v>
      </c>
      <c r="P84">
        <v>2048</v>
      </c>
      <c r="Q84" s="5">
        <f t="shared" si="17"/>
        <v>-4969556.074885956</v>
      </c>
      <c r="R84" s="5">
        <f t="shared" si="3"/>
        <v>-248477.80374429782</v>
      </c>
      <c r="S84" s="5">
        <f t="shared" si="4"/>
        <v>0</v>
      </c>
      <c r="T84">
        <f t="shared" si="5"/>
        <v>516359.93024118803</v>
      </c>
      <c r="V84">
        <f t="shared" si="15"/>
        <v>79</v>
      </c>
      <c r="W84">
        <v>2048</v>
      </c>
      <c r="X84" s="5">
        <f t="shared" si="6"/>
        <v>246947593.11218706</v>
      </c>
      <c r="Y84" s="5">
        <f t="shared" si="7"/>
        <v>37042138.966828056</v>
      </c>
      <c r="Z84" s="5">
        <f t="shared" si="8"/>
        <v>11112641.690048417</v>
      </c>
      <c r="AB84">
        <f t="shared" si="9"/>
        <v>79</v>
      </c>
      <c r="AC84" s="5">
        <f t="shared" si="10"/>
        <v>257439971.15500495</v>
      </c>
    </row>
    <row r="85" spans="6:29">
      <c r="F85">
        <f t="shared" si="11"/>
        <v>80</v>
      </c>
      <c r="G85">
        <v>2049</v>
      </c>
      <c r="H85" s="5">
        <f t="shared" si="12"/>
        <v>15935137.970995704</v>
      </c>
      <c r="I85" s="5">
        <f t="shared" si="0"/>
        <v>1274811.0376796564</v>
      </c>
      <c r="J85" s="5">
        <f t="shared" si="19"/>
        <v>254962.20753593129</v>
      </c>
      <c r="K85">
        <f t="shared" si="18"/>
        <v>537014.32745083561</v>
      </c>
      <c r="M85" s="5">
        <f t="shared" si="13"/>
        <v>537014.32745083561</v>
      </c>
      <c r="O85">
        <f t="shared" si="14"/>
        <v>80</v>
      </c>
      <c r="P85">
        <v>2049</v>
      </c>
      <c r="Q85" s="5">
        <f t="shared" si="17"/>
        <v>-5734393.8088714415</v>
      </c>
      <c r="R85" s="5">
        <f t="shared" si="3"/>
        <v>-286719.69044357206</v>
      </c>
      <c r="S85" s="5">
        <f t="shared" si="4"/>
        <v>0</v>
      </c>
      <c r="T85">
        <f t="shared" si="5"/>
        <v>537014.32745083561</v>
      </c>
      <c r="V85">
        <f t="shared" si="15"/>
        <v>80</v>
      </c>
      <c r="W85">
        <v>2049</v>
      </c>
      <c r="X85" s="5">
        <f t="shared" si="6"/>
        <v>272877090.38896674</v>
      </c>
      <c r="Y85" s="5">
        <f t="shared" si="7"/>
        <v>40931563.558345012</v>
      </c>
      <c r="Z85" s="5">
        <f t="shared" si="8"/>
        <v>12279469.067503503</v>
      </c>
      <c r="AB85">
        <f t="shared" si="9"/>
        <v>80</v>
      </c>
      <c r="AC85" s="5">
        <f t="shared" si="10"/>
        <v>283077834.55109102</v>
      </c>
    </row>
    <row r="86" spans="6:29">
      <c r="F86">
        <f t="shared" si="11"/>
        <v>81</v>
      </c>
      <c r="G86">
        <v>2050</v>
      </c>
      <c r="H86" s="5">
        <f t="shared" si="12"/>
        <v>16417972.473688593</v>
      </c>
      <c r="I86" s="5">
        <f t="shared" si="0"/>
        <v>1313437.7978950874</v>
      </c>
      <c r="J86" s="5">
        <f t="shared" si="19"/>
        <v>262687.55957901751</v>
      </c>
      <c r="K86">
        <f t="shared" si="18"/>
        <v>558494.90054886905</v>
      </c>
      <c r="M86" s="5">
        <f t="shared" si="13"/>
        <v>558494.90054886905</v>
      </c>
      <c r="O86">
        <f t="shared" si="14"/>
        <v>81</v>
      </c>
      <c r="P86">
        <v>2050</v>
      </c>
      <c r="Q86" s="5">
        <f t="shared" si="17"/>
        <v>-6558127.8267658483</v>
      </c>
      <c r="R86" s="5">
        <f t="shared" si="3"/>
        <v>-327906.39133829245</v>
      </c>
      <c r="S86" s="5">
        <f t="shared" si="4"/>
        <v>0</v>
      </c>
      <c r="T86">
        <f t="shared" si="5"/>
        <v>558494.90054886905</v>
      </c>
      <c r="V86">
        <f t="shared" si="15"/>
        <v>81</v>
      </c>
      <c r="W86">
        <v>2050</v>
      </c>
      <c r="X86" s="5">
        <f t="shared" si="6"/>
        <v>301529184.87980825</v>
      </c>
      <c r="Y86" s="5">
        <f t="shared" si="7"/>
        <v>45229377.731971234</v>
      </c>
      <c r="Z86" s="5">
        <f t="shared" si="8"/>
        <v>13568813.319591369</v>
      </c>
      <c r="AB86">
        <f t="shared" si="9"/>
        <v>81</v>
      </c>
      <c r="AC86" s="5">
        <f t="shared" si="10"/>
        <v>311389029.52673101</v>
      </c>
    </row>
    <row r="87" spans="6:29">
      <c r="F87">
        <f t="shared" si="11"/>
        <v>82</v>
      </c>
      <c r="G87">
        <v>2051</v>
      </c>
      <c r="H87" s="5">
        <f t="shared" si="12"/>
        <v>16910227.811455794</v>
      </c>
      <c r="I87" s="5">
        <f t="shared" si="0"/>
        <v>1352818.2249164635</v>
      </c>
      <c r="J87" s="5">
        <f t="shared" si="19"/>
        <v>270563.64498329273</v>
      </c>
      <c r="K87">
        <f t="shared" si="18"/>
        <v>580834.69657082378</v>
      </c>
      <c r="M87" s="5">
        <f t="shared" si="13"/>
        <v>580834.69657082378</v>
      </c>
      <c r="O87">
        <f t="shared" si="14"/>
        <v>82</v>
      </c>
      <c r="P87">
        <v>2051</v>
      </c>
      <c r="Q87" s="5">
        <f t="shared" si="17"/>
        <v>-7444529.1186530096</v>
      </c>
      <c r="R87" s="5">
        <f t="shared" si="3"/>
        <v>-372226.45593265048</v>
      </c>
      <c r="S87" s="5">
        <f t="shared" si="4"/>
        <v>0</v>
      </c>
      <c r="T87">
        <f t="shared" si="5"/>
        <v>580834.69657082378</v>
      </c>
      <c r="V87">
        <f t="shared" si="15"/>
        <v>82</v>
      </c>
      <c r="W87">
        <v>2051</v>
      </c>
      <c r="X87" s="5">
        <f t="shared" si="6"/>
        <v>333189749.29218811</v>
      </c>
      <c r="Y87" s="5">
        <f t="shared" si="7"/>
        <v>49978462.393828213</v>
      </c>
      <c r="Z87" s="5">
        <f t="shared" si="8"/>
        <v>14993538.718148464</v>
      </c>
      <c r="AB87">
        <f t="shared" si="9"/>
        <v>82</v>
      </c>
      <c r="AC87" s="5">
        <f t="shared" si="10"/>
        <v>342655447.98499089</v>
      </c>
    </row>
    <row r="88" spans="6:29">
      <c r="F88">
        <f t="shared" si="11"/>
        <v>83</v>
      </c>
      <c r="G88">
        <v>2052</v>
      </c>
      <c r="H88" s="5">
        <f t="shared" si="12"/>
        <v>17411647.694818139</v>
      </c>
      <c r="I88" s="5">
        <f t="shared" si="0"/>
        <v>1392931.8155854512</v>
      </c>
      <c r="J88" s="5">
        <f t="shared" si="19"/>
        <v>278586.36311709025</v>
      </c>
      <c r="K88">
        <f t="shared" si="18"/>
        <v>604068.08443365677</v>
      </c>
      <c r="M88" s="5">
        <f t="shared" si="13"/>
        <v>604068.08443365677</v>
      </c>
      <c r="O88">
        <f t="shared" si="14"/>
        <v>83</v>
      </c>
      <c r="P88">
        <v>2052</v>
      </c>
      <c r="Q88" s="5">
        <f t="shared" si="17"/>
        <v>-8397590.2711564843</v>
      </c>
      <c r="R88" s="5">
        <f t="shared" si="3"/>
        <v>-419879.51355782425</v>
      </c>
      <c r="S88" s="5">
        <f t="shared" si="4"/>
        <v>0</v>
      </c>
      <c r="T88">
        <f t="shared" si="5"/>
        <v>604068.08443365677</v>
      </c>
      <c r="V88">
        <f t="shared" si="15"/>
        <v>83</v>
      </c>
      <c r="W88">
        <v>2052</v>
      </c>
      <c r="X88" s="5">
        <f t="shared" si="6"/>
        <v>368174672.96786785</v>
      </c>
      <c r="Y88" s="5">
        <f t="shared" si="7"/>
        <v>55226200.945180178</v>
      </c>
      <c r="Z88" s="5">
        <f t="shared" si="8"/>
        <v>16567860.283554053</v>
      </c>
      <c r="AB88">
        <f t="shared" si="9"/>
        <v>83</v>
      </c>
      <c r="AC88" s="5">
        <f t="shared" si="10"/>
        <v>377188730.3915295</v>
      </c>
    </row>
    <row r="89" spans="6:29">
      <c r="F89">
        <f t="shared" si="11"/>
        <v>84</v>
      </c>
      <c r="G89">
        <v>2053</v>
      </c>
      <c r="H89" s="5">
        <f t="shared" si="12"/>
        <v>17921925.062852841</v>
      </c>
      <c r="I89" s="5">
        <f t="shared" si="0"/>
        <v>1433754.0050282273</v>
      </c>
      <c r="J89" s="5">
        <f t="shared" si="19"/>
        <v>286750.80100564548</v>
      </c>
      <c r="K89">
        <f t="shared" si="18"/>
        <v>628230.80781100306</v>
      </c>
      <c r="M89" s="5">
        <f t="shared" si="13"/>
        <v>628230.80781100306</v>
      </c>
      <c r="O89">
        <f t="shared" si="14"/>
        <v>84</v>
      </c>
      <c r="P89">
        <v>2053</v>
      </c>
      <c r="Q89" s="5">
        <f t="shared" si="17"/>
        <v>-9421537.8691479638</v>
      </c>
      <c r="R89" s="5">
        <f t="shared" si="3"/>
        <v>-471076.89345739823</v>
      </c>
      <c r="S89" s="5">
        <f t="shared" si="4"/>
        <v>0</v>
      </c>
      <c r="T89">
        <f t="shared" si="5"/>
        <v>628230.80781100306</v>
      </c>
      <c r="V89">
        <f t="shared" si="15"/>
        <v>84</v>
      </c>
      <c r="W89">
        <v>2053</v>
      </c>
      <c r="X89" s="5">
        <f t="shared" si="6"/>
        <v>406833013.62949395</v>
      </c>
      <c r="Y89" s="5">
        <f t="shared" si="7"/>
        <v>61024952.044424087</v>
      </c>
      <c r="Z89" s="5">
        <f t="shared" si="8"/>
        <v>18307485.613327224</v>
      </c>
      <c r="AB89">
        <f t="shared" si="9"/>
        <v>84</v>
      </c>
      <c r="AC89" s="5">
        <f t="shared" si="10"/>
        <v>415333400.82319885</v>
      </c>
    </row>
    <row r="90" spans="6:29">
      <c r="F90">
        <f t="shared" si="11"/>
        <v>85</v>
      </c>
      <c r="G90">
        <v>2054</v>
      </c>
      <c r="H90" s="5">
        <f t="shared" si="12"/>
        <v>18440697.45906442</v>
      </c>
      <c r="I90" s="5">
        <f t="shared" si="0"/>
        <v>1475255.7967251537</v>
      </c>
      <c r="J90" s="5">
        <f t="shared" si="19"/>
        <v>295051.15934503073</v>
      </c>
      <c r="K90">
        <f t="shared" si="18"/>
        <v>653360.04012344324</v>
      </c>
      <c r="M90" s="5">
        <f t="shared" si="13"/>
        <v>653360.04012344324</v>
      </c>
      <c r="O90">
        <f t="shared" si="14"/>
        <v>85</v>
      </c>
      <c r="P90">
        <v>2054</v>
      </c>
      <c r="Q90" s="5">
        <f t="shared" si="17"/>
        <v>-10520845.570416365</v>
      </c>
      <c r="R90" s="5">
        <f t="shared" si="3"/>
        <v>-526042.27852081822</v>
      </c>
      <c r="S90" s="5">
        <f t="shared" si="4"/>
        <v>0</v>
      </c>
      <c r="T90">
        <f t="shared" si="5"/>
        <v>653360.04012344324</v>
      </c>
      <c r="V90">
        <f t="shared" si="15"/>
        <v>85</v>
      </c>
      <c r="W90">
        <v>2054</v>
      </c>
      <c r="X90" s="5">
        <f t="shared" si="6"/>
        <v>449550480.0605908</v>
      </c>
      <c r="Y90" s="5">
        <f t="shared" si="7"/>
        <v>67432572.009088621</v>
      </c>
      <c r="Z90" s="5">
        <f t="shared" si="8"/>
        <v>20229771.602726586</v>
      </c>
      <c r="AB90">
        <f t="shared" si="9"/>
        <v>85</v>
      </c>
      <c r="AC90" s="5">
        <f t="shared" si="10"/>
        <v>457470331.94923884</v>
      </c>
    </row>
    <row r="91" spans="6:29">
      <c r="F91">
        <f t="shared" si="11"/>
        <v>86</v>
      </c>
      <c r="G91">
        <v>2055</v>
      </c>
      <c r="H91" s="5">
        <f t="shared" si="12"/>
        <v>18967542.056321099</v>
      </c>
      <c r="I91" s="5">
        <f t="shared" si="0"/>
        <v>1517403.364505688</v>
      </c>
      <c r="J91" s="5">
        <f t="shared" si="19"/>
        <v>303480.67290113762</v>
      </c>
      <c r="K91">
        <f t="shared" si="18"/>
        <v>679494.44172838097</v>
      </c>
      <c r="M91" s="5">
        <f t="shared" si="13"/>
        <v>679494.44172838097</v>
      </c>
      <c r="O91">
        <f t="shared" si="14"/>
        <v>86</v>
      </c>
      <c r="P91">
        <v>2055</v>
      </c>
      <c r="Q91" s="5">
        <f t="shared" si="17"/>
        <v>-11700247.889060628</v>
      </c>
      <c r="R91" s="5">
        <f t="shared" si="3"/>
        <v>-585012.39445303136</v>
      </c>
      <c r="S91" s="5">
        <f t="shared" si="4"/>
        <v>0</v>
      </c>
      <c r="T91">
        <f t="shared" si="5"/>
        <v>679494.44172838097</v>
      </c>
      <c r="V91">
        <f t="shared" si="15"/>
        <v>86</v>
      </c>
      <c r="W91">
        <v>2055</v>
      </c>
      <c r="X91" s="5">
        <f t="shared" si="6"/>
        <v>496753280.46695286</v>
      </c>
      <c r="Y91" s="5">
        <f t="shared" si="7"/>
        <v>74512992.070042923</v>
      </c>
      <c r="Z91" s="5">
        <f t="shared" si="8"/>
        <v>22353897.621012878</v>
      </c>
      <c r="AB91">
        <f t="shared" si="9"/>
        <v>86</v>
      </c>
      <c r="AC91" s="5">
        <f t="shared" si="10"/>
        <v>504020574.63421333</v>
      </c>
    </row>
    <row r="92" spans="6:29">
      <c r="F92">
        <f t="shared" si="11"/>
        <v>87</v>
      </c>
      <c r="G92">
        <v>2056</v>
      </c>
      <c r="H92" s="5">
        <f t="shared" si="12"/>
        <v>19501970.306197271</v>
      </c>
      <c r="I92" s="5">
        <f t="shared" si="0"/>
        <v>1560157.6244957817</v>
      </c>
      <c r="J92" s="5">
        <f t="shared" si="19"/>
        <v>312031.52489915636</v>
      </c>
      <c r="K92">
        <f t="shared" si="18"/>
        <v>706674.21939751622</v>
      </c>
      <c r="M92" s="5">
        <f t="shared" si="13"/>
        <v>706674.21939751622</v>
      </c>
      <c r="O92">
        <f t="shared" si="14"/>
        <v>87</v>
      </c>
      <c r="P92">
        <v>2056</v>
      </c>
      <c r="Q92" s="5">
        <f t="shared" si="17"/>
        <v>-12964754.725242041</v>
      </c>
      <c r="R92" s="5">
        <f t="shared" si="3"/>
        <v>-648237.73626210215</v>
      </c>
      <c r="S92" s="5">
        <f t="shared" si="4"/>
        <v>0</v>
      </c>
      <c r="T92">
        <f t="shared" si="5"/>
        <v>706674.21939751622</v>
      </c>
      <c r="V92">
        <f t="shared" si="15"/>
        <v>87</v>
      </c>
      <c r="W92">
        <v>2056</v>
      </c>
      <c r="X92" s="5">
        <f t="shared" si="6"/>
        <v>548912374.91598284</v>
      </c>
      <c r="Y92" s="5">
        <f t="shared" si="7"/>
        <v>82336856.237397417</v>
      </c>
      <c r="Z92" s="5">
        <f t="shared" si="8"/>
        <v>24701056.871219225</v>
      </c>
      <c r="AB92">
        <f t="shared" si="9"/>
        <v>87</v>
      </c>
      <c r="AC92" s="5">
        <f t="shared" si="10"/>
        <v>555449590.49693811</v>
      </c>
    </row>
    <row r="93" spans="6:29">
      <c r="F93">
        <f t="shared" si="11"/>
        <v>88</v>
      </c>
      <c r="G93">
        <v>2057</v>
      </c>
      <c r="H93" s="5">
        <f t="shared" si="12"/>
        <v>20043422.186396383</v>
      </c>
      <c r="I93" s="5">
        <f t="shared" si="0"/>
        <v>1603473.7749117108</v>
      </c>
      <c r="J93" s="5">
        <f t="shared" si="19"/>
        <v>320694.75498234219</v>
      </c>
      <c r="K93">
        <f t="shared" si="18"/>
        <v>734941.18817341689</v>
      </c>
      <c r="M93" s="5">
        <f t="shared" si="13"/>
        <v>734941.18817341689</v>
      </c>
      <c r="O93">
        <f t="shared" si="14"/>
        <v>88</v>
      </c>
      <c r="P93">
        <v>2057</v>
      </c>
      <c r="Q93" s="5">
        <f t="shared" si="17"/>
        <v>-14319666.68090166</v>
      </c>
      <c r="R93" s="5">
        <f t="shared" si="3"/>
        <v>-715983.33404508303</v>
      </c>
      <c r="S93" s="5">
        <f t="shared" si="4"/>
        <v>0</v>
      </c>
      <c r="T93">
        <f t="shared" si="5"/>
        <v>734941.18817341689</v>
      </c>
      <c r="V93">
        <f t="shared" si="15"/>
        <v>88</v>
      </c>
      <c r="W93">
        <v>2057</v>
      </c>
      <c r="X93" s="5">
        <f t="shared" si="6"/>
        <v>606548174.282161</v>
      </c>
      <c r="Y93" s="5">
        <f t="shared" si="7"/>
        <v>90982226.14232415</v>
      </c>
      <c r="Z93" s="5">
        <f t="shared" si="8"/>
        <v>27294667.842697244</v>
      </c>
      <c r="AB93">
        <f t="shared" si="9"/>
        <v>88</v>
      </c>
      <c r="AC93" s="5">
        <f t="shared" si="10"/>
        <v>612271929.78765571</v>
      </c>
    </row>
    <row r="94" spans="6:29">
      <c r="F94">
        <f t="shared" si="11"/>
        <v>89</v>
      </c>
      <c r="G94">
        <v>2058</v>
      </c>
      <c r="H94" s="5">
        <f t="shared" si="12"/>
        <v>20591260.018152334</v>
      </c>
      <c r="I94" s="5">
        <f t="shared" si="0"/>
        <v>1647300.8014521867</v>
      </c>
      <c r="J94" s="5">
        <f t="shared" si="19"/>
        <v>329460.16029043734</v>
      </c>
      <c r="K94">
        <f t="shared" si="18"/>
        <v>764338.83570035361</v>
      </c>
      <c r="M94" s="5">
        <f t="shared" si="13"/>
        <v>764338.83570035361</v>
      </c>
      <c r="O94">
        <f t="shared" si="14"/>
        <v>89</v>
      </c>
      <c r="P94">
        <v>2058</v>
      </c>
      <c r="Q94" s="5">
        <f t="shared" si="17"/>
        <v>-15770591.203120159</v>
      </c>
      <c r="R94" s="5">
        <f t="shared" si="3"/>
        <v>-788529.560156008</v>
      </c>
      <c r="S94" s="5">
        <f t="shared" si="4"/>
        <v>0</v>
      </c>
      <c r="T94">
        <f t="shared" si="5"/>
        <v>764338.83570035361</v>
      </c>
      <c r="V94">
        <f t="shared" si="15"/>
        <v>89</v>
      </c>
      <c r="W94">
        <v>2058</v>
      </c>
      <c r="X94" s="5">
        <f t="shared" si="6"/>
        <v>670235732.58178794</v>
      </c>
      <c r="Y94" s="5">
        <f t="shared" si="7"/>
        <v>100535359.88726819</v>
      </c>
      <c r="Z94" s="5">
        <f t="shared" si="8"/>
        <v>30160607.966180455</v>
      </c>
      <c r="AB94">
        <f t="shared" si="9"/>
        <v>89</v>
      </c>
      <c r="AC94" s="5">
        <f t="shared" si="10"/>
        <v>675056401.39682019</v>
      </c>
    </row>
    <row r="95" spans="6:29">
      <c r="F95">
        <f t="shared" si="11"/>
        <v>90</v>
      </c>
      <c r="G95">
        <v>2059</v>
      </c>
      <c r="H95" s="5">
        <f t="shared" si="12"/>
        <v>21144761.823613726</v>
      </c>
      <c r="I95" s="5">
        <f t="shared" si="0"/>
        <v>1691580.9458890981</v>
      </c>
      <c r="J95" s="5">
        <f t="shared" si="19"/>
        <v>338316.18917781964</v>
      </c>
      <c r="K95">
        <f t="shared" si="18"/>
        <v>794912.38912836777</v>
      </c>
      <c r="M95" s="5">
        <f t="shared" si="13"/>
        <v>794912.38912836777</v>
      </c>
      <c r="O95">
        <f t="shared" si="14"/>
        <v>90</v>
      </c>
      <c r="P95">
        <v>2059</v>
      </c>
      <c r="Q95" s="5">
        <f t="shared" si="17"/>
        <v>-17323459.598976523</v>
      </c>
      <c r="R95" s="5">
        <f t="shared" si="3"/>
        <v>-866172.97994882613</v>
      </c>
      <c r="S95" s="5">
        <f t="shared" si="4"/>
        <v>0</v>
      </c>
      <c r="T95">
        <f t="shared" si="5"/>
        <v>794912.38912836777</v>
      </c>
      <c r="V95">
        <f t="shared" si="15"/>
        <v>90</v>
      </c>
      <c r="W95">
        <v>2059</v>
      </c>
      <c r="X95" s="5">
        <f t="shared" si="6"/>
        <v>740610484.50287569</v>
      </c>
      <c r="Y95" s="5">
        <f t="shared" si="7"/>
        <v>111091572.67543136</v>
      </c>
      <c r="Z95" s="5">
        <f t="shared" si="8"/>
        <v>33327471.802629404</v>
      </c>
      <c r="AB95">
        <f t="shared" si="9"/>
        <v>90</v>
      </c>
      <c r="AC95" s="5">
        <f t="shared" si="10"/>
        <v>744431786.72751296</v>
      </c>
    </row>
    <row r="96" spans="6:29">
      <c r="F96">
        <f t="shared" si="11"/>
        <v>91</v>
      </c>
      <c r="G96">
        <v>2060</v>
      </c>
      <c r="H96" s="5">
        <f t="shared" si="12"/>
        <v>21703114.191196635</v>
      </c>
      <c r="I96" s="5">
        <f t="shared" si="0"/>
        <v>1736249.1352957308</v>
      </c>
      <c r="J96" s="5">
        <f t="shared" si="19"/>
        <v>347249.82705914619</v>
      </c>
      <c r="K96">
        <f t="shared" si="18"/>
        <v>826708.88469350245</v>
      </c>
      <c r="M96" s="5">
        <f t="shared" si="13"/>
        <v>826708.88469350245</v>
      </c>
      <c r="O96">
        <f t="shared" si="14"/>
        <v>91</v>
      </c>
      <c r="P96">
        <v>2060</v>
      </c>
      <c r="Q96" s="5">
        <f t="shared" si="17"/>
        <v>-18984544.968053717</v>
      </c>
      <c r="R96" s="5">
        <f t="shared" si="3"/>
        <v>-949227.24840268586</v>
      </c>
      <c r="S96" s="5">
        <f t="shared" si="4"/>
        <v>0</v>
      </c>
      <c r="T96">
        <f t="shared" si="5"/>
        <v>826708.88469350245</v>
      </c>
      <c r="V96">
        <f t="shared" si="15"/>
        <v>91</v>
      </c>
      <c r="W96">
        <v>2060</v>
      </c>
      <c r="X96" s="5">
        <f t="shared" si="6"/>
        <v>818374585.3756777</v>
      </c>
      <c r="Y96" s="5">
        <f t="shared" si="7"/>
        <v>122756187.80635165</v>
      </c>
      <c r="Z96" s="5">
        <f t="shared" si="8"/>
        <v>36826856.34190549</v>
      </c>
      <c r="AB96">
        <f t="shared" si="9"/>
        <v>91</v>
      </c>
      <c r="AC96" s="5">
        <f t="shared" si="10"/>
        <v>821093154.59882069</v>
      </c>
    </row>
    <row r="97" spans="6:29">
      <c r="F97">
        <f t="shared" si="11"/>
        <v>92</v>
      </c>
      <c r="G97">
        <v>2061</v>
      </c>
      <c r="H97" s="5">
        <f t="shared" si="12"/>
        <v>22265404.614739716</v>
      </c>
      <c r="I97" s="5">
        <f t="shared" si="0"/>
        <v>1781232.3691791773</v>
      </c>
      <c r="J97" s="5">
        <f t="shared" si="19"/>
        <v>356246.47383583547</v>
      </c>
      <c r="K97">
        <f t="shared" si="18"/>
        <v>859777.24008124252</v>
      </c>
      <c r="M97" s="5">
        <f t="shared" si="13"/>
        <v>859777.24008124252</v>
      </c>
      <c r="O97">
        <f t="shared" si="14"/>
        <v>92</v>
      </c>
      <c r="P97">
        <v>2061</v>
      </c>
      <c r="Q97" s="5">
        <f t="shared" si="17"/>
        <v>-20760481.101149905</v>
      </c>
      <c r="R97" s="5">
        <f t="shared" si="3"/>
        <v>-1038024.0550574954</v>
      </c>
      <c r="S97" s="5">
        <f t="shared" si="4"/>
        <v>0</v>
      </c>
      <c r="T97">
        <f t="shared" si="5"/>
        <v>859777.24008124252</v>
      </c>
      <c r="V97">
        <f t="shared" si="15"/>
        <v>92</v>
      </c>
      <c r="W97">
        <v>2061</v>
      </c>
      <c r="X97" s="5">
        <f t="shared" si="6"/>
        <v>904303916.84012389</v>
      </c>
      <c r="Y97" s="5">
        <f t="shared" si="7"/>
        <v>135645587.52601859</v>
      </c>
      <c r="Z97" s="5">
        <f t="shared" si="8"/>
        <v>40693676.257805578</v>
      </c>
      <c r="AB97">
        <f t="shared" si="9"/>
        <v>92</v>
      </c>
      <c r="AC97" s="5">
        <f t="shared" si="10"/>
        <v>905808840.35371375</v>
      </c>
    </row>
    <row r="98" spans="6:29">
      <c r="F98">
        <f t="shared" si="11"/>
        <v>93</v>
      </c>
      <c r="G98">
        <v>2062</v>
      </c>
      <c r="H98" s="5">
        <f t="shared" si="12"/>
        <v>22830613.270001814</v>
      </c>
      <c r="I98" s="5">
        <f t="shared" si="0"/>
        <v>1826449.0616001452</v>
      </c>
      <c r="J98" s="5">
        <f t="shared" si="19"/>
        <v>365289.81232002907</v>
      </c>
      <c r="K98">
        <f t="shared" si="18"/>
        <v>894168.3296844922</v>
      </c>
      <c r="M98" s="5">
        <f t="shared" si="13"/>
        <v>894168.3296844922</v>
      </c>
      <c r="O98">
        <f t="shared" si="14"/>
        <v>93</v>
      </c>
      <c r="P98">
        <v>2062</v>
      </c>
      <c r="Q98" s="5">
        <f t="shared" si="17"/>
        <v>-22658282.396288645</v>
      </c>
      <c r="R98" s="5">
        <f t="shared" si="3"/>
        <v>-1132914.1198144322</v>
      </c>
      <c r="S98" s="5">
        <f t="shared" si="4"/>
        <v>0</v>
      </c>
      <c r="T98">
        <f t="shared" si="5"/>
        <v>894168.3296844922</v>
      </c>
      <c r="V98">
        <f t="shared" si="15"/>
        <v>93</v>
      </c>
      <c r="W98">
        <v>2062</v>
      </c>
      <c r="X98" s="5">
        <f t="shared" si="6"/>
        <v>999255828.10833693</v>
      </c>
      <c r="Y98" s="5">
        <f t="shared" si="7"/>
        <v>149888374.21625054</v>
      </c>
      <c r="Z98" s="5">
        <f t="shared" si="8"/>
        <v>44966512.264875159</v>
      </c>
      <c r="AB98">
        <f t="shared" si="9"/>
        <v>93</v>
      </c>
      <c r="AC98" s="5">
        <f t="shared" si="10"/>
        <v>999428158.98205006</v>
      </c>
    </row>
    <row r="99" spans="6:29">
      <c r="F99">
        <f t="shared" si="11"/>
        <v>94</v>
      </c>
      <c r="G99">
        <v>2063</v>
      </c>
      <c r="H99" s="5">
        <f t="shared" si="12"/>
        <v>23397604.189597439</v>
      </c>
      <c r="I99" s="5">
        <f t="shared" si="0"/>
        <v>1871808.3351677952</v>
      </c>
      <c r="J99" s="5">
        <f t="shared" si="19"/>
        <v>374361.66703355906</v>
      </c>
      <c r="K99">
        <f t="shared" si="18"/>
        <v>929935.06287187187</v>
      </c>
      <c r="M99" s="5">
        <f t="shared" si="13"/>
        <v>929935.06287187187</v>
      </c>
      <c r="O99">
        <f t="shared" si="14"/>
        <v>94</v>
      </c>
      <c r="P99">
        <v>2063</v>
      </c>
      <c r="Q99" s="5">
        <f t="shared" si="17"/>
        <v>-24685364.84578757</v>
      </c>
      <c r="R99" s="5">
        <f t="shared" si="3"/>
        <v>-1234268.2422893785</v>
      </c>
      <c r="S99" s="5">
        <f t="shared" si="4"/>
        <v>0</v>
      </c>
      <c r="T99">
        <f t="shared" si="5"/>
        <v>929935.06287187187</v>
      </c>
      <c r="V99">
        <f t="shared" si="15"/>
        <v>94</v>
      </c>
      <c r="W99">
        <v>2063</v>
      </c>
      <c r="X99" s="5">
        <f t="shared" si="6"/>
        <v>1104177690.0597122</v>
      </c>
      <c r="Y99" s="5">
        <f t="shared" si="7"/>
        <v>165626653.50895682</v>
      </c>
      <c r="Z99" s="5">
        <f t="shared" si="8"/>
        <v>49687996.052687041</v>
      </c>
      <c r="AB99">
        <f t="shared" si="9"/>
        <v>94</v>
      </c>
      <c r="AC99" s="5">
        <f t="shared" si="10"/>
        <v>1102889929.403522</v>
      </c>
    </row>
    <row r="100" spans="6:29">
      <c r="F100">
        <f t="shared" si="11"/>
        <v>95</v>
      </c>
      <c r="G100">
        <v>2064</v>
      </c>
      <c r="H100" s="5">
        <f t="shared" si="12"/>
        <v>23965115.7948598</v>
      </c>
      <c r="I100" s="5">
        <f t="shared" si="0"/>
        <v>1917209.263588784</v>
      </c>
      <c r="J100" s="5">
        <f t="shared" si="19"/>
        <v>383441.85271775682</v>
      </c>
      <c r="K100">
        <f t="shared" si="18"/>
        <v>967132.4653867468</v>
      </c>
      <c r="M100" s="5">
        <f t="shared" si="13"/>
        <v>967132.4653867468</v>
      </c>
      <c r="O100">
        <f t="shared" si="14"/>
        <v>95</v>
      </c>
      <c r="P100">
        <v>2064</v>
      </c>
      <c r="Q100" s="5">
        <f t="shared" si="17"/>
        <v>-26849568.150948822</v>
      </c>
      <c r="R100" s="5">
        <f t="shared" si="3"/>
        <v>-1342478.4075474413</v>
      </c>
      <c r="S100" s="5">
        <f t="shared" si="4"/>
        <v>0</v>
      </c>
      <c r="T100">
        <f t="shared" si="5"/>
        <v>967132.4653867468</v>
      </c>
      <c r="V100">
        <f t="shared" si="15"/>
        <v>95</v>
      </c>
      <c r="W100">
        <v>2064</v>
      </c>
      <c r="X100" s="5">
        <f t="shared" si="6"/>
        <v>1220116347.5159822</v>
      </c>
      <c r="Y100" s="5">
        <f t="shared" si="7"/>
        <v>183017452.12739733</v>
      </c>
      <c r="Z100" s="5">
        <f t="shared" si="8"/>
        <v>54905235.6382192</v>
      </c>
      <c r="AB100">
        <f t="shared" si="9"/>
        <v>95</v>
      </c>
      <c r="AC100" s="5">
        <f t="shared" si="10"/>
        <v>1217231895.1598933</v>
      </c>
    </row>
    <row r="101" spans="6:29">
      <c r="F101">
        <f t="shared" si="11"/>
        <v>96</v>
      </c>
      <c r="G101">
        <v>2065</v>
      </c>
      <c r="H101" s="5">
        <f t="shared" si="12"/>
        <v>24531750.740344077</v>
      </c>
      <c r="I101" s="5">
        <f t="shared" si="0"/>
        <v>1962540.0592275262</v>
      </c>
      <c r="J101" s="5">
        <f t="shared" si="19"/>
        <v>392508.01184550527</v>
      </c>
      <c r="K101">
        <f t="shared" si="18"/>
        <v>1005817.7640022167</v>
      </c>
      <c r="M101" s="5">
        <f t="shared" si="13"/>
        <v>1005817.7640022167</v>
      </c>
      <c r="O101">
        <f t="shared" si="14"/>
        <v>96</v>
      </c>
      <c r="P101">
        <v>2065</v>
      </c>
      <c r="Q101" s="5">
        <f t="shared" si="17"/>
        <v>-29159179.023883011</v>
      </c>
      <c r="R101" s="5">
        <f t="shared" si="3"/>
        <v>-1457958.9511941506</v>
      </c>
      <c r="S101" s="5">
        <f t="shared" si="4"/>
        <v>0</v>
      </c>
      <c r="T101">
        <f t="shared" si="5"/>
        <v>1005817.7640022167</v>
      </c>
      <c r="V101">
        <f t="shared" si="15"/>
        <v>96</v>
      </c>
      <c r="W101">
        <v>2065</v>
      </c>
      <c r="X101" s="5">
        <f t="shared" si="6"/>
        <v>1348228564.0051603</v>
      </c>
      <c r="Y101" s="5">
        <f t="shared" si="7"/>
        <v>202234284.60077405</v>
      </c>
      <c r="Z101" s="5">
        <f t="shared" si="8"/>
        <v>60670285.380232215</v>
      </c>
      <c r="AB101">
        <f t="shared" si="9"/>
        <v>96</v>
      </c>
      <c r="AC101" s="5">
        <f t="shared" si="10"/>
        <v>1343601135.7216213</v>
      </c>
    </row>
    <row r="102" spans="6:29">
      <c r="F102">
        <f t="shared" si="11"/>
        <v>97</v>
      </c>
      <c r="G102">
        <v>2066</v>
      </c>
      <c r="H102" s="5">
        <f t="shared" si="12"/>
        <v>25095965.023723882</v>
      </c>
      <c r="I102" s="5">
        <f t="shared" si="0"/>
        <v>2007677.2018979106</v>
      </c>
      <c r="J102" s="5">
        <f t="shared" si="19"/>
        <v>401535.44037958211</v>
      </c>
      <c r="K102">
        <f t="shared" si="18"/>
        <v>1046050.4745623055</v>
      </c>
      <c r="M102" s="5">
        <f t="shared" si="13"/>
        <v>1046050.4745623055</v>
      </c>
      <c r="O102">
        <f t="shared" si="14"/>
        <v>97</v>
      </c>
      <c r="P102">
        <v>2066</v>
      </c>
      <c r="Q102" s="5">
        <f t="shared" si="17"/>
        <v>-31622955.739079379</v>
      </c>
      <c r="R102" s="5">
        <f t="shared" si="3"/>
        <v>-1581147.7869539689</v>
      </c>
      <c r="S102" s="5">
        <f t="shared" si="4"/>
        <v>0</v>
      </c>
      <c r="T102">
        <f t="shared" si="5"/>
        <v>1046050.4745623055</v>
      </c>
      <c r="V102">
        <f t="shared" si="15"/>
        <v>97</v>
      </c>
      <c r="W102">
        <v>2066</v>
      </c>
      <c r="X102" s="5">
        <f t="shared" si="6"/>
        <v>1489792563.2257023</v>
      </c>
      <c r="Y102" s="5">
        <f t="shared" si="7"/>
        <v>223468884.48385534</v>
      </c>
      <c r="Z102" s="5">
        <f t="shared" si="8"/>
        <v>67040665.345156595</v>
      </c>
      <c r="AB102">
        <f t="shared" si="9"/>
        <v>97</v>
      </c>
      <c r="AC102" s="5">
        <f t="shared" si="10"/>
        <v>1483265572.5103467</v>
      </c>
    </row>
    <row r="103" spans="6:29">
      <c r="F103">
        <f t="shared" si="11"/>
        <v>98</v>
      </c>
      <c r="G103">
        <v>2067</v>
      </c>
      <c r="H103" s="5">
        <f t="shared" si="12"/>
        <v>25656056.310679905</v>
      </c>
      <c r="I103" s="5">
        <f>H103*$I$35</f>
        <v>2052484.5048543925</v>
      </c>
      <c r="J103" s="5">
        <f t="shared" si="19"/>
        <v>410496.90097087855</v>
      </c>
      <c r="K103">
        <f t="shared" si="18"/>
        <v>1087892.4935447976</v>
      </c>
      <c r="M103" s="5">
        <f t="shared" si="13"/>
        <v>1087892.4935447976</v>
      </c>
      <c r="O103">
        <f t="shared" si="14"/>
        <v>98</v>
      </c>
      <c r="P103">
        <v>2067</v>
      </c>
      <c r="Q103" s="5">
        <f t="shared" si="17"/>
        <v>-34250154.000595652</v>
      </c>
      <c r="R103" s="5">
        <f>Q103*$R$35+$R$31</f>
        <v>-1712507.7000297827</v>
      </c>
      <c r="S103" s="5">
        <f>R103*$S$35</f>
        <v>0</v>
      </c>
      <c r="T103">
        <f>M103</f>
        <v>1087892.4935447976</v>
      </c>
      <c r="V103">
        <f t="shared" si="15"/>
        <v>98</v>
      </c>
      <c r="W103">
        <v>2067</v>
      </c>
      <c r="X103" s="5">
        <f>X102+Y102-Z102-AA102</f>
        <v>1646220782.3644009</v>
      </c>
      <c r="Y103" s="5">
        <f>X103*$Y$35</f>
        <v>246933117.35466012</v>
      </c>
      <c r="Z103" s="5">
        <f>Y103*$Z$35</f>
        <v>74079935.20639804</v>
      </c>
      <c r="AB103">
        <f>V103</f>
        <v>98</v>
      </c>
      <c r="AC103" s="5">
        <f>X103+Q103+H103</f>
        <v>1637626684.6744852</v>
      </c>
    </row>
    <row r="104" spans="6:29">
      <c r="F104">
        <f>F103+1</f>
        <v>99</v>
      </c>
      <c r="G104">
        <v>2068</v>
      </c>
      <c r="H104" s="5">
        <f>H103+I103-J103-K103</f>
        <v>26210151.421018619</v>
      </c>
      <c r="I104" s="5">
        <f>H104*$I$35</f>
        <v>2096812.1136814896</v>
      </c>
      <c r="J104" s="5">
        <f t="shared" si="19"/>
        <v>419362.42273629794</v>
      </c>
      <c r="K104">
        <f t="shared" si="18"/>
        <v>1131408.1932865896</v>
      </c>
      <c r="M104" s="5">
        <f>M103*(1+$L$36)</f>
        <v>1131408.1932865896</v>
      </c>
      <c r="O104">
        <f>O103+1</f>
        <v>99</v>
      </c>
      <c r="P104">
        <v>2068</v>
      </c>
      <c r="Q104" s="5">
        <f t="shared" si="17"/>
        <v>-37050554.194170229</v>
      </c>
      <c r="R104" s="5">
        <f>Q104*$R$35+$R$31</f>
        <v>-1852527.7097085116</v>
      </c>
      <c r="S104" s="5">
        <f>R104*$S$35</f>
        <v>0</v>
      </c>
      <c r="T104">
        <f>M104</f>
        <v>1131408.1932865896</v>
      </c>
      <c r="V104">
        <f>V103+1</f>
        <v>99</v>
      </c>
      <c r="W104">
        <v>2068</v>
      </c>
      <c r="X104" s="5">
        <f>X103+Y103-Z103-AA103</f>
        <v>1819073964.5126629</v>
      </c>
      <c r="Y104" s="5">
        <f>X104*$Y$35</f>
        <v>272861094.67689943</v>
      </c>
      <c r="Z104" s="5">
        <f>Y104*$Z$35</f>
        <v>81858328.403069824</v>
      </c>
      <c r="AB104">
        <f>V104</f>
        <v>99</v>
      </c>
      <c r="AC104" s="5">
        <f>X104+Q104+H104</f>
        <v>1808233561.7395113</v>
      </c>
    </row>
    <row r="105" spans="6:29">
      <c r="F105">
        <f>F104+1</f>
        <v>100</v>
      </c>
      <c r="G105">
        <v>2069</v>
      </c>
      <c r="H105" s="5">
        <f>H104+I104-J104-K104</f>
        <v>26756192.918677222</v>
      </c>
      <c r="I105" s="5">
        <f>H105*$I$35</f>
        <v>2140495.4334941776</v>
      </c>
      <c r="J105" s="5">
        <f t="shared" si="19"/>
        <v>428099.08669883554</v>
      </c>
      <c r="K105">
        <f t="shared" si="18"/>
        <v>1176664.5210180532</v>
      </c>
      <c r="M105" s="5">
        <f>M104*(1+$L$36)</f>
        <v>1176664.5210180532</v>
      </c>
      <c r="O105">
        <f>O104+1</f>
        <v>100</v>
      </c>
      <c r="P105">
        <v>2069</v>
      </c>
      <c r="Q105" s="5">
        <f t="shared" si="17"/>
        <v>-40034490.097165331</v>
      </c>
      <c r="R105" s="5">
        <f>Q105*$R$35+$R$31</f>
        <v>-2001724.5048582666</v>
      </c>
      <c r="S105" s="5">
        <f>R105*$S$35</f>
        <v>0</v>
      </c>
      <c r="T105">
        <f>M105</f>
        <v>1176664.5210180532</v>
      </c>
      <c r="V105">
        <f>V104+1</f>
        <v>100</v>
      </c>
      <c r="W105">
        <v>2069</v>
      </c>
      <c r="X105" s="5">
        <f>X104+Y104-Z104-AA104</f>
        <v>2010076730.7864926</v>
      </c>
      <c r="Y105" s="5">
        <f>X105*$Y$35</f>
        <v>301511509.61797386</v>
      </c>
      <c r="Z105" s="5">
        <f>Y105*$Z$35</f>
        <v>90453452.885392159</v>
      </c>
      <c r="AB105">
        <f>V105</f>
        <v>100</v>
      </c>
      <c r="AC105" s="5">
        <f>X105+Q105+H105</f>
        <v>1996798433.6080046</v>
      </c>
    </row>
    <row r="106" spans="6:29">
      <c r="F106">
        <f>F105+1</f>
        <v>101</v>
      </c>
      <c r="G106">
        <v>2070</v>
      </c>
      <c r="H106" s="5">
        <f>H105+I105-J105-K105</f>
        <v>27291924.744454511</v>
      </c>
      <c r="I106" s="5">
        <f>H106*$I$35</f>
        <v>2183353.9795563607</v>
      </c>
      <c r="J106" s="5">
        <f t="shared" si="19"/>
        <v>436670.79591127217</v>
      </c>
      <c r="K106">
        <f t="shared" si="18"/>
        <v>1223731.1018587754</v>
      </c>
      <c r="M106" s="5">
        <f>M105*(1+$L$36)</f>
        <v>1223731.1018587754</v>
      </c>
      <c r="O106">
        <f>O105+1</f>
        <v>101</v>
      </c>
      <c r="P106">
        <v>2070</v>
      </c>
      <c r="Q106" s="5">
        <f t="shared" si="17"/>
        <v>-43212879.123041652</v>
      </c>
      <c r="R106" s="5">
        <f>Q106*$R$35+$R$31</f>
        <v>-2160643.9561520829</v>
      </c>
      <c r="S106" s="5">
        <f>R106*$S$35</f>
        <v>0</v>
      </c>
      <c r="T106">
        <f>M106</f>
        <v>1223731.1018587754</v>
      </c>
      <c r="V106">
        <f>V105+1</f>
        <v>101</v>
      </c>
      <c r="W106">
        <v>2070</v>
      </c>
      <c r="X106" s="5">
        <f>X105+Y105-Z105-AA105</f>
        <v>2221134787.5190744</v>
      </c>
      <c r="Y106" s="5">
        <f>X106*$Y$35</f>
        <v>333170218.12786114</v>
      </c>
      <c r="Z106" s="5">
        <f>Y106*$Z$35</f>
        <v>99951065.438358337</v>
      </c>
      <c r="AB106">
        <f>V106</f>
        <v>101</v>
      </c>
      <c r="AC106" s="5">
        <f>X106+Q106+H106</f>
        <v>2205213833.1404872</v>
      </c>
    </row>
    <row r="107" spans="6:29">
      <c r="F107">
        <f>F106+1</f>
        <v>102</v>
      </c>
      <c r="G107">
        <v>2071</v>
      </c>
      <c r="H107" s="5">
        <f>H106+I106-J106-K106</f>
        <v>27814876.826240823</v>
      </c>
      <c r="I107" s="5">
        <f>H107*$I$35</f>
        <v>2225190.1460992657</v>
      </c>
      <c r="J107" s="5">
        <f t="shared" si="19"/>
        <v>445038.02921985317</v>
      </c>
      <c r="K107">
        <f t="shared" si="18"/>
        <v>1272680.3459331265</v>
      </c>
      <c r="M107" s="5">
        <f>M106*(1+$L$36)</f>
        <v>1272680.3459331265</v>
      </c>
      <c r="O107">
        <f>O106+1</f>
        <v>102</v>
      </c>
      <c r="P107">
        <v>2071</v>
      </c>
      <c r="Q107" s="5">
        <f t="shared" si="17"/>
        <v>-46597254.181052506</v>
      </c>
      <c r="R107" s="5">
        <f>Q107*$R$35+$R$31</f>
        <v>-2329862.7090526256</v>
      </c>
      <c r="S107" s="5">
        <f>R107*$S$35</f>
        <v>0</v>
      </c>
      <c r="T107">
        <f>M107</f>
        <v>1272680.3459331265</v>
      </c>
      <c r="V107">
        <f>V106+1</f>
        <v>102</v>
      </c>
      <c r="W107">
        <v>2071</v>
      </c>
      <c r="X107" s="5">
        <f>X106+Y106-Z106-AA106</f>
        <v>2454353940.2085772</v>
      </c>
      <c r="Y107" s="5">
        <f>X107*$Y$35</f>
        <v>368153091.03128654</v>
      </c>
      <c r="Z107" s="5">
        <f>Y107*$Z$35</f>
        <v>110445927.30938596</v>
      </c>
      <c r="AB107">
        <f>V107</f>
        <v>102</v>
      </c>
      <c r="AC107" s="5">
        <f>X107+Q107+H107</f>
        <v>2435571562.8537655</v>
      </c>
    </row>
    <row r="108" spans="6:29">
      <c r="O108" s="5"/>
      <c r="P108" s="5"/>
      <c r="Q108" s="5"/>
    </row>
    <row r="109" spans="6:29">
      <c r="O109" s="5"/>
      <c r="P109" s="5"/>
      <c r="Q109" s="5"/>
    </row>
    <row r="110" spans="6:29">
      <c r="O110" s="5"/>
      <c r="P110" s="5"/>
      <c r="Q110" s="5"/>
    </row>
    <row r="111" spans="6:29">
      <c r="O111" s="5"/>
      <c r="P111" s="5"/>
      <c r="Q111" s="5"/>
    </row>
    <row r="112" spans="6:29">
      <c r="O112" s="5"/>
      <c r="P112" s="5"/>
      <c r="Q112" s="5"/>
    </row>
    <row r="113" spans="15:17">
      <c r="O113" s="5"/>
      <c r="P113" s="5"/>
      <c r="Q113" s="5"/>
    </row>
    <row r="114" spans="15:17">
      <c r="O114" s="5"/>
      <c r="P114" s="5"/>
      <c r="Q114" s="5"/>
    </row>
    <row r="115" spans="15:17">
      <c r="O115" s="5"/>
      <c r="P115" s="5"/>
      <c r="Q115" s="5"/>
    </row>
  </sheetData>
  <phoneticPr fontId="0" type="noConversion"/>
  <pageMargins left="0.75" right="0.75" top="1" bottom="1" header="0.5" footer="0.5"/>
  <pageSetup orientation="portrait" horizontalDpi="4294967292" verticalDpi="196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Z205"/>
  <sheetViews>
    <sheetView defaultGridColor="0" topLeftCell="K103" colorId="22" zoomScale="87" workbookViewId="0">
      <selection activeCell="O125" sqref="O125"/>
    </sheetView>
  </sheetViews>
  <sheetFormatPr defaultColWidth="9.81640625" defaultRowHeight="15"/>
  <cols>
    <col min="1" max="1" width="10.08984375" style="5" customWidth="1"/>
    <col min="2" max="2" width="27.08984375" style="5" customWidth="1"/>
    <col min="3" max="3" width="5.1796875" style="5" customWidth="1"/>
    <col min="4" max="4" width="10.6328125" style="5" customWidth="1"/>
    <col min="5" max="5" width="12.1796875" style="5" customWidth="1"/>
    <col min="6" max="6" width="10.81640625" style="18" customWidth="1"/>
    <col min="7" max="8" width="16" style="5" bestFit="1" customWidth="1"/>
    <col min="9" max="10" width="14.90625" style="5" bestFit="1" customWidth="1"/>
    <col min="11" max="11" width="13.453125" style="5" bestFit="1" customWidth="1"/>
    <col min="12" max="12" width="21.08984375" style="5" bestFit="1" customWidth="1"/>
    <col min="13" max="14" width="16" style="5" bestFit="1" customWidth="1"/>
    <col min="15" max="16" width="14.90625" style="5" bestFit="1" customWidth="1"/>
    <col min="17" max="17" width="13.90625" style="5" bestFit="1" customWidth="1"/>
    <col min="18" max="18" width="12.90625" style="5" bestFit="1" customWidth="1"/>
    <col min="19" max="24" width="9.81640625" style="5"/>
    <col min="25" max="25" width="5.08984375" style="5" bestFit="1" customWidth="1"/>
    <col min="26" max="16384" width="9.81640625" style="5"/>
  </cols>
  <sheetData>
    <row r="1" spans="1:26">
      <c r="B1" s="29" t="s">
        <v>30</v>
      </c>
      <c r="C1" s="29"/>
      <c r="D1" s="5">
        <v>61</v>
      </c>
      <c r="E1" s="28">
        <f>M135</f>
        <v>7573575.3386713061</v>
      </c>
      <c r="F1" s="56"/>
      <c r="O1" s="33"/>
      <c r="P1" s="33"/>
      <c r="S1" s="35"/>
      <c r="T1" s="35"/>
      <c r="V1" s="35"/>
      <c r="W1" s="35"/>
    </row>
    <row r="2" spans="1:26">
      <c r="D2" s="36" t="s">
        <v>192</v>
      </c>
      <c r="E2" s="10">
        <f>N135</f>
        <v>7661344.6373426104</v>
      </c>
      <c r="G2" s="32"/>
    </row>
    <row r="3" spans="1:26" ht="15.6">
      <c r="B3" s="37"/>
      <c r="C3" s="37"/>
      <c r="D3" s="38" t="s">
        <v>194</v>
      </c>
      <c r="E3" s="5">
        <f>O135</f>
        <v>7739096.2611339148</v>
      </c>
      <c r="F3" s="56"/>
      <c r="G3" s="29"/>
      <c r="I3" s="34" t="s">
        <v>165</v>
      </c>
      <c r="J3" s="39" t="s">
        <v>166</v>
      </c>
      <c r="K3" s="40" t="s">
        <v>167</v>
      </c>
      <c r="L3" s="35" t="s">
        <v>248</v>
      </c>
      <c r="Y3" s="5">
        <f>V3*80</f>
        <v>0</v>
      </c>
    </row>
    <row r="4" spans="1:26" ht="15.6">
      <c r="B4" s="37"/>
      <c r="C4" s="37"/>
      <c r="D4" s="38"/>
      <c r="F4" s="56"/>
      <c r="G4" s="29"/>
      <c r="I4" s="34"/>
      <c r="J4" s="39"/>
      <c r="K4" s="40"/>
      <c r="L4" s="35"/>
    </row>
    <row r="5" spans="1:26" ht="19.2">
      <c r="A5" s="6" t="s">
        <v>336</v>
      </c>
      <c r="B5" s="63" t="s">
        <v>335</v>
      </c>
      <c r="C5" s="63"/>
      <c r="D5" s="64"/>
      <c r="E5" s="6"/>
      <c r="F5" s="65"/>
      <c r="G5" s="63" t="s">
        <v>327</v>
      </c>
      <c r="H5" s="6" t="s">
        <v>0</v>
      </c>
      <c r="I5" s="34"/>
      <c r="J5" s="39"/>
      <c r="K5" s="40"/>
      <c r="L5" s="35"/>
    </row>
    <row r="6" spans="1:26">
      <c r="A6" s="36" t="s">
        <v>38</v>
      </c>
      <c r="B6" s="29" t="s">
        <v>326</v>
      </c>
      <c r="C6" s="29"/>
      <c r="D6" s="29"/>
      <c r="E6" s="29"/>
      <c r="F6" s="56"/>
      <c r="G6" s="29">
        <v>100000</v>
      </c>
      <c r="H6" s="39">
        <f>G6</f>
        <v>100000</v>
      </c>
      <c r="J6" s="5">
        <f>H6</f>
        <v>100000</v>
      </c>
      <c r="L6" s="33"/>
    </row>
    <row r="7" spans="1:26">
      <c r="G7" s="32"/>
    </row>
    <row r="8" spans="1:26">
      <c r="A8" s="5" t="s">
        <v>47</v>
      </c>
      <c r="B8" s="29" t="s">
        <v>39</v>
      </c>
      <c r="C8" s="29"/>
      <c r="D8" s="29"/>
      <c r="E8" s="29"/>
      <c r="F8" s="56"/>
      <c r="G8" s="29">
        <v>2883</v>
      </c>
      <c r="H8" s="39">
        <f>G8</f>
        <v>2883</v>
      </c>
      <c r="J8" s="5">
        <f>H8</f>
        <v>2883</v>
      </c>
    </row>
    <row r="9" spans="1:26">
      <c r="G9" s="32"/>
      <c r="O9" s="30"/>
    </row>
    <row r="10" spans="1:26">
      <c r="B10" s="29" t="s">
        <v>1</v>
      </c>
      <c r="C10" s="29"/>
      <c r="D10" s="29"/>
      <c r="E10" s="29"/>
      <c r="F10" s="56"/>
      <c r="G10" s="29">
        <v>215000</v>
      </c>
    </row>
    <row r="11" spans="1:26" ht="15.6">
      <c r="B11" s="29" t="s">
        <v>3</v>
      </c>
      <c r="C11" s="29"/>
      <c r="D11" s="29"/>
      <c r="E11" s="29"/>
      <c r="F11" s="56"/>
      <c r="G11" s="29">
        <f>950*$D$1/2</f>
        <v>28975</v>
      </c>
      <c r="Y11" s="75"/>
      <c r="Z11" s="75"/>
    </row>
    <row r="12" spans="1:26">
      <c r="B12" s="29" t="s">
        <v>70</v>
      </c>
      <c r="C12" s="29"/>
      <c r="D12" s="29"/>
      <c r="E12" s="29"/>
      <c r="F12" s="56"/>
      <c r="G12" s="29">
        <v>28416</v>
      </c>
      <c r="Y12" s="29"/>
      <c r="Z12" s="29"/>
    </row>
    <row r="13" spans="1:26">
      <c r="B13" s="29"/>
      <c r="C13" s="29"/>
      <c r="D13" s="29"/>
      <c r="E13" s="29"/>
      <c r="F13" s="56"/>
      <c r="G13" s="29"/>
      <c r="Y13" s="29"/>
      <c r="Z13" s="29"/>
    </row>
    <row r="14" spans="1:26">
      <c r="B14" s="29" t="s">
        <v>2</v>
      </c>
      <c r="C14" s="29"/>
      <c r="D14" s="29"/>
      <c r="E14" s="29"/>
      <c r="F14" s="56"/>
      <c r="G14" s="29">
        <f>SUM(G10:G13)</f>
        <v>272391</v>
      </c>
      <c r="H14" s="34">
        <f>G14</f>
        <v>272391</v>
      </c>
      <c r="I14" s="5">
        <f>H14</f>
        <v>272391</v>
      </c>
      <c r="Y14" s="29"/>
      <c r="Z14" s="29"/>
    </row>
    <row r="15" spans="1:26" ht="15.6">
      <c r="A15" s="33"/>
      <c r="B15" s="30"/>
      <c r="C15" s="30"/>
      <c r="D15" s="41"/>
      <c r="E15" s="30"/>
      <c r="F15" s="57"/>
      <c r="G15" s="30"/>
    </row>
    <row r="16" spans="1:26">
      <c r="A16" s="30"/>
      <c r="B16" s="33"/>
      <c r="C16" s="33"/>
      <c r="D16" s="30"/>
      <c r="E16" s="30"/>
      <c r="F16" s="57"/>
      <c r="G16" s="30"/>
    </row>
    <row r="17" spans="1:10">
      <c r="A17" s="30"/>
      <c r="B17" s="33"/>
      <c r="C17" s="33"/>
      <c r="D17" s="30"/>
      <c r="E17" s="30"/>
      <c r="F17" s="57"/>
      <c r="G17" s="30"/>
    </row>
    <row r="18" spans="1:10">
      <c r="A18" s="33"/>
      <c r="B18" s="33"/>
      <c r="C18" s="33"/>
      <c r="D18" s="33"/>
      <c r="E18" s="30"/>
      <c r="F18" s="57"/>
      <c r="G18" s="33"/>
    </row>
    <row r="19" spans="1:10">
      <c r="A19" s="33"/>
      <c r="B19" s="33"/>
      <c r="C19" s="33"/>
      <c r="D19" s="33"/>
      <c r="E19" s="30"/>
      <c r="F19" s="57" t="s">
        <v>328</v>
      </c>
      <c r="G19" s="42"/>
    </row>
    <row r="20" spans="1:10">
      <c r="A20" s="5" t="s">
        <v>298</v>
      </c>
      <c r="B20" s="29"/>
      <c r="C20" s="29"/>
      <c r="D20" s="29"/>
      <c r="E20" s="29" t="s">
        <v>325</v>
      </c>
      <c r="F20" s="56" t="s">
        <v>329</v>
      </c>
      <c r="G20" s="29"/>
    </row>
    <row r="21" spans="1:10" ht="15.6">
      <c r="A21" s="43" t="s">
        <v>309</v>
      </c>
      <c r="B21" s="29"/>
      <c r="C21" s="29"/>
      <c r="D21" s="29"/>
      <c r="E21" s="29"/>
      <c r="F21" s="56"/>
      <c r="G21" s="29"/>
      <c r="H21" s="39"/>
      <c r="J21" s="5">
        <f t="shared" ref="J21:J28" si="0">H21</f>
        <v>0</v>
      </c>
    </row>
    <row r="22" spans="1:10">
      <c r="A22" s="36" t="s">
        <v>305</v>
      </c>
      <c r="B22" s="29" t="s">
        <v>225</v>
      </c>
      <c r="C22" s="29">
        <v>90</v>
      </c>
      <c r="D22" s="30">
        <v>-30000</v>
      </c>
      <c r="E22" s="27">
        <f>((100*9.9)+11.39+(99*11.29)+(26*6.61)+(74*6.51))/300</f>
        <v>9.2423333333333328</v>
      </c>
      <c r="F22" s="56">
        <f>IF(($D$1/2-C22)&gt;0,($D$1/2-C22),0)</f>
        <v>0</v>
      </c>
      <c r="G22" s="29">
        <f t="shared" ref="G22:G28" si="1">D22*(F22-E22)</f>
        <v>277270</v>
      </c>
      <c r="H22" s="39">
        <f t="shared" ref="H22:H28" si="2">G22*0.6</f>
        <v>166362</v>
      </c>
      <c r="J22" s="5">
        <f>H22</f>
        <v>166362</v>
      </c>
    </row>
    <row r="23" spans="1:10">
      <c r="A23" s="36" t="s">
        <v>300</v>
      </c>
      <c r="B23" s="29" t="s">
        <v>299</v>
      </c>
      <c r="C23" s="29">
        <v>60</v>
      </c>
      <c r="D23" s="30">
        <v>-5000</v>
      </c>
      <c r="E23" s="27">
        <v>12.02</v>
      </c>
      <c r="F23" s="56">
        <f>IF(($D$1/2-C23)&gt;0,($D$1/2-C23),0)</f>
        <v>0</v>
      </c>
      <c r="G23" s="29">
        <f t="shared" si="1"/>
        <v>60100</v>
      </c>
      <c r="H23" s="39">
        <f t="shared" si="2"/>
        <v>36060</v>
      </c>
      <c r="J23" s="5">
        <f t="shared" si="0"/>
        <v>36060</v>
      </c>
    </row>
    <row r="24" spans="1:10">
      <c r="A24" s="36" t="s">
        <v>302</v>
      </c>
      <c r="B24" s="29" t="s">
        <v>301</v>
      </c>
      <c r="C24" s="29">
        <v>70</v>
      </c>
      <c r="D24" s="30">
        <v>-5000</v>
      </c>
      <c r="E24" s="27">
        <v>6.79</v>
      </c>
      <c r="F24" s="56">
        <f>IF(($D$1/2-C24)&gt;0,($D$1/2-C24),0)</f>
        <v>0</v>
      </c>
      <c r="G24" s="29">
        <f t="shared" si="1"/>
        <v>33950</v>
      </c>
      <c r="H24" s="39">
        <f t="shared" si="2"/>
        <v>20370</v>
      </c>
      <c r="J24" s="5">
        <f t="shared" si="0"/>
        <v>20370</v>
      </c>
    </row>
    <row r="25" spans="1:10">
      <c r="A25" s="36" t="s">
        <v>303</v>
      </c>
      <c r="B25" s="29" t="s">
        <v>301</v>
      </c>
      <c r="C25" s="29">
        <v>70</v>
      </c>
      <c r="D25" s="5">
        <v>-10000</v>
      </c>
      <c r="E25" s="26">
        <v>5.42</v>
      </c>
      <c r="F25" s="56">
        <f>IF(($D$1/2-C25)&gt;0,($D$1/2-C25),0)</f>
        <v>0</v>
      </c>
      <c r="G25" s="29">
        <f t="shared" si="1"/>
        <v>54200</v>
      </c>
      <c r="H25" s="39">
        <f t="shared" si="2"/>
        <v>32520</v>
      </c>
      <c r="J25" s="5">
        <f t="shared" si="0"/>
        <v>32520</v>
      </c>
    </row>
    <row r="26" spans="1:10">
      <c r="A26" s="36" t="s">
        <v>302</v>
      </c>
      <c r="B26" s="29" t="s">
        <v>304</v>
      </c>
      <c r="C26" s="29">
        <v>80</v>
      </c>
      <c r="D26" s="5">
        <v>-5000</v>
      </c>
      <c r="E26" s="26">
        <v>4.1100000000000003</v>
      </c>
      <c r="F26" s="56">
        <f>IF(($D$1/2-C26)&gt;0,($D$1/2-C26),0)</f>
        <v>0</v>
      </c>
      <c r="G26" s="29">
        <f t="shared" si="1"/>
        <v>20550</v>
      </c>
      <c r="H26" s="39">
        <f t="shared" si="2"/>
        <v>12330</v>
      </c>
      <c r="J26" s="5">
        <f t="shared" si="0"/>
        <v>12330</v>
      </c>
    </row>
    <row r="27" spans="1:10">
      <c r="A27" s="36"/>
      <c r="B27" s="29" t="s">
        <v>306</v>
      </c>
      <c r="C27" s="29">
        <v>50</v>
      </c>
      <c r="D27" s="5">
        <v>-5000</v>
      </c>
      <c r="E27" s="26">
        <v>4.5</v>
      </c>
      <c r="F27" s="56">
        <f>IF((C27-$D$1/2)&gt;0,(C27-$D$1/2),0)</f>
        <v>19.5</v>
      </c>
      <c r="G27" s="29">
        <f t="shared" si="1"/>
        <v>-75000</v>
      </c>
      <c r="H27" s="39">
        <f t="shared" si="2"/>
        <v>-45000</v>
      </c>
      <c r="J27" s="5">
        <f t="shared" si="0"/>
        <v>-45000</v>
      </c>
    </row>
    <row r="28" spans="1:10">
      <c r="A28" s="36" t="s">
        <v>308</v>
      </c>
      <c r="B28" s="29" t="s">
        <v>307</v>
      </c>
      <c r="C28" s="29">
        <v>50</v>
      </c>
      <c r="D28" s="5">
        <v>-5000</v>
      </c>
      <c r="E28" s="66">
        <v>3.41</v>
      </c>
      <c r="F28" s="56">
        <f>IF(($D$1/2-C28)&gt;0,($D$1/2-C28),0)</f>
        <v>0</v>
      </c>
      <c r="G28" s="29">
        <f t="shared" si="1"/>
        <v>17050</v>
      </c>
      <c r="H28" s="39">
        <f t="shared" si="2"/>
        <v>10230</v>
      </c>
      <c r="J28" s="5">
        <f t="shared" si="0"/>
        <v>10230</v>
      </c>
    </row>
    <row r="29" spans="1:10" ht="15.6">
      <c r="A29" s="43" t="s">
        <v>310</v>
      </c>
      <c r="B29" s="29"/>
      <c r="C29" s="29"/>
      <c r="E29" s="26"/>
      <c r="G29" s="29"/>
      <c r="H29" s="39"/>
    </row>
    <row r="30" spans="1:10">
      <c r="A30" s="36" t="s">
        <v>311</v>
      </c>
      <c r="B30" s="29" t="s">
        <v>312</v>
      </c>
      <c r="C30" s="29">
        <v>45</v>
      </c>
      <c r="D30" s="5">
        <v>-5000</v>
      </c>
      <c r="E30" s="26">
        <v>13.37</v>
      </c>
      <c r="F30" s="56">
        <f t="shared" ref="F30:F36" si="3">IF(($D$1/2-C30)&gt;0,($D$1/2-C30),0)</f>
        <v>0</v>
      </c>
      <c r="G30" s="29">
        <f t="shared" ref="G30:G36" si="4">D30*(F30-E30)</f>
        <v>66850</v>
      </c>
      <c r="H30" s="39">
        <f t="shared" ref="H30:H36" si="5">G30*0.6</f>
        <v>40110</v>
      </c>
    </row>
    <row r="31" spans="1:10">
      <c r="A31" s="67">
        <v>37062</v>
      </c>
      <c r="B31" s="29" t="s">
        <v>318</v>
      </c>
      <c r="C31" s="29">
        <v>50</v>
      </c>
      <c r="D31" s="5">
        <v>-10000</v>
      </c>
      <c r="E31" s="26">
        <v>7.21</v>
      </c>
      <c r="F31" s="56">
        <f t="shared" si="3"/>
        <v>0</v>
      </c>
      <c r="G31" s="29">
        <f t="shared" si="4"/>
        <v>72100</v>
      </c>
      <c r="H31" s="39">
        <f t="shared" si="5"/>
        <v>43260</v>
      </c>
    </row>
    <row r="32" spans="1:10">
      <c r="A32" s="36" t="s">
        <v>311</v>
      </c>
      <c r="B32" s="29" t="s">
        <v>313</v>
      </c>
      <c r="C32" s="29">
        <v>60</v>
      </c>
      <c r="D32" s="5">
        <v>-10000</v>
      </c>
      <c r="E32" s="26">
        <v>7.31</v>
      </c>
      <c r="F32" s="56">
        <f t="shared" si="3"/>
        <v>0</v>
      </c>
      <c r="G32" s="29">
        <f t="shared" si="4"/>
        <v>73100</v>
      </c>
      <c r="H32" s="39">
        <f t="shared" si="5"/>
        <v>43860</v>
      </c>
    </row>
    <row r="33" spans="1:10">
      <c r="A33" s="36" t="s">
        <v>314</v>
      </c>
      <c r="B33" s="29" t="s">
        <v>313</v>
      </c>
      <c r="C33" s="29">
        <v>60</v>
      </c>
      <c r="D33" s="5">
        <v>-5000</v>
      </c>
      <c r="E33" s="27">
        <v>6.39</v>
      </c>
      <c r="F33" s="56">
        <f t="shared" si="3"/>
        <v>0</v>
      </c>
      <c r="G33" s="29">
        <f t="shared" si="4"/>
        <v>31950</v>
      </c>
      <c r="H33" s="39">
        <f t="shared" si="5"/>
        <v>19170</v>
      </c>
      <c r="J33" s="5">
        <f>H33</f>
        <v>19170</v>
      </c>
    </row>
    <row r="34" spans="1:10">
      <c r="A34" s="36" t="s">
        <v>314</v>
      </c>
      <c r="B34" s="29" t="s">
        <v>315</v>
      </c>
      <c r="C34" s="29">
        <v>65</v>
      </c>
      <c r="D34" s="5">
        <v>-5000</v>
      </c>
      <c r="E34" s="27">
        <v>5</v>
      </c>
      <c r="F34" s="56">
        <f t="shared" si="3"/>
        <v>0</v>
      </c>
      <c r="G34" s="29">
        <f t="shared" si="4"/>
        <v>25000</v>
      </c>
      <c r="H34" s="39">
        <f t="shared" si="5"/>
        <v>15000</v>
      </c>
      <c r="J34" s="5">
        <f>H34</f>
        <v>15000</v>
      </c>
    </row>
    <row r="35" spans="1:10">
      <c r="A35" s="36" t="s">
        <v>317</v>
      </c>
      <c r="B35" s="29" t="s">
        <v>316</v>
      </c>
      <c r="C35" s="29">
        <v>75</v>
      </c>
      <c r="D35" s="5">
        <v>-10000</v>
      </c>
      <c r="E35" s="27">
        <v>4.62</v>
      </c>
      <c r="F35" s="56">
        <f t="shared" si="3"/>
        <v>0</v>
      </c>
      <c r="G35" s="29">
        <f t="shared" si="4"/>
        <v>46200</v>
      </c>
      <c r="H35" s="39">
        <f t="shared" si="5"/>
        <v>27720</v>
      </c>
      <c r="J35" s="5">
        <f>H35</f>
        <v>27720</v>
      </c>
    </row>
    <row r="36" spans="1:10">
      <c r="A36" s="36" t="s">
        <v>311</v>
      </c>
      <c r="B36" s="29" t="s">
        <v>316</v>
      </c>
      <c r="C36" s="5">
        <v>75</v>
      </c>
      <c r="D36" s="5">
        <v>-10000</v>
      </c>
      <c r="E36" s="26">
        <v>3.62</v>
      </c>
      <c r="F36" s="56">
        <f t="shared" si="3"/>
        <v>0</v>
      </c>
      <c r="G36" s="29">
        <f t="shared" si="4"/>
        <v>36200</v>
      </c>
      <c r="H36" s="39">
        <f t="shared" si="5"/>
        <v>21720</v>
      </c>
    </row>
    <row r="37" spans="1:10">
      <c r="A37" s="36"/>
      <c r="B37" s="29"/>
      <c r="C37" s="29"/>
      <c r="D37" s="30"/>
      <c r="E37" s="29"/>
      <c r="F37" s="56"/>
      <c r="G37" s="29"/>
      <c r="H37" s="39"/>
      <c r="J37" s="5">
        <f>H37</f>
        <v>0</v>
      </c>
    </row>
    <row r="38" spans="1:10">
      <c r="A38" s="36"/>
      <c r="B38" s="29" t="s">
        <v>319</v>
      </c>
      <c r="C38" s="29"/>
      <c r="D38" s="30"/>
      <c r="F38" s="56"/>
      <c r="G38" s="29">
        <v>750000</v>
      </c>
      <c r="H38" s="39">
        <f>G38</f>
        <v>750000</v>
      </c>
      <c r="J38" s="5">
        <f>H38</f>
        <v>750000</v>
      </c>
    </row>
    <row r="39" spans="1:10">
      <c r="A39" s="36"/>
      <c r="B39" s="29" t="s">
        <v>345</v>
      </c>
      <c r="C39" s="29"/>
      <c r="D39" s="30"/>
      <c r="E39" s="29"/>
      <c r="F39" s="56"/>
      <c r="G39" s="29">
        <v>400000</v>
      </c>
      <c r="H39" s="39">
        <f>G39</f>
        <v>400000</v>
      </c>
      <c r="J39" s="5">
        <f>H39</f>
        <v>400000</v>
      </c>
    </row>
    <row r="40" spans="1:10">
      <c r="A40" s="36"/>
      <c r="B40" s="29"/>
      <c r="C40" s="29"/>
      <c r="D40" s="30"/>
      <c r="E40" s="29"/>
      <c r="F40" s="56"/>
      <c r="G40" s="29"/>
      <c r="H40" s="39"/>
    </row>
    <row r="41" spans="1:10">
      <c r="A41" s="36"/>
      <c r="B41" s="29" t="s">
        <v>321</v>
      </c>
      <c r="C41" s="29"/>
      <c r="D41" s="30">
        <v>1557101</v>
      </c>
      <c r="F41" s="56"/>
      <c r="G41" s="29"/>
      <c r="H41" s="39"/>
      <c r="J41" s="5">
        <f>H41</f>
        <v>0</v>
      </c>
    </row>
    <row r="42" spans="1:10">
      <c r="A42" s="36"/>
      <c r="B42" s="29" t="s">
        <v>322</v>
      </c>
      <c r="C42" s="29"/>
      <c r="D42" s="30">
        <v>260000</v>
      </c>
      <c r="E42" s="29"/>
      <c r="F42" s="56"/>
      <c r="G42" s="29"/>
      <c r="H42" s="39"/>
      <c r="J42" s="5">
        <f>H42</f>
        <v>0</v>
      </c>
    </row>
    <row r="43" spans="1:10">
      <c r="B43" s="29" t="s">
        <v>294</v>
      </c>
      <c r="C43" s="29"/>
      <c r="D43" s="5">
        <f>(484000+D42)*0.4</f>
        <v>297600</v>
      </c>
      <c r="G43" s="29"/>
      <c r="H43" s="39"/>
    </row>
    <row r="44" spans="1:10">
      <c r="B44" s="5" t="s">
        <v>323</v>
      </c>
      <c r="D44" s="5">
        <f>D41+D42-D43</f>
        <v>1519501</v>
      </c>
      <c r="G44" s="29"/>
      <c r="H44" s="39"/>
    </row>
    <row r="45" spans="1:10">
      <c r="B45" s="5" t="s">
        <v>324</v>
      </c>
      <c r="D45" s="5">
        <f>D44-SUM(H21:H39)</f>
        <v>-74211</v>
      </c>
    </row>
    <row r="47" spans="1:10">
      <c r="B47" s="29" t="s">
        <v>330</v>
      </c>
      <c r="C47" s="29"/>
      <c r="G47" s="29">
        <v>1150000</v>
      </c>
      <c r="H47" s="39">
        <f>G47</f>
        <v>1150000</v>
      </c>
    </row>
    <row r="48" spans="1:10">
      <c r="B48" s="29" t="s">
        <v>320</v>
      </c>
      <c r="C48" s="29"/>
      <c r="G48" s="29">
        <f>'2001 cf'!D32</f>
        <v>559722</v>
      </c>
      <c r="H48" s="39">
        <f>G48</f>
        <v>559722</v>
      </c>
    </row>
    <row r="49" spans="1:11">
      <c r="B49" s="29"/>
      <c r="C49" s="29"/>
      <c r="G49" s="29"/>
      <c r="H49" s="39"/>
      <c r="J49" s="5">
        <f>H49</f>
        <v>0</v>
      </c>
    </row>
    <row r="50" spans="1:11">
      <c r="B50" s="29"/>
      <c r="C50" s="29"/>
      <c r="G50" s="29"/>
      <c r="H50" s="39"/>
    </row>
    <row r="51" spans="1:11" ht="15.6">
      <c r="B51" s="37"/>
      <c r="C51" s="37"/>
      <c r="D51" s="29"/>
      <c r="E51" s="29"/>
      <c r="F51" s="56"/>
      <c r="G51" s="29"/>
    </row>
    <row r="52" spans="1:11">
      <c r="A52" s="5" t="s">
        <v>47</v>
      </c>
      <c r="B52" s="29" t="s">
        <v>331</v>
      </c>
      <c r="C52" s="29"/>
      <c r="D52" s="29"/>
      <c r="E52" s="29"/>
      <c r="F52" s="56">
        <v>8000</v>
      </c>
      <c r="G52" s="29">
        <v>8000</v>
      </c>
      <c r="H52" s="34">
        <f>G52</f>
        <v>8000</v>
      </c>
      <c r="I52" s="5">
        <f>H52</f>
        <v>8000</v>
      </c>
    </row>
    <row r="53" spans="1:11">
      <c r="G53" s="32"/>
    </row>
    <row r="54" spans="1:11" ht="15.6">
      <c r="A54" s="5" t="s">
        <v>47</v>
      </c>
      <c r="B54" s="37" t="s">
        <v>41</v>
      </c>
      <c r="C54" s="37"/>
      <c r="D54" s="29"/>
      <c r="E54" s="29"/>
      <c r="F54" s="56"/>
      <c r="G54" s="29"/>
    </row>
    <row r="55" spans="1:11">
      <c r="G55" s="32"/>
    </row>
    <row r="56" spans="1:11" ht="15.6">
      <c r="A56" s="5" t="s">
        <v>47</v>
      </c>
      <c r="B56" s="37" t="s">
        <v>36</v>
      </c>
      <c r="C56" s="37"/>
      <c r="D56" s="29"/>
      <c r="E56" s="29"/>
      <c r="F56" s="56"/>
      <c r="G56" s="29"/>
    </row>
    <row r="57" spans="1:11" ht="15.6">
      <c r="A57" s="37"/>
      <c r="B57" s="37" t="s">
        <v>332</v>
      </c>
      <c r="C57" s="37"/>
      <c r="D57" s="29"/>
      <c r="E57" s="29"/>
      <c r="F57" s="56">
        <v>605000</v>
      </c>
      <c r="G57" s="29"/>
    </row>
    <row r="58" spans="1:11">
      <c r="A58" s="36"/>
      <c r="B58" s="29" t="s">
        <v>333</v>
      </c>
      <c r="C58" s="29"/>
      <c r="D58" s="30"/>
      <c r="E58" s="29"/>
      <c r="F58" s="56">
        <v>100000</v>
      </c>
      <c r="G58" s="29"/>
      <c r="H58" s="33"/>
    </row>
    <row r="59" spans="1:11">
      <c r="A59" s="29"/>
      <c r="B59" s="30" t="s">
        <v>334</v>
      </c>
      <c r="C59" s="30"/>
      <c r="D59" s="29"/>
      <c r="E59" s="29"/>
      <c r="F59" s="56">
        <f>+(400000+F58)*-0.4</f>
        <v>-200000</v>
      </c>
    </row>
    <row r="60" spans="1:11">
      <c r="A60" s="29"/>
      <c r="B60" s="30"/>
      <c r="C60" s="30"/>
      <c r="D60" s="29"/>
      <c r="E60" s="29"/>
      <c r="F60" s="56"/>
    </row>
    <row r="61" spans="1:11">
      <c r="B61" s="29" t="s">
        <v>7</v>
      </c>
      <c r="C61" s="29"/>
      <c r="D61" s="29"/>
      <c r="E61" s="29"/>
      <c r="F61" s="56"/>
      <c r="G61" s="29">
        <f>SUM(F57:F59)</f>
        <v>505000</v>
      </c>
      <c r="H61" s="40">
        <f>G61</f>
        <v>505000</v>
      </c>
      <c r="K61" s="5">
        <f>H61</f>
        <v>505000</v>
      </c>
    </row>
    <row r="62" spans="1:11">
      <c r="G62" s="32"/>
    </row>
    <row r="63" spans="1:11">
      <c r="B63" s="29" t="s">
        <v>8</v>
      </c>
      <c r="C63" s="29"/>
      <c r="D63" s="29"/>
      <c r="E63" s="29"/>
      <c r="F63" s="56"/>
      <c r="G63" s="29"/>
    </row>
    <row r="64" spans="1:11">
      <c r="A64" s="5" t="s">
        <v>47</v>
      </c>
      <c r="B64" s="29" t="s">
        <v>9</v>
      </c>
      <c r="C64" s="29"/>
      <c r="D64" s="29"/>
      <c r="E64" s="29"/>
      <c r="F64" s="56"/>
      <c r="G64" s="29"/>
    </row>
    <row r="65" spans="1:11">
      <c r="B65" s="29" t="s">
        <v>163</v>
      </c>
      <c r="C65" s="29"/>
      <c r="D65" s="29"/>
      <c r="E65" s="29">
        <v>400</v>
      </c>
      <c r="F65" s="58">
        <f>E65*E143</f>
        <v>18000</v>
      </c>
      <c r="G65" s="29"/>
    </row>
    <row r="66" spans="1:11">
      <c r="B66" s="29" t="s">
        <v>164</v>
      </c>
      <c r="C66" s="29"/>
      <c r="D66" s="29"/>
      <c r="E66" s="29">
        <v>210</v>
      </c>
      <c r="F66" s="58">
        <f>E66*E141</f>
        <v>27930</v>
      </c>
      <c r="G66" s="29"/>
    </row>
    <row r="67" spans="1:11">
      <c r="B67" s="29" t="s">
        <v>162</v>
      </c>
      <c r="C67" s="29"/>
      <c r="D67" s="29"/>
      <c r="E67" s="29"/>
      <c r="F67" s="56">
        <v>2000</v>
      </c>
      <c r="G67" s="29"/>
    </row>
    <row r="68" spans="1:11">
      <c r="B68" s="29" t="s">
        <v>10</v>
      </c>
      <c r="C68" s="29"/>
      <c r="D68" s="29"/>
      <c r="E68" s="29"/>
      <c r="F68" s="56"/>
      <c r="G68" s="29"/>
    </row>
    <row r="69" spans="1:11">
      <c r="A69" s="5" t="s">
        <v>48</v>
      </c>
      <c r="B69" s="29" t="s">
        <v>113</v>
      </c>
      <c r="C69" s="29"/>
      <c r="D69" s="29"/>
      <c r="E69" s="29">
        <v>284</v>
      </c>
      <c r="F69" s="58">
        <f>E69*E142</f>
        <v>18460</v>
      </c>
      <c r="G69" s="29"/>
    </row>
    <row r="70" spans="1:11">
      <c r="B70" s="29"/>
      <c r="C70" s="29"/>
      <c r="D70" s="29"/>
      <c r="E70" s="29"/>
      <c r="F70" s="56">
        <v>3000</v>
      </c>
      <c r="G70" s="29">
        <f>SUM(F65:F70)</f>
        <v>69390</v>
      </c>
      <c r="H70" s="34">
        <f>G70</f>
        <v>69390</v>
      </c>
      <c r="I70" s="5">
        <f>H70</f>
        <v>69390</v>
      </c>
    </row>
    <row r="71" spans="1:11">
      <c r="D71" s="29"/>
      <c r="E71" s="29"/>
      <c r="F71" s="56"/>
      <c r="G71" s="29"/>
    </row>
    <row r="72" spans="1:11">
      <c r="B72" s="29"/>
      <c r="C72" s="29"/>
      <c r="D72" s="29"/>
      <c r="E72" s="29"/>
      <c r="F72" s="56"/>
      <c r="G72" s="29"/>
    </row>
    <row r="73" spans="1:11">
      <c r="G73" s="32"/>
    </row>
    <row r="74" spans="1:11">
      <c r="B74" s="29" t="s">
        <v>31</v>
      </c>
      <c r="C74" s="29"/>
      <c r="D74" s="29"/>
      <c r="E74" s="29"/>
      <c r="F74" s="56"/>
      <c r="G74" s="29"/>
    </row>
    <row r="75" spans="1:11">
      <c r="A75" s="36" t="s">
        <v>34</v>
      </c>
      <c r="B75" s="29" t="s">
        <v>32</v>
      </c>
      <c r="C75" s="29"/>
      <c r="D75" s="29"/>
      <c r="E75" s="29"/>
      <c r="F75" s="56">
        <v>36730</v>
      </c>
      <c r="G75" s="29"/>
    </row>
    <row r="76" spans="1:11">
      <c r="A76" s="36" t="s">
        <v>34</v>
      </c>
      <c r="B76" s="29" t="s">
        <v>33</v>
      </c>
      <c r="C76" s="29"/>
      <c r="D76" s="29"/>
      <c r="E76" s="29"/>
      <c r="F76" s="58">
        <v>32306</v>
      </c>
      <c r="G76" s="29"/>
    </row>
    <row r="77" spans="1:11">
      <c r="B77" s="29" t="s">
        <v>11</v>
      </c>
      <c r="C77" s="29"/>
      <c r="D77" s="29"/>
      <c r="E77" s="29"/>
      <c r="F77" s="56"/>
      <c r="G77" s="29">
        <f>SUM(F75:F76)</f>
        <v>69036</v>
      </c>
      <c r="H77" s="40">
        <f>G77</f>
        <v>69036</v>
      </c>
      <c r="K77" s="5">
        <f>H77</f>
        <v>69036</v>
      </c>
    </row>
    <row r="78" spans="1:11">
      <c r="G78" s="32"/>
    </row>
    <row r="79" spans="1:11">
      <c r="A79" s="5" t="s">
        <v>47</v>
      </c>
      <c r="B79" s="29" t="s">
        <v>37</v>
      </c>
      <c r="C79" s="29"/>
      <c r="D79" s="29"/>
      <c r="E79" s="29"/>
      <c r="F79" s="56"/>
      <c r="G79" s="29">
        <v>12068.73</v>
      </c>
      <c r="H79" s="34">
        <f>G79</f>
        <v>12068.73</v>
      </c>
      <c r="I79" s="5">
        <f>H79</f>
        <v>12068.73</v>
      </c>
    </row>
    <row r="80" spans="1:11">
      <c r="G80" s="32"/>
    </row>
    <row r="81" spans="1:10">
      <c r="A81" s="5" t="s">
        <v>47</v>
      </c>
      <c r="B81" s="29" t="s">
        <v>12</v>
      </c>
      <c r="C81" s="29"/>
      <c r="D81" s="29"/>
      <c r="E81" s="29"/>
      <c r="F81" s="56"/>
      <c r="G81" s="29"/>
    </row>
    <row r="82" spans="1:10">
      <c r="B82" s="29" t="s">
        <v>13</v>
      </c>
      <c r="C82" s="29"/>
      <c r="D82" s="29"/>
      <c r="E82" s="29"/>
      <c r="F82" s="56">
        <v>13500</v>
      </c>
      <c r="G82" s="29"/>
    </row>
    <row r="83" spans="1:10">
      <c r="B83" s="29" t="s">
        <v>14</v>
      </c>
      <c r="C83" s="29"/>
      <c r="D83" s="29"/>
      <c r="E83" s="29"/>
      <c r="F83" s="56">
        <v>11611.05</v>
      </c>
      <c r="G83" s="29"/>
    </row>
    <row r="84" spans="1:10">
      <c r="B84" s="29" t="s">
        <v>15</v>
      </c>
      <c r="C84" s="29"/>
      <c r="D84" s="29"/>
      <c r="E84" s="29"/>
      <c r="F84" s="58">
        <v>10362.18</v>
      </c>
      <c r="G84" s="29"/>
    </row>
    <row r="85" spans="1:10">
      <c r="B85" s="29" t="s">
        <v>16</v>
      </c>
      <c r="C85" s="29"/>
      <c r="D85" s="29"/>
      <c r="E85" s="29"/>
      <c r="F85" s="56"/>
      <c r="G85" s="29">
        <f>SUM(F82:F84)</f>
        <v>35473.229999999996</v>
      </c>
      <c r="H85" s="34">
        <f>G85</f>
        <v>35473.229999999996</v>
      </c>
      <c r="I85" s="5">
        <f>H85</f>
        <v>35473.229999999996</v>
      </c>
    </row>
    <row r="86" spans="1:10">
      <c r="G86" s="32"/>
    </row>
    <row r="87" spans="1:10">
      <c r="G87" s="32"/>
    </row>
    <row r="88" spans="1:10">
      <c r="B88" s="29" t="s">
        <v>17</v>
      </c>
      <c r="C88" s="29"/>
      <c r="D88" s="29"/>
      <c r="E88" s="29"/>
      <c r="F88" s="56"/>
      <c r="G88" s="29"/>
    </row>
    <row r="89" spans="1:10">
      <c r="B89" s="29" t="s">
        <v>18</v>
      </c>
      <c r="C89" s="29"/>
      <c r="D89" s="29"/>
      <c r="E89" s="29"/>
      <c r="F89" s="56">
        <v>541.79999999999995</v>
      </c>
      <c r="G89" s="29"/>
    </row>
    <row r="90" spans="1:10">
      <c r="B90" s="29" t="s">
        <v>19</v>
      </c>
      <c r="C90" s="29"/>
      <c r="D90" s="29"/>
      <c r="E90" s="29"/>
      <c r="F90" s="56">
        <v>653.79999999999995</v>
      </c>
      <c r="G90" s="29"/>
    </row>
    <row r="91" spans="1:10">
      <c r="B91" s="29" t="s">
        <v>20</v>
      </c>
      <c r="C91" s="29"/>
      <c r="D91" s="29"/>
      <c r="E91" s="29"/>
      <c r="F91" s="58">
        <v>44.08</v>
      </c>
      <c r="G91" s="29"/>
    </row>
    <row r="92" spans="1:10">
      <c r="B92" s="29" t="s">
        <v>21</v>
      </c>
      <c r="C92" s="29"/>
      <c r="D92" s="29"/>
      <c r="E92" s="29"/>
      <c r="F92" s="56"/>
      <c r="G92" s="29">
        <f>SUM(F89:F91)</f>
        <v>1239.6799999999998</v>
      </c>
      <c r="H92" s="34">
        <f>G92</f>
        <v>1239.6799999999998</v>
      </c>
      <c r="I92" s="5">
        <f>H92</f>
        <v>1239.6799999999998</v>
      </c>
    </row>
    <row r="93" spans="1:10">
      <c r="G93" s="32"/>
    </row>
    <row r="94" spans="1:10">
      <c r="B94" s="29" t="s">
        <v>22</v>
      </c>
      <c r="C94" s="29"/>
      <c r="D94" s="29"/>
      <c r="E94" s="29"/>
      <c r="F94" s="56"/>
      <c r="G94" s="29"/>
    </row>
    <row r="95" spans="1:10">
      <c r="B95" s="29" t="s">
        <v>246</v>
      </c>
      <c r="C95" s="29"/>
      <c r="D95" s="29">
        <v>1736</v>
      </c>
      <c r="E95" s="29">
        <v>1</v>
      </c>
      <c r="F95" s="56">
        <f>$D$1/2</f>
        <v>30.5</v>
      </c>
      <c r="G95" s="29">
        <f>D95*E95*F95</f>
        <v>52948</v>
      </c>
      <c r="H95" s="34">
        <f>G95*0.6</f>
        <v>31768.799999999999</v>
      </c>
      <c r="J95" s="5">
        <f>H95</f>
        <v>31768.799999999999</v>
      </c>
    </row>
    <row r="96" spans="1:10">
      <c r="B96" s="29" t="s">
        <v>245</v>
      </c>
      <c r="C96" s="29"/>
      <c r="D96" s="29">
        <v>1390</v>
      </c>
      <c r="E96" s="29">
        <v>1</v>
      </c>
      <c r="F96" s="56">
        <f>D1/2</f>
        <v>30.5</v>
      </c>
      <c r="G96" s="29">
        <f>D96*E96*F96</f>
        <v>42395</v>
      </c>
      <c r="H96" s="34">
        <f>G96*0.6</f>
        <v>25437</v>
      </c>
      <c r="J96" s="5">
        <f>H96</f>
        <v>25437</v>
      </c>
    </row>
    <row r="97" spans="1:12">
      <c r="B97" s="29" t="s">
        <v>247</v>
      </c>
      <c r="C97" s="29"/>
      <c r="D97" s="29">
        <v>5920</v>
      </c>
      <c r="E97" s="29">
        <v>1</v>
      </c>
      <c r="F97" s="56">
        <f>F96</f>
        <v>30.5</v>
      </c>
      <c r="G97" s="29">
        <f>D97*E97*F97</f>
        <v>180560</v>
      </c>
      <c r="H97" s="34">
        <f>G97*0.6</f>
        <v>108336</v>
      </c>
      <c r="J97" s="5">
        <f>H97</f>
        <v>108336</v>
      </c>
    </row>
    <row r="101" spans="1:12">
      <c r="D101" s="29"/>
      <c r="G101" s="32"/>
    </row>
    <row r="102" spans="1:12">
      <c r="B102" s="29"/>
      <c r="C102" s="29"/>
      <c r="D102" s="29"/>
      <c r="E102" s="29"/>
      <c r="F102" s="56"/>
      <c r="G102" s="29"/>
    </row>
    <row r="103" spans="1:12">
      <c r="G103" s="32"/>
    </row>
    <row r="104" spans="1:12">
      <c r="G104" s="32"/>
    </row>
    <row r="105" spans="1:12">
      <c r="A105" s="36" t="s">
        <v>34</v>
      </c>
      <c r="B105" s="5" t="s">
        <v>40</v>
      </c>
      <c r="G105" s="32">
        <v>3600000</v>
      </c>
      <c r="H105" s="34">
        <f>G105*0.7</f>
        <v>2520000.0000000005</v>
      </c>
      <c r="I105" s="5">
        <f>H105*0.65</f>
        <v>1638000.0000000005</v>
      </c>
      <c r="J105" s="5">
        <f>H105*0.35</f>
        <v>882000.00000000012</v>
      </c>
    </row>
    <row r="106" spans="1:12">
      <c r="A106" s="36"/>
      <c r="G106" s="32"/>
      <c r="H106" s="34"/>
    </row>
    <row r="107" spans="1:12">
      <c r="A107" s="5" t="s">
        <v>42</v>
      </c>
      <c r="G107" s="32">
        <v>190000</v>
      </c>
      <c r="H107" s="39">
        <f>G107</f>
        <v>190000</v>
      </c>
      <c r="J107" s="5">
        <f>H107</f>
        <v>190000</v>
      </c>
    </row>
    <row r="108" spans="1:12">
      <c r="G108" s="32"/>
    </row>
    <row r="109" spans="1:12">
      <c r="G109" s="32"/>
    </row>
    <row r="110" spans="1:12">
      <c r="G110" s="32"/>
    </row>
    <row r="111" spans="1:12">
      <c r="B111" s="29" t="s">
        <v>23</v>
      </c>
      <c r="C111" s="29"/>
      <c r="D111" s="29"/>
      <c r="E111" s="29"/>
      <c r="F111" s="56"/>
      <c r="G111" s="44">
        <f>SUM(G2:G110)</f>
        <v>9013017.6400000006</v>
      </c>
      <c r="H111" s="45">
        <f>SUM(H2:H110)</f>
        <v>7254457.4400000013</v>
      </c>
      <c r="I111" s="46">
        <f>SUM(I2:I110)</f>
        <v>2036562.6400000004</v>
      </c>
      <c r="J111" s="47">
        <f>SUM(J2:J110)</f>
        <v>2785186.8000000003</v>
      </c>
      <c r="K111" s="48">
        <f>SUM(K2:K110)</f>
        <v>574036</v>
      </c>
    </row>
    <row r="112" spans="1:12">
      <c r="B112" s="29"/>
      <c r="C112" s="29"/>
      <c r="D112" s="29"/>
      <c r="E112" s="29"/>
      <c r="F112" s="56"/>
      <c r="G112" s="44"/>
      <c r="H112" s="45" t="s">
        <v>169</v>
      </c>
      <c r="I112" s="46"/>
      <c r="J112" s="39"/>
      <c r="K112" s="48"/>
      <c r="L112" s="49">
        <f>M132</f>
        <v>319117.89867130434</v>
      </c>
    </row>
    <row r="113" spans="1:16">
      <c r="B113" s="29"/>
      <c r="C113" s="29"/>
      <c r="D113" s="29"/>
      <c r="E113" s="29"/>
      <c r="F113" s="56"/>
      <c r="G113" s="44"/>
      <c r="H113" s="45" t="s">
        <v>170</v>
      </c>
      <c r="I113" s="46">
        <f>SUM(I111:I112)</f>
        <v>2036562.6400000004</v>
      </c>
      <c r="J113" s="47">
        <f>SUM(J111:J112)</f>
        <v>2785186.8000000003</v>
      </c>
      <c r="K113" s="48">
        <f>SUM(K111:K112)</f>
        <v>574036</v>
      </c>
      <c r="L113" s="49">
        <f>SUM(L111:L112)</f>
        <v>319117.89867130434</v>
      </c>
    </row>
    <row r="114" spans="1:16">
      <c r="G114" s="32"/>
    </row>
    <row r="115" spans="1:16">
      <c r="G115" s="32"/>
      <c r="I115" s="50"/>
      <c r="J115" s="50"/>
      <c r="K115" s="50"/>
      <c r="L115" s="51"/>
      <c r="M115" s="51" t="s">
        <v>51</v>
      </c>
      <c r="N115" s="51" t="s">
        <v>159</v>
      </c>
      <c r="O115" s="51" t="s">
        <v>251</v>
      </c>
      <c r="P115" s="51" t="s">
        <v>252</v>
      </c>
    </row>
    <row r="116" spans="1:16">
      <c r="B116" s="29" t="s">
        <v>215</v>
      </c>
      <c r="C116" s="29"/>
      <c r="D116" s="29"/>
      <c r="E116" s="29"/>
      <c r="F116" s="56"/>
      <c r="G116" s="29">
        <v>30000</v>
      </c>
      <c r="M116" s="5">
        <f>G116*0.6</f>
        <v>18000</v>
      </c>
    </row>
    <row r="117" spans="1:16">
      <c r="B117" s="29" t="s">
        <v>174</v>
      </c>
      <c r="C117" s="29"/>
      <c r="D117" s="29"/>
      <c r="E117" s="29"/>
      <c r="F117" s="56"/>
      <c r="G117" s="29">
        <v>300000</v>
      </c>
      <c r="M117" s="5">
        <f>G117*0.6</f>
        <v>180000</v>
      </c>
    </row>
    <row r="118" spans="1:16">
      <c r="B118" s="29"/>
      <c r="C118" s="29"/>
      <c r="D118" s="29"/>
      <c r="E118" s="29"/>
      <c r="F118" s="56"/>
      <c r="G118" s="29"/>
    </row>
    <row r="119" spans="1:16">
      <c r="B119" s="29" t="s">
        <v>340</v>
      </c>
      <c r="C119" s="29"/>
      <c r="D119" s="52">
        <v>4584</v>
      </c>
      <c r="E119" s="29"/>
      <c r="F119" s="56">
        <f>$D$1/2-18.375</f>
        <v>12.125</v>
      </c>
      <c r="G119" s="29">
        <f t="shared" ref="G119:G124" si="6">D119*F119</f>
        <v>55581</v>
      </c>
      <c r="M119" s="5">
        <f>G119*0.6</f>
        <v>33348.6</v>
      </c>
    </row>
    <row r="120" spans="1:16">
      <c r="B120" s="29" t="s">
        <v>337</v>
      </c>
      <c r="C120" s="29"/>
      <c r="D120" s="52">
        <v>1600</v>
      </c>
      <c r="E120" s="29"/>
      <c r="F120" s="56">
        <f>$D$1/2-20.0625</f>
        <v>10.4375</v>
      </c>
      <c r="G120" s="29">
        <f t="shared" si="6"/>
        <v>16700</v>
      </c>
      <c r="M120" s="5">
        <f>G120*0.6</f>
        <v>10020</v>
      </c>
    </row>
    <row r="121" spans="1:16">
      <c r="B121" s="29" t="s">
        <v>338</v>
      </c>
      <c r="C121" s="29"/>
      <c r="D121" s="52">
        <v>1600</v>
      </c>
      <c r="E121" s="29"/>
      <c r="F121" s="56">
        <f>$D$1/2-20.0625</f>
        <v>10.4375</v>
      </c>
      <c r="G121" s="29">
        <f t="shared" si="6"/>
        <v>16700</v>
      </c>
      <c r="N121" s="5">
        <f>G121*0.6</f>
        <v>10020</v>
      </c>
    </row>
    <row r="122" spans="1:16">
      <c r="A122" s="36"/>
      <c r="B122" s="29" t="s">
        <v>339</v>
      </c>
      <c r="C122" s="29"/>
      <c r="D122" s="52">
        <v>3124</v>
      </c>
      <c r="E122" s="29"/>
      <c r="F122" s="56">
        <f>$D$1/2-31.4688</f>
        <v>-0.96880000000000166</v>
      </c>
      <c r="G122" s="29">
        <f t="shared" si="6"/>
        <v>-3026.5312000000054</v>
      </c>
      <c r="M122" s="5">
        <f>G122*0.6</f>
        <v>-1815.9187200000031</v>
      </c>
    </row>
    <row r="123" spans="1:16">
      <c r="A123" s="36"/>
      <c r="B123" s="29" t="s">
        <v>341</v>
      </c>
      <c r="C123" s="29"/>
      <c r="D123" s="52">
        <v>3124</v>
      </c>
      <c r="E123" s="29"/>
      <c r="F123" s="56">
        <f>$D$1/2-31.4688</f>
        <v>-0.96880000000000166</v>
      </c>
      <c r="G123" s="29">
        <f t="shared" si="6"/>
        <v>-3026.5312000000054</v>
      </c>
      <c r="N123" s="5">
        <f>G123*0.6</f>
        <v>-1815.9187200000031</v>
      </c>
    </row>
    <row r="124" spans="1:16">
      <c r="A124" s="36"/>
      <c r="B124" s="29" t="s">
        <v>342</v>
      </c>
      <c r="C124" s="29"/>
      <c r="D124" s="52">
        <v>3120</v>
      </c>
      <c r="E124" s="29"/>
      <c r="F124" s="56">
        <f>$D$1/2-31.4688</f>
        <v>-0.96880000000000166</v>
      </c>
      <c r="G124" s="29">
        <f t="shared" si="6"/>
        <v>-3022.6560000000054</v>
      </c>
      <c r="O124" s="5">
        <f>G124*0.6</f>
        <v>-1813.5936000000031</v>
      </c>
    </row>
    <row r="125" spans="1:16" ht="15.75" customHeight="1">
      <c r="A125" s="5">
        <f>D125*13*0.6</f>
        <v>40216.799999999996</v>
      </c>
      <c r="B125" s="29" t="s">
        <v>69</v>
      </c>
      <c r="C125" s="29"/>
      <c r="D125" s="12">
        <v>5156</v>
      </c>
      <c r="E125" s="5">
        <v>0.5</v>
      </c>
      <c r="F125" s="18">
        <f>IF(D1-111&lt;0,0,D1-111)</f>
        <v>0</v>
      </c>
      <c r="G125" s="29">
        <f t="shared" ref="G125:G130" si="7">D125*E125*F125</f>
        <v>0</v>
      </c>
      <c r="M125" s="5">
        <f>$D$125*0.2*$F$125*0.6</f>
        <v>0</v>
      </c>
      <c r="N125" s="5">
        <f>$D$125*0.2*$F$125*0.6</f>
        <v>0</v>
      </c>
    </row>
    <row r="126" spans="1:16" ht="15.75" customHeight="1">
      <c r="B126" s="29" t="s">
        <v>153</v>
      </c>
      <c r="C126" s="29"/>
      <c r="D126" s="12">
        <v>7143</v>
      </c>
      <c r="E126" s="5">
        <v>1</v>
      </c>
      <c r="F126" s="18">
        <f>IF(((D1/2)-76)&lt;0,0,(D1/2-76))</f>
        <v>0</v>
      </c>
      <c r="G126" s="29">
        <f t="shared" si="7"/>
        <v>0</v>
      </c>
      <c r="M126" s="5">
        <f>$G$126*0.33*0.6</f>
        <v>0</v>
      </c>
      <c r="N126" s="5">
        <f>$G$126*0.33*0.6</f>
        <v>0</v>
      </c>
      <c r="O126" s="5">
        <f>$G$126*0.33*0.6</f>
        <v>0</v>
      </c>
    </row>
    <row r="127" spans="1:16" ht="15.75" customHeight="1">
      <c r="A127" s="5">
        <f>D127*0.75*6.5*0.6</f>
        <v>222563.25</v>
      </c>
      <c r="B127" s="29" t="s">
        <v>189</v>
      </c>
      <c r="C127" s="29"/>
      <c r="D127" s="12">
        <v>76090</v>
      </c>
      <c r="E127" s="5">
        <v>1</v>
      </c>
      <c r="F127" s="18">
        <f>IF((($D$1/2)-75)&lt;0,0,($D$1/2-75))</f>
        <v>0</v>
      </c>
      <c r="G127" s="29">
        <f t="shared" si="7"/>
        <v>0</v>
      </c>
      <c r="M127" s="5">
        <f>$G127*0.45*0.6</f>
        <v>0</v>
      </c>
      <c r="N127" s="5">
        <f>$G127*0.3*0.6</f>
        <v>0</v>
      </c>
      <c r="O127" s="5">
        <f>$G127*0.25*0.6</f>
        <v>0</v>
      </c>
    </row>
    <row r="128" spans="1:16" ht="15.75" customHeight="1">
      <c r="B128" s="29" t="s">
        <v>190</v>
      </c>
      <c r="C128" s="29"/>
      <c r="D128" s="12">
        <v>23314</v>
      </c>
      <c r="E128" s="5">
        <v>1</v>
      </c>
      <c r="F128" s="18">
        <f>D1/2</f>
        <v>30.5</v>
      </c>
      <c r="G128" s="29">
        <f t="shared" si="7"/>
        <v>711077</v>
      </c>
      <c r="P128" s="5">
        <f>$G$128*0.6</f>
        <v>426646.2</v>
      </c>
    </row>
    <row r="129" spans="1:22" ht="15.75" customHeight="1">
      <c r="A129" s="5">
        <f>+D129*0.75*11*0.6</f>
        <v>123750</v>
      </c>
      <c r="B129" s="29" t="s">
        <v>250</v>
      </c>
      <c r="C129" s="29"/>
      <c r="D129" s="12">
        <f>500000/20</f>
        <v>25000</v>
      </c>
      <c r="E129" s="5">
        <v>1</v>
      </c>
      <c r="F129" s="18">
        <f>IF((($D$1/2)-61)&lt;0,0,($D$1/2-61))</f>
        <v>0</v>
      </c>
      <c r="G129" s="29">
        <f t="shared" si="7"/>
        <v>0</v>
      </c>
      <c r="M129" s="5">
        <f>$G129*0.45*0.6</f>
        <v>0</v>
      </c>
      <c r="N129" s="5">
        <f>$G129*0.3*0.6</f>
        <v>0</v>
      </c>
      <c r="O129" s="5">
        <f>$G129*0.25*0.6</f>
        <v>0</v>
      </c>
    </row>
    <row r="130" spans="1:22" ht="15.75" customHeight="1">
      <c r="B130" s="29" t="s">
        <v>249</v>
      </c>
      <c r="C130" s="29"/>
      <c r="D130" s="12">
        <f>500000/((54+D1)/3)</f>
        <v>13043.478260869564</v>
      </c>
      <c r="E130" s="29">
        <v>1</v>
      </c>
      <c r="F130" s="56">
        <f>$D$1/2</f>
        <v>30.5</v>
      </c>
      <c r="G130" s="29">
        <f t="shared" si="7"/>
        <v>397826.08695652173</v>
      </c>
      <c r="H130" s="33"/>
      <c r="M130" s="5">
        <f>$G$130/3*0.6</f>
        <v>79565.217391304352</v>
      </c>
      <c r="N130" s="5">
        <f>$G$130/3*0.6</f>
        <v>79565.217391304352</v>
      </c>
      <c r="O130" s="5">
        <f>$G$130/3*0.6</f>
        <v>79565.217391304352</v>
      </c>
    </row>
    <row r="131" spans="1:22">
      <c r="B131" s="29"/>
      <c r="C131" s="29"/>
      <c r="D131" s="29"/>
      <c r="E131" s="29"/>
      <c r="F131" s="56"/>
      <c r="G131" s="29"/>
    </row>
    <row r="132" spans="1:22">
      <c r="B132" s="29"/>
      <c r="C132" s="29"/>
      <c r="E132" s="29" t="s">
        <v>24</v>
      </c>
      <c r="F132" s="56"/>
      <c r="G132" s="29">
        <f>SUM(G119:G131)</f>
        <v>1188808.3685565218</v>
      </c>
      <c r="H132" s="5">
        <f>G132*0.6</f>
        <v>713285.02113391308</v>
      </c>
      <c r="I132" s="29">
        <f>SUM(I116:I125)</f>
        <v>0</v>
      </c>
      <c r="J132" s="29"/>
      <c r="K132" s="29"/>
      <c r="L132" s="29"/>
      <c r="M132" s="29">
        <f>SUM(M116:M131)</f>
        <v>319117.89867130434</v>
      </c>
      <c r="N132" s="29">
        <f>SUM(N116:N131)</f>
        <v>87769.29867130435</v>
      </c>
      <c r="O132" s="29">
        <f>SUM(O116:O131)</f>
        <v>77751.623791304344</v>
      </c>
      <c r="P132" s="29">
        <f>SUM(P116:P131)</f>
        <v>426646.2</v>
      </c>
    </row>
    <row r="133" spans="1:22">
      <c r="B133" s="29"/>
      <c r="C133" s="29"/>
      <c r="D133" s="29"/>
      <c r="E133" s="29"/>
      <c r="F133" s="56"/>
      <c r="G133" s="29"/>
    </row>
    <row r="134" spans="1:22">
      <c r="G134" s="32"/>
    </row>
    <row r="135" spans="1:22">
      <c r="B135" s="29" t="s">
        <v>25</v>
      </c>
      <c r="C135" s="29"/>
      <c r="D135" s="29"/>
      <c r="E135" s="29"/>
      <c r="F135" s="56"/>
      <c r="G135" s="29">
        <f>G111+G132</f>
        <v>10201826.008556522</v>
      </c>
      <c r="H135" s="29">
        <f>H111+H132</f>
        <v>7967742.4611339141</v>
      </c>
      <c r="I135" s="33">
        <f>I132+H111</f>
        <v>7254457.4400000013</v>
      </c>
      <c r="J135" s="33"/>
      <c r="K135" s="33"/>
      <c r="L135" s="33"/>
      <c r="M135" s="34">
        <f>H111+M132</f>
        <v>7573575.3386713061</v>
      </c>
      <c r="N135" s="10">
        <f>M135+N132</f>
        <v>7661344.6373426104</v>
      </c>
      <c r="O135" s="10">
        <f>N135+O132</f>
        <v>7739096.2611339148</v>
      </c>
      <c r="P135" s="10">
        <f>O135+P132</f>
        <v>8165742.461133915</v>
      </c>
    </row>
    <row r="136" spans="1:22">
      <c r="A136" s="5" t="s">
        <v>187</v>
      </c>
      <c r="D136" s="5" t="s">
        <v>26</v>
      </c>
      <c r="G136" s="32"/>
    </row>
    <row r="137" spans="1:22">
      <c r="G137" s="32"/>
    </row>
    <row r="138" spans="1:22">
      <c r="G138" s="32"/>
      <c r="H138" s="36"/>
    </row>
    <row r="139" spans="1:22">
      <c r="G139" s="29"/>
      <c r="H139" s="29"/>
      <c r="R139" s="53"/>
      <c r="S139" s="53"/>
      <c r="V139" s="53"/>
    </row>
    <row r="140" spans="1:22">
      <c r="G140" s="29"/>
      <c r="H140" s="29"/>
      <c r="U140" s="36"/>
    </row>
    <row r="141" spans="1:22">
      <c r="B141" s="5" t="s">
        <v>164</v>
      </c>
      <c r="E141" s="5">
        <v>133</v>
      </c>
      <c r="G141" s="29"/>
      <c r="H141" s="29"/>
    </row>
    <row r="142" spans="1:22">
      <c r="B142" s="29" t="s">
        <v>161</v>
      </c>
      <c r="C142" s="29"/>
      <c r="D142" s="29"/>
      <c r="E142" s="29">
        <v>65</v>
      </c>
      <c r="G142" s="29"/>
      <c r="H142" s="29"/>
      <c r="I142" s="29"/>
      <c r="J142" s="29"/>
      <c r="K142" s="29"/>
    </row>
    <row r="143" spans="1:22">
      <c r="B143" s="29" t="s">
        <v>27</v>
      </c>
      <c r="C143" s="29"/>
      <c r="D143" s="29"/>
      <c r="E143" s="29">
        <v>45</v>
      </c>
      <c r="G143" s="29"/>
      <c r="H143" s="29"/>
      <c r="I143" s="29"/>
      <c r="J143" s="29"/>
      <c r="K143" s="29"/>
      <c r="L143" s="29"/>
    </row>
    <row r="144" spans="1:22">
      <c r="B144" s="29" t="s">
        <v>4</v>
      </c>
      <c r="C144" s="29"/>
      <c r="D144" s="29"/>
      <c r="E144" s="29">
        <v>54</v>
      </c>
      <c r="G144" s="29"/>
      <c r="H144" s="29"/>
      <c r="I144" s="29"/>
      <c r="J144" s="29"/>
      <c r="K144" s="29"/>
      <c r="L144" s="29"/>
    </row>
    <row r="145" spans="1:14">
      <c r="B145" s="29" t="s">
        <v>155</v>
      </c>
      <c r="C145" s="29"/>
      <c r="D145" s="29"/>
      <c r="E145" s="29">
        <v>64</v>
      </c>
      <c r="G145" s="29"/>
      <c r="H145" s="29"/>
      <c r="I145" s="29"/>
      <c r="J145" s="29"/>
      <c r="K145" s="29"/>
      <c r="L145" s="29"/>
      <c r="M145" s="29"/>
    </row>
    <row r="146" spans="1:14">
      <c r="B146" s="29" t="s">
        <v>35</v>
      </c>
      <c r="C146" s="29"/>
      <c r="D146" s="29"/>
      <c r="E146" s="29">
        <v>49</v>
      </c>
      <c r="G146" s="29"/>
      <c r="H146" s="29"/>
      <c r="I146" s="29"/>
      <c r="J146" s="29"/>
      <c r="K146" s="29"/>
      <c r="L146" s="29"/>
      <c r="M146" s="29"/>
    </row>
    <row r="147" spans="1:14">
      <c r="B147" s="29" t="s">
        <v>157</v>
      </c>
      <c r="C147" s="29"/>
      <c r="D147" s="29"/>
      <c r="E147" s="29">
        <v>22.25</v>
      </c>
      <c r="G147" s="29"/>
      <c r="H147" s="29"/>
      <c r="I147" s="29"/>
      <c r="J147" s="29"/>
      <c r="K147" s="29"/>
    </row>
    <row r="148" spans="1:14">
      <c r="A148" s="5" t="s">
        <v>73</v>
      </c>
      <c r="B148" s="29" t="s">
        <v>158</v>
      </c>
      <c r="C148" s="29"/>
      <c r="D148" s="29"/>
      <c r="E148" s="29">
        <v>64</v>
      </c>
      <c r="G148" s="29"/>
      <c r="H148" s="29"/>
      <c r="I148" s="29"/>
      <c r="J148" s="29"/>
      <c r="K148" s="29"/>
    </row>
    <row r="149" spans="1:14">
      <c r="B149" s="29" t="s">
        <v>28</v>
      </c>
      <c r="C149" s="29"/>
      <c r="D149" s="29"/>
      <c r="E149" s="29">
        <v>25</v>
      </c>
      <c r="G149" s="29"/>
      <c r="H149" s="29"/>
      <c r="I149" s="29"/>
      <c r="J149" s="29"/>
      <c r="K149" s="29"/>
      <c r="L149" s="29"/>
      <c r="M149" s="29"/>
      <c r="N149" s="29"/>
    </row>
    <row r="150" spans="1:14">
      <c r="B150" s="29" t="s">
        <v>5</v>
      </c>
      <c r="C150" s="29"/>
      <c r="D150" s="29"/>
      <c r="E150" s="29">
        <v>57</v>
      </c>
    </row>
    <row r="151" spans="1:14">
      <c r="B151" s="29" t="s">
        <v>156</v>
      </c>
      <c r="C151" s="29"/>
      <c r="D151" s="29"/>
      <c r="E151" s="29">
        <v>91</v>
      </c>
    </row>
    <row r="152" spans="1:14">
      <c r="B152" s="29" t="s">
        <v>6</v>
      </c>
      <c r="C152" s="29"/>
      <c r="D152" s="29"/>
      <c r="E152" s="29">
        <v>57</v>
      </c>
    </row>
    <row r="153" spans="1:14">
      <c r="B153" s="29"/>
      <c r="C153" s="29"/>
      <c r="D153" s="29"/>
      <c r="E153" s="29"/>
    </row>
    <row r="154" spans="1:14">
      <c r="B154" s="29"/>
      <c r="C154" s="29"/>
      <c r="D154" s="29"/>
      <c r="E154" s="29"/>
    </row>
    <row r="155" spans="1:14">
      <c r="B155" s="29"/>
      <c r="C155" s="29"/>
      <c r="D155" s="29"/>
      <c r="E155" s="29"/>
    </row>
    <row r="156" spans="1:14">
      <c r="B156" s="29"/>
      <c r="C156" s="29"/>
      <c r="D156" s="29"/>
      <c r="E156" s="29"/>
    </row>
    <row r="157" spans="1:14">
      <c r="B157" s="29"/>
      <c r="C157" s="29"/>
      <c r="D157" s="29"/>
      <c r="E157" s="29"/>
    </row>
    <row r="158" spans="1:14">
      <c r="B158" s="29"/>
      <c r="C158" s="29"/>
      <c r="D158" s="29"/>
      <c r="E158" s="29"/>
    </row>
    <row r="159" spans="1:14">
      <c r="B159" s="29"/>
      <c r="C159" s="29"/>
      <c r="D159" s="29"/>
      <c r="E159" s="29"/>
    </row>
    <row r="160" spans="1:14">
      <c r="B160" s="29"/>
      <c r="C160" s="29"/>
      <c r="D160" s="29"/>
      <c r="E160" s="29"/>
    </row>
    <row r="161" spans="2:14">
      <c r="B161" s="29"/>
      <c r="C161" s="29"/>
      <c r="D161" s="29"/>
      <c r="E161" s="29"/>
      <c r="M161" s="18" t="s">
        <v>227</v>
      </c>
      <c r="N161" s="18" t="s">
        <v>228</v>
      </c>
    </row>
    <row r="162" spans="2:14">
      <c r="B162" s="29"/>
      <c r="C162" s="29"/>
      <c r="D162" s="29"/>
      <c r="E162" s="29"/>
      <c r="L162" s="5" t="s">
        <v>226</v>
      </c>
      <c r="M162" s="5">
        <v>1150000</v>
      </c>
      <c r="N162" s="5">
        <f>M162</f>
        <v>1150000</v>
      </c>
    </row>
    <row r="163" spans="2:14">
      <c r="B163" s="29"/>
      <c r="C163" s="29"/>
      <c r="D163" s="29"/>
      <c r="E163" s="29"/>
      <c r="L163" s="5" t="s">
        <v>229</v>
      </c>
      <c r="M163" s="5">
        <v>600000</v>
      </c>
      <c r="N163" s="5">
        <f>M163</f>
        <v>600000</v>
      </c>
    </row>
    <row r="164" spans="2:14">
      <c r="B164" s="29"/>
      <c r="C164" s="29"/>
      <c r="D164" s="29"/>
      <c r="E164" s="29"/>
      <c r="L164" s="5" t="s">
        <v>230</v>
      </c>
      <c r="M164" s="5">
        <v>500000</v>
      </c>
      <c r="N164" s="5">
        <f>M164</f>
        <v>500000</v>
      </c>
    </row>
    <row r="165" spans="2:14">
      <c r="L165" s="5" t="s">
        <v>231</v>
      </c>
      <c r="M165" s="5">
        <v>700000</v>
      </c>
      <c r="N165" s="5">
        <f>M165</f>
        <v>700000</v>
      </c>
    </row>
    <row r="166" spans="2:14">
      <c r="L166" s="5" t="s">
        <v>232</v>
      </c>
      <c r="M166" s="5">
        <f>M154*N154</f>
        <v>0</v>
      </c>
      <c r="N166" s="5">
        <f>M158*N158</f>
        <v>0</v>
      </c>
    </row>
    <row r="167" spans="2:14" ht="15.6">
      <c r="D167" s="54"/>
      <c r="E167" s="31"/>
      <c r="F167" s="59"/>
      <c r="G167" s="31"/>
      <c r="L167" s="5" t="s">
        <v>235</v>
      </c>
      <c r="M167" s="5">
        <f>M166*0.15</f>
        <v>0</v>
      </c>
      <c r="N167" s="5">
        <f>N166*0.15</f>
        <v>0</v>
      </c>
    </row>
    <row r="168" spans="2:14">
      <c r="E168" s="32"/>
      <c r="F168" s="60"/>
      <c r="G168" s="32"/>
    </row>
    <row r="169" spans="2:14">
      <c r="L169" s="5" t="s">
        <v>49</v>
      </c>
      <c r="M169" s="5">
        <f>SUM(M162:M167)</f>
        <v>2950000</v>
      </c>
      <c r="N169" s="5">
        <f>SUM(N162:N167)</f>
        <v>2950000</v>
      </c>
    </row>
    <row r="170" spans="2:14">
      <c r="E170" s="32"/>
      <c r="L170" s="5" t="s">
        <v>233</v>
      </c>
      <c r="M170" s="5">
        <f>M169/134</f>
        <v>22014.925373134327</v>
      </c>
      <c r="N170" s="5">
        <f>N169/134</f>
        <v>22014.925373134327</v>
      </c>
    </row>
    <row r="171" spans="2:14">
      <c r="F171" s="60"/>
      <c r="G171" s="32"/>
    </row>
    <row r="172" spans="2:14">
      <c r="E172" s="32"/>
      <c r="F172" s="60"/>
      <c r="G172" s="32"/>
      <c r="L172" s="5" t="s">
        <v>234</v>
      </c>
      <c r="M172" s="5">
        <f>M169*0.8</f>
        <v>2360000</v>
      </c>
      <c r="N172" s="5">
        <f>N169*0.8</f>
        <v>2360000</v>
      </c>
    </row>
    <row r="173" spans="2:14">
      <c r="E173" s="32"/>
      <c r="F173" s="60"/>
      <c r="G173" s="32"/>
    </row>
    <row r="174" spans="2:14">
      <c r="L174" s="5" t="s">
        <v>236</v>
      </c>
      <c r="M174" s="5">
        <v>1000000</v>
      </c>
      <c r="N174" s="5">
        <f>M174</f>
        <v>1000000</v>
      </c>
    </row>
    <row r="175" spans="2:14">
      <c r="L175" s="5" t="s">
        <v>237</v>
      </c>
      <c r="M175" s="5">
        <f>M174/0.1</f>
        <v>10000000</v>
      </c>
      <c r="N175" s="5">
        <f>M175</f>
        <v>10000000</v>
      </c>
    </row>
    <row r="176" spans="2:14">
      <c r="L176" s="5" t="s">
        <v>238</v>
      </c>
      <c r="M176" s="5">
        <f>M175*0.8</f>
        <v>8000000</v>
      </c>
      <c r="N176" s="5">
        <f>M176</f>
        <v>8000000</v>
      </c>
    </row>
    <row r="177" spans="2:14">
      <c r="D177" s="33"/>
      <c r="E177" s="33"/>
      <c r="F177" s="61"/>
      <c r="G177" s="33"/>
    </row>
    <row r="178" spans="2:14">
      <c r="L178" s="5" t="s">
        <v>239</v>
      </c>
      <c r="M178" s="5">
        <f>(PMT(0.075/12,360,M176))*12</f>
        <v>-671245.92821066652</v>
      </c>
      <c r="N178" s="5">
        <f>(PMT(0.075/12,360,N176))*12</f>
        <v>-671245.92821066652</v>
      </c>
    </row>
    <row r="179" spans="2:14">
      <c r="D179" s="34"/>
      <c r="E179" s="34"/>
      <c r="F179" s="62"/>
      <c r="G179" s="34"/>
      <c r="L179" s="5" t="s">
        <v>240</v>
      </c>
      <c r="M179" s="5">
        <f>M174+M178</f>
        <v>328754.07178933348</v>
      </c>
      <c r="N179" s="5">
        <f>N174+N178</f>
        <v>328754.07178933348</v>
      </c>
    </row>
    <row r="181" spans="2:14">
      <c r="L181" s="5" t="s">
        <v>241</v>
      </c>
      <c r="M181" s="5">
        <f>M172-M176</f>
        <v>-5640000</v>
      </c>
      <c r="N181" s="5">
        <f>N172-N176</f>
        <v>-5640000</v>
      </c>
    </row>
    <row r="183" spans="2:14" ht="15.6">
      <c r="B183" s="55" t="s">
        <v>44</v>
      </c>
      <c r="C183" s="55"/>
      <c r="D183" s="5" t="s">
        <v>177</v>
      </c>
      <c r="E183" s="18" t="s">
        <v>178</v>
      </c>
      <c r="H183" s="33"/>
    </row>
    <row r="184" spans="2:14">
      <c r="B184" s="5" t="s">
        <v>29</v>
      </c>
      <c r="D184" s="5">
        <v>300</v>
      </c>
      <c r="E184" s="18">
        <v>300</v>
      </c>
      <c r="H184" s="33"/>
    </row>
    <row r="185" spans="2:14">
      <c r="B185" s="5" t="s">
        <v>45</v>
      </c>
      <c r="D185" s="5">
        <v>300</v>
      </c>
      <c r="E185" s="18">
        <v>300</v>
      </c>
      <c r="H185" s="33"/>
    </row>
    <row r="186" spans="2:14">
      <c r="B186" s="5" t="s">
        <v>160</v>
      </c>
      <c r="D186" s="5">
        <v>1500</v>
      </c>
      <c r="E186" s="18">
        <v>2000</v>
      </c>
      <c r="H186" s="33"/>
    </row>
    <row r="187" spans="2:14">
      <c r="B187" s="5" t="s">
        <v>343</v>
      </c>
      <c r="D187" s="5">
        <v>2000</v>
      </c>
      <c r="E187" s="18">
        <v>2500</v>
      </c>
      <c r="H187" s="33"/>
    </row>
    <row r="188" spans="2:14">
      <c r="B188" s="5" t="s">
        <v>344</v>
      </c>
      <c r="D188" s="5">
        <v>500</v>
      </c>
      <c r="E188" s="18">
        <v>2500</v>
      </c>
      <c r="H188" s="33"/>
    </row>
    <row r="189" spans="2:14">
      <c r="B189" s="5" t="s">
        <v>43</v>
      </c>
      <c r="D189" s="5">
        <f>SUM(D184:D188)</f>
        <v>4600</v>
      </c>
      <c r="E189" s="5">
        <f>SUM(E184:E188)</f>
        <v>7600</v>
      </c>
      <c r="H189" s="33"/>
    </row>
    <row r="190" spans="2:14">
      <c r="H190" s="33"/>
    </row>
    <row r="191" spans="2:14">
      <c r="H191" s="33"/>
    </row>
    <row r="192" spans="2:14">
      <c r="H192" s="33"/>
    </row>
    <row r="193" spans="8:18">
      <c r="H193" s="33"/>
    </row>
    <row r="194" spans="8:18">
      <c r="H194" s="33"/>
    </row>
    <row r="195" spans="8:18" ht="19.2">
      <c r="H195" s="33"/>
      <c r="O195" s="54"/>
      <c r="P195" s="18"/>
      <c r="R195" s="6"/>
    </row>
    <row r="196" spans="8:18">
      <c r="H196" s="33"/>
    </row>
    <row r="205" spans="8:18">
      <c r="O205" s="53"/>
    </row>
  </sheetData>
  <mergeCells count="1">
    <mergeCell ref="Y11:Z11"/>
  </mergeCells>
  <phoneticPr fontId="0" type="noConversion"/>
  <pageMargins left="0.5" right="0.5" top="0.5" bottom="0.5" header="0.5" footer="0.5"/>
  <pageSetup orientation="portrait" horizontalDpi="200" verticalDpi="200" r:id="rId1"/>
  <headerFooter alignWithMargins="0"/>
  <rowBreaks count="1" manualBreakCount="1">
    <brk id="101" max="16383" man="1"/>
  </rowBreaks>
  <colBreaks count="2" manualBreakCount="2">
    <brk id="12" max="1048575" man="1"/>
    <brk id="2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4" sqref="D4"/>
    </sheetView>
  </sheetViews>
  <sheetFormatPr defaultRowHeight="15"/>
  <cols>
    <col min="1" max="1" width="13.453125" customWidth="1"/>
    <col min="2" max="3" width="13.453125" style="18" customWidth="1"/>
    <col min="4" max="4" width="11" style="18" bestFit="1" customWidth="1"/>
    <col min="5" max="5" width="9" bestFit="1" customWidth="1"/>
    <col min="6" max="6" width="10.54296875" customWidth="1"/>
  </cols>
  <sheetData>
    <row r="1" spans="1:12" ht="16.8">
      <c r="B1" s="20" t="s">
        <v>184</v>
      </c>
      <c r="C1" s="20" t="s">
        <v>181</v>
      </c>
      <c r="D1" s="19" t="s">
        <v>185</v>
      </c>
      <c r="E1" s="4"/>
    </row>
    <row r="2" spans="1:12">
      <c r="A2" t="s">
        <v>52</v>
      </c>
      <c r="B2" s="18">
        <f>57*53</f>
        <v>3021</v>
      </c>
      <c r="C2" s="21">
        <v>7</v>
      </c>
      <c r="D2" s="18">
        <f>B2*C2</f>
        <v>21147</v>
      </c>
    </row>
    <row r="3" spans="1:12">
      <c r="A3" t="s">
        <v>255</v>
      </c>
      <c r="B3" s="18">
        <v>2500</v>
      </c>
      <c r="C3" s="21">
        <v>7.5</v>
      </c>
      <c r="D3" s="18">
        <f>B3*C3</f>
        <v>18750</v>
      </c>
      <c r="L3">
        <f>PV(0.08/12,240,75)</f>
        <v>-8966.5718776781723</v>
      </c>
    </row>
    <row r="4" spans="1:12">
      <c r="A4" t="s">
        <v>256</v>
      </c>
      <c r="B4" s="18">
        <v>5000</v>
      </c>
      <c r="C4" s="21">
        <v>6</v>
      </c>
      <c r="D4" s="18">
        <f>B4*C4</f>
        <v>30000</v>
      </c>
    </row>
    <row r="5" spans="1:12">
      <c r="A5" t="s">
        <v>253</v>
      </c>
      <c r="B5" s="18">
        <f>55*20*2+41*24*2</f>
        <v>4168</v>
      </c>
      <c r="C5" s="21">
        <v>3</v>
      </c>
      <c r="D5" s="5">
        <f>B5*C5</f>
        <v>12504</v>
      </c>
    </row>
    <row r="6" spans="1:12">
      <c r="A6" t="s">
        <v>254</v>
      </c>
      <c r="B6" s="18">
        <f>55*24*2</f>
        <v>2640</v>
      </c>
      <c r="C6" s="21">
        <v>3.5</v>
      </c>
      <c r="D6" s="5">
        <f>B6*C6</f>
        <v>9240</v>
      </c>
    </row>
    <row r="7" spans="1:12">
      <c r="A7" t="s">
        <v>258</v>
      </c>
      <c r="D7" s="5">
        <v>1500</v>
      </c>
    </row>
    <row r="8" spans="1:12">
      <c r="A8" t="s">
        <v>53</v>
      </c>
      <c r="B8" s="18">
        <v>30</v>
      </c>
      <c r="C8" s="18">
        <v>150</v>
      </c>
      <c r="D8" s="18">
        <f>B8*C8</f>
        <v>4500</v>
      </c>
    </row>
    <row r="9" spans="1:12">
      <c r="A9" t="s">
        <v>54</v>
      </c>
      <c r="B9">
        <f>(55*52*1.5)/100</f>
        <v>42.9</v>
      </c>
      <c r="C9" s="18">
        <v>125</v>
      </c>
      <c r="D9" s="18">
        <f>B9*C9</f>
        <v>5362.5</v>
      </c>
      <c r="I9" t="s">
        <v>199</v>
      </c>
      <c r="J9">
        <f>50*20*2</f>
        <v>2000</v>
      </c>
    </row>
    <row r="10" spans="1:12">
      <c r="A10" t="s">
        <v>55</v>
      </c>
      <c r="B10" s="18">
        <f>56*20*2+41*20*2+41*10*2</f>
        <v>4700</v>
      </c>
      <c r="C10" s="18">
        <v>5</v>
      </c>
      <c r="D10" s="18">
        <f>B10*C10</f>
        <v>23500</v>
      </c>
      <c r="I10" t="s">
        <v>200</v>
      </c>
      <c r="J10">
        <f>50*20*2</f>
        <v>2000</v>
      </c>
    </row>
    <row r="11" spans="1:12">
      <c r="A11" t="s">
        <v>56</v>
      </c>
      <c r="D11" s="18">
        <v>10000</v>
      </c>
      <c r="I11" t="s">
        <v>201</v>
      </c>
      <c r="J11">
        <f>22*20*4</f>
        <v>1760</v>
      </c>
    </row>
    <row r="12" spans="1:12">
      <c r="A12" t="s">
        <v>257</v>
      </c>
      <c r="D12" s="18">
        <v>1000</v>
      </c>
    </row>
    <row r="13" spans="1:12">
      <c r="A13" t="s">
        <v>57</v>
      </c>
      <c r="D13" s="18">
        <v>10000</v>
      </c>
    </row>
    <row r="14" spans="1:12">
      <c r="A14" t="s">
        <v>58</v>
      </c>
      <c r="D14" s="18">
        <v>7500</v>
      </c>
      <c r="I14" t="s">
        <v>202</v>
      </c>
      <c r="J14">
        <f>16*8*2</f>
        <v>256</v>
      </c>
    </row>
    <row r="15" spans="1:12">
      <c r="A15" t="s">
        <v>59</v>
      </c>
      <c r="B15" s="18">
        <v>4200</v>
      </c>
      <c r="C15" s="21">
        <f>(3.5+7)/2</f>
        <v>5.25</v>
      </c>
      <c r="D15" s="18">
        <f>B15*C15</f>
        <v>22050</v>
      </c>
      <c r="I15" t="s">
        <v>203</v>
      </c>
      <c r="J15">
        <f>2.5*7*8</f>
        <v>140</v>
      </c>
    </row>
    <row r="16" spans="1:12">
      <c r="A16" t="s">
        <v>71</v>
      </c>
      <c r="D16" s="18">
        <v>10000</v>
      </c>
      <c r="I16" t="s">
        <v>204</v>
      </c>
      <c r="J16">
        <f>15*20</f>
        <v>300</v>
      </c>
    </row>
    <row r="17" spans="1:10">
      <c r="A17" t="s">
        <v>72</v>
      </c>
      <c r="B17" s="18">
        <v>40</v>
      </c>
      <c r="C17" s="18">
        <v>75</v>
      </c>
      <c r="D17" s="18">
        <v>5000</v>
      </c>
    </row>
    <row r="18" spans="1:10">
      <c r="A18" t="s">
        <v>262</v>
      </c>
      <c r="D18" s="5">
        <v>3000</v>
      </c>
    </row>
    <row r="19" spans="1:10">
      <c r="A19" t="s">
        <v>263</v>
      </c>
      <c r="D19" s="5">
        <v>2000</v>
      </c>
    </row>
    <row r="20" spans="1:10">
      <c r="A20" t="s">
        <v>264</v>
      </c>
      <c r="D20" s="5">
        <v>1300</v>
      </c>
    </row>
    <row r="21" spans="1:10">
      <c r="A21" t="s">
        <v>265</v>
      </c>
      <c r="D21" s="5">
        <v>2500</v>
      </c>
    </row>
    <row r="22" spans="1:10">
      <c r="A22" t="s">
        <v>266</v>
      </c>
      <c r="D22" s="5">
        <v>1500</v>
      </c>
    </row>
    <row r="23" spans="1:10">
      <c r="A23" t="s">
        <v>267</v>
      </c>
      <c r="D23" s="5">
        <v>500</v>
      </c>
    </row>
    <row r="24" spans="1:10">
      <c r="A24" t="s">
        <v>269</v>
      </c>
      <c r="D24" s="18">
        <v>750</v>
      </c>
    </row>
    <row r="25" spans="1:10">
      <c r="A25" t="s">
        <v>60</v>
      </c>
      <c r="D25" s="18">
        <v>7500</v>
      </c>
      <c r="J25">
        <f>SUM(J9:J11)-SUM(J14:J16)</f>
        <v>5064</v>
      </c>
    </row>
    <row r="26" spans="1:10">
      <c r="A26" t="s">
        <v>61</v>
      </c>
      <c r="D26" s="18">
        <v>3500</v>
      </c>
    </row>
    <row r="27" spans="1:10">
      <c r="A27" t="s">
        <v>62</v>
      </c>
      <c r="B27" s="18">
        <v>4800</v>
      </c>
      <c r="C27" s="18">
        <v>2</v>
      </c>
      <c r="D27" s="18">
        <f>B27*C27</f>
        <v>9600</v>
      </c>
    </row>
    <row r="28" spans="1:10">
      <c r="A28" t="s">
        <v>270</v>
      </c>
      <c r="B28" s="18">
        <v>20</v>
      </c>
      <c r="C28" s="18">
        <v>15</v>
      </c>
      <c r="D28" s="5">
        <f>B28*C28</f>
        <v>300</v>
      </c>
    </row>
    <row r="29" spans="1:10">
      <c r="A29" t="s">
        <v>182</v>
      </c>
      <c r="B29" s="18">
        <v>20</v>
      </c>
      <c r="C29" s="18">
        <v>100</v>
      </c>
      <c r="D29" s="18">
        <f>B29*C29</f>
        <v>2000</v>
      </c>
    </row>
    <row r="30" spans="1:10">
      <c r="A30" t="s">
        <v>350</v>
      </c>
      <c r="B30" s="18">
        <v>1</v>
      </c>
      <c r="C30" s="18">
        <v>2400</v>
      </c>
      <c r="D30" s="18">
        <f>B30*C30</f>
        <v>2400</v>
      </c>
    </row>
    <row r="31" spans="1:10">
      <c r="A31" t="s">
        <v>183</v>
      </c>
      <c r="B31" s="18">
        <v>3</v>
      </c>
      <c r="C31" s="18">
        <v>500</v>
      </c>
      <c r="D31" s="18">
        <f>B31*C31</f>
        <v>1500</v>
      </c>
    </row>
    <row r="32" spans="1:10">
      <c r="A32" t="s">
        <v>63</v>
      </c>
      <c r="D32" s="18">
        <v>7500</v>
      </c>
    </row>
    <row r="33" spans="1:4">
      <c r="A33" t="s">
        <v>172</v>
      </c>
      <c r="D33" s="18">
        <v>2500</v>
      </c>
    </row>
    <row r="34" spans="1:4">
      <c r="A34" t="s">
        <v>173</v>
      </c>
      <c r="D34" s="18">
        <v>5000</v>
      </c>
    </row>
    <row r="35" spans="1:4">
      <c r="A35" t="s">
        <v>64</v>
      </c>
      <c r="D35" s="18">
        <v>1500</v>
      </c>
    </row>
    <row r="36" spans="1:4">
      <c r="A36" t="s">
        <v>171</v>
      </c>
      <c r="D36" s="18">
        <v>20000</v>
      </c>
    </row>
    <row r="37" spans="1:4">
      <c r="A37" t="s">
        <v>65</v>
      </c>
      <c r="D37" s="18">
        <v>10000</v>
      </c>
    </row>
    <row r="38" spans="1:4">
      <c r="A38" t="s">
        <v>66</v>
      </c>
      <c r="D38" s="18">
        <v>1500</v>
      </c>
    </row>
    <row r="39" spans="1:4">
      <c r="A39" t="s">
        <v>67</v>
      </c>
      <c r="D39" s="18">
        <v>7500</v>
      </c>
    </row>
    <row r="40" spans="1:4">
      <c r="A40" t="s">
        <v>68</v>
      </c>
      <c r="D40" s="18">
        <v>3000</v>
      </c>
    </row>
    <row r="41" spans="1:4">
      <c r="A41" t="s">
        <v>243</v>
      </c>
      <c r="D41" s="18">
        <v>1000</v>
      </c>
    </row>
    <row r="42" spans="1:4">
      <c r="A42" t="s">
        <v>244</v>
      </c>
      <c r="D42" s="18">
        <v>7500</v>
      </c>
    </row>
    <row r="43" spans="1:4">
      <c r="A43" t="s">
        <v>259</v>
      </c>
      <c r="D43" s="18">
        <v>2500</v>
      </c>
    </row>
    <row r="44" spans="1:4">
      <c r="A44" t="s">
        <v>260</v>
      </c>
      <c r="D44" s="18">
        <v>1000</v>
      </c>
    </row>
    <row r="45" spans="1:4">
      <c r="A45" t="s">
        <v>268</v>
      </c>
      <c r="D45" s="18">
        <v>500</v>
      </c>
    </row>
    <row r="46" spans="1:4">
      <c r="A46" t="s">
        <v>351</v>
      </c>
      <c r="D46" s="18">
        <v>3500</v>
      </c>
    </row>
    <row r="47" spans="1:4">
      <c r="A47" t="s">
        <v>352</v>
      </c>
      <c r="D47" s="18">
        <v>2500</v>
      </c>
    </row>
    <row r="48" spans="1:4">
      <c r="A48" t="s">
        <v>353</v>
      </c>
      <c r="D48" s="18">
        <v>7500</v>
      </c>
    </row>
    <row r="50" spans="1:7">
      <c r="A50" t="s">
        <v>261</v>
      </c>
      <c r="D50" s="18">
        <f>SUM(D2:D49)</f>
        <v>314903.5</v>
      </c>
      <c r="E50" s="18"/>
      <c r="F50" s="18"/>
      <c r="G50" s="18"/>
    </row>
    <row r="51" spans="1:7">
      <c r="E51" s="18"/>
      <c r="F51" s="18"/>
      <c r="G51" s="18"/>
    </row>
    <row r="52" spans="1:7">
      <c r="A52" t="s">
        <v>176</v>
      </c>
      <c r="D52" s="18">
        <f>D50*0.12</f>
        <v>37788.42</v>
      </c>
      <c r="E52" s="18"/>
      <c r="F52" s="18"/>
    </row>
    <row r="53" spans="1:7">
      <c r="E53" s="18"/>
      <c r="F53" s="18"/>
    </row>
    <row r="54" spans="1:7">
      <c r="E54" s="18"/>
      <c r="F54" s="18"/>
    </row>
    <row r="55" spans="1:7">
      <c r="F55" s="18"/>
    </row>
    <row r="56" spans="1:7">
      <c r="A56" t="s">
        <v>175</v>
      </c>
      <c r="D56" s="18">
        <v>4000</v>
      </c>
    </row>
    <row r="57" spans="1:7">
      <c r="E57" s="18"/>
    </row>
    <row r="58" spans="1:7">
      <c r="A58" t="s">
        <v>43</v>
      </c>
      <c r="D58" s="18">
        <f>SUM(D50:D57)</f>
        <v>356691.92</v>
      </c>
      <c r="E58" s="18"/>
      <c r="F58" s="18"/>
    </row>
    <row r="60" spans="1:7">
      <c r="A60" t="s">
        <v>186</v>
      </c>
      <c r="D60" s="18">
        <f>D58/4200</f>
        <v>84.926647619047614</v>
      </c>
      <c r="E60" s="21"/>
    </row>
    <row r="63" spans="1:7">
      <c r="A63" t="s">
        <v>279</v>
      </c>
      <c r="D63" s="18">
        <v>35000</v>
      </c>
    </row>
    <row r="64" spans="1:7">
      <c r="A64" t="s">
        <v>280</v>
      </c>
      <c r="D64" s="18">
        <v>43000</v>
      </c>
    </row>
    <row r="66" spans="1:4">
      <c r="A66" t="s">
        <v>23</v>
      </c>
      <c r="D66" s="18">
        <f>SUM(D63:D64)+D58</f>
        <v>434691.92</v>
      </c>
    </row>
    <row r="68" spans="1:4">
      <c r="A68" t="s">
        <v>281</v>
      </c>
      <c r="D68" s="18">
        <f>D66/4200</f>
        <v>103.49807619047618</v>
      </c>
    </row>
  </sheetData>
  <phoneticPr fontId="0" type="noConversion"/>
  <pageMargins left="0.75" right="0.75" top="1" bottom="1" header="0.5" footer="0.5"/>
  <pageSetup orientation="portrait" horizontalDpi="4294967292" verticalDpi="196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"/>
  <sheetViews>
    <sheetView workbookViewId="0">
      <selection activeCell="B4" sqref="B4"/>
    </sheetView>
  </sheetViews>
  <sheetFormatPr defaultRowHeight="15"/>
  <cols>
    <col min="1" max="1" width="18.81640625" customWidth="1"/>
  </cols>
  <sheetData>
    <row r="1" spans="1:2">
      <c r="B1" t="s">
        <v>168</v>
      </c>
    </row>
    <row r="2" spans="1:2">
      <c r="A2" t="s">
        <v>114</v>
      </c>
      <c r="B2">
        <f>+(400000*0.8*0.025)/12</f>
        <v>666.66666666666663</v>
      </c>
    </row>
    <row r="4" spans="1:2">
      <c r="A4" t="s">
        <v>115</v>
      </c>
      <c r="B4">
        <v>100</v>
      </c>
    </row>
    <row r="5" spans="1:2">
      <c r="A5" t="s">
        <v>116</v>
      </c>
      <c r="B5">
        <v>75</v>
      </c>
    </row>
    <row r="6" spans="1:2">
      <c r="A6" t="s">
        <v>154</v>
      </c>
      <c r="B6">
        <v>50</v>
      </c>
    </row>
    <row r="7" spans="1:2">
      <c r="A7" t="s">
        <v>117</v>
      </c>
      <c r="B7">
        <v>50</v>
      </c>
    </row>
    <row r="8" spans="1:2">
      <c r="A8" t="s">
        <v>119</v>
      </c>
      <c r="B8">
        <v>40</v>
      </c>
    </row>
    <row r="9" spans="1:2">
      <c r="A9" t="s">
        <v>120</v>
      </c>
      <c r="B9">
        <v>50</v>
      </c>
    </row>
    <row r="10" spans="1:2">
      <c r="A10" t="s">
        <v>121</v>
      </c>
      <c r="B10">
        <v>100</v>
      </c>
    </row>
    <row r="11" spans="1:2">
      <c r="A11" t="s">
        <v>118</v>
      </c>
      <c r="B11">
        <v>125</v>
      </c>
    </row>
    <row r="12" spans="1:2">
      <c r="A12" t="s">
        <v>122</v>
      </c>
      <c r="B12">
        <v>50</v>
      </c>
    </row>
    <row r="13" spans="1:2">
      <c r="A13" t="s">
        <v>123</v>
      </c>
      <c r="B13">
        <v>750</v>
      </c>
    </row>
    <row r="14" spans="1:2">
      <c r="A14" t="s">
        <v>124</v>
      </c>
      <c r="B14">
        <v>250</v>
      </c>
    </row>
    <row r="15" spans="1:2">
      <c r="A15" t="s">
        <v>125</v>
      </c>
      <c r="B15">
        <v>300</v>
      </c>
    </row>
    <row r="16" spans="1:2">
      <c r="A16" t="s">
        <v>126</v>
      </c>
      <c r="B16">
        <v>300</v>
      </c>
    </row>
    <row r="17" spans="1:2">
      <c r="A17" t="s">
        <v>127</v>
      </c>
      <c r="B17">
        <v>400</v>
      </c>
    </row>
    <row r="18" spans="1:2">
      <c r="A18" t="s">
        <v>128</v>
      </c>
      <c r="B18">
        <v>400</v>
      </c>
    </row>
    <row r="19" spans="1:2">
      <c r="A19" t="s">
        <v>129</v>
      </c>
      <c r="B19">
        <v>250</v>
      </c>
    </row>
    <row r="20" spans="1:2">
      <c r="A20" t="s">
        <v>130</v>
      </c>
      <c r="B20">
        <v>250</v>
      </c>
    </row>
    <row r="21" spans="1:2">
      <c r="A21" t="s">
        <v>143</v>
      </c>
      <c r="B21">
        <v>1000</v>
      </c>
    </row>
    <row r="22" spans="1:2">
      <c r="A22" t="s">
        <v>144</v>
      </c>
      <c r="B22">
        <v>300</v>
      </c>
    </row>
    <row r="23" spans="1:2">
      <c r="A23" t="s">
        <v>77</v>
      </c>
      <c r="B23">
        <v>200</v>
      </c>
    </row>
    <row r="24" spans="1:2">
      <c r="A24" t="s">
        <v>145</v>
      </c>
      <c r="B24">
        <v>200</v>
      </c>
    </row>
    <row r="25" spans="1:2">
      <c r="A25" t="s">
        <v>146</v>
      </c>
      <c r="B25">
        <v>1250</v>
      </c>
    </row>
    <row r="27" spans="1:2">
      <c r="A27" t="s">
        <v>131</v>
      </c>
      <c r="B27">
        <f>SUM(B2:B26)</f>
        <v>7156.6666666666661</v>
      </c>
    </row>
    <row r="28" spans="1:2">
      <c r="B28" s="13"/>
    </row>
    <row r="29" spans="1:2">
      <c r="A29" t="s">
        <v>132</v>
      </c>
      <c r="B29">
        <f>B27*12</f>
        <v>85880</v>
      </c>
    </row>
    <row r="38" spans="2:3">
      <c r="B38" s="14"/>
      <c r="C38" s="14"/>
    </row>
    <row r="39" spans="2:3">
      <c r="B39" s="14"/>
      <c r="C39" s="14"/>
    </row>
    <row r="40" spans="2:3">
      <c r="B40" s="14"/>
      <c r="C40" s="14"/>
    </row>
    <row r="41" spans="2:3">
      <c r="B41" s="14"/>
      <c r="C41" s="14"/>
    </row>
    <row r="42" spans="2:3">
      <c r="B42" s="14"/>
      <c r="C42" s="14"/>
    </row>
    <row r="43" spans="2:3">
      <c r="B43" s="14"/>
      <c r="C43" s="14"/>
    </row>
    <row r="44" spans="2:3">
      <c r="B44" s="14"/>
      <c r="C44" s="14"/>
    </row>
    <row r="45" spans="2:3">
      <c r="B45" s="14"/>
      <c r="C45" s="14"/>
    </row>
    <row r="46" spans="2:3">
      <c r="B46" s="14"/>
      <c r="C46" s="14"/>
    </row>
    <row r="47" spans="2:3">
      <c r="B47" s="14"/>
      <c r="C47" s="14"/>
    </row>
    <row r="48" spans="2:3">
      <c r="B48" s="14"/>
      <c r="C48" s="14"/>
    </row>
    <row r="49" spans="1:3">
      <c r="B49" s="14"/>
      <c r="C49" s="14"/>
    </row>
    <row r="50" spans="1:3">
      <c r="B50" s="14"/>
      <c r="C50" s="14"/>
    </row>
    <row r="51" spans="1:3">
      <c r="B51" s="14"/>
      <c r="C51" s="14"/>
    </row>
    <row r="52" spans="1:3">
      <c r="B52" s="14"/>
      <c r="C52" s="14"/>
    </row>
    <row r="53" spans="1:3">
      <c r="B53" s="14"/>
      <c r="C53" s="14"/>
    </row>
    <row r="54" spans="1:3">
      <c r="B54" s="14"/>
      <c r="C54" s="14"/>
    </row>
    <row r="55" spans="1:3">
      <c r="B55" s="14"/>
      <c r="C55" s="14"/>
    </row>
    <row r="56" spans="1:3">
      <c r="B56" s="14"/>
      <c r="C56" s="14"/>
    </row>
    <row r="57" spans="1:3">
      <c r="B57" s="14"/>
      <c r="C57" s="14"/>
    </row>
    <row r="58" spans="1:3">
      <c r="B58" s="14"/>
      <c r="C58" s="14"/>
    </row>
    <row r="59" spans="1:3">
      <c r="B59" s="14"/>
      <c r="C59" s="14"/>
    </row>
    <row r="60" spans="1:3">
      <c r="A60" s="14"/>
      <c r="B60" s="14"/>
      <c r="C60" s="14"/>
    </row>
    <row r="61" spans="1:3">
      <c r="B61" s="14"/>
      <c r="C61" s="14"/>
    </row>
    <row r="62" spans="1:3">
      <c r="B62" s="14"/>
      <c r="C62" s="14"/>
    </row>
    <row r="63" spans="1:3">
      <c r="B63" s="14"/>
      <c r="C63" s="14"/>
    </row>
    <row r="64" spans="1:3">
      <c r="B64" s="14"/>
      <c r="C64" s="14"/>
    </row>
    <row r="65" spans="1:3">
      <c r="B65" s="14"/>
      <c r="C65" s="14"/>
    </row>
    <row r="66" spans="1:3">
      <c r="B66" s="14"/>
      <c r="C66" s="14"/>
    </row>
    <row r="67" spans="1:3">
      <c r="B67" s="14"/>
      <c r="C67" s="14"/>
    </row>
    <row r="68" spans="1:3">
      <c r="B68" s="14"/>
      <c r="C68" s="14"/>
    </row>
    <row r="69" spans="1:3">
      <c r="B69" s="14"/>
      <c r="C69" s="14"/>
    </row>
    <row r="70" spans="1:3">
      <c r="B70" s="14"/>
      <c r="C70" s="14"/>
    </row>
    <row r="71" spans="1:3">
      <c r="B71" s="14"/>
      <c r="C71" s="14"/>
    </row>
    <row r="72" spans="1:3">
      <c r="A72" t="s">
        <v>133</v>
      </c>
      <c r="B72" s="14"/>
      <c r="C72" s="14"/>
    </row>
    <row r="73" spans="1:3">
      <c r="A73" t="s">
        <v>46</v>
      </c>
    </row>
    <row r="74" spans="1:3">
      <c r="A74" t="s">
        <v>50</v>
      </c>
    </row>
    <row r="80" spans="1:3">
      <c r="A80" t="s">
        <v>134</v>
      </c>
    </row>
    <row r="81" spans="1:3">
      <c r="B81" t="s">
        <v>242</v>
      </c>
    </row>
    <row r="82" spans="1:3">
      <c r="A82" t="s">
        <v>135</v>
      </c>
      <c r="B82">
        <v>110</v>
      </c>
    </row>
    <row r="83" spans="1:3">
      <c r="A83" t="s">
        <v>136</v>
      </c>
      <c r="B83">
        <v>65</v>
      </c>
    </row>
    <row r="84" spans="1:3">
      <c r="A84" s="1" t="s">
        <v>137</v>
      </c>
      <c r="B84">
        <v>150</v>
      </c>
    </row>
    <row r="85" spans="1:3">
      <c r="A85" t="s">
        <v>138</v>
      </c>
      <c r="B85">
        <v>85</v>
      </c>
    </row>
    <row r="86" spans="1:3">
      <c r="A86" t="s">
        <v>139</v>
      </c>
      <c r="B86">
        <v>65</v>
      </c>
    </row>
    <row r="87" spans="1:3">
      <c r="A87" t="s">
        <v>140</v>
      </c>
      <c r="B87" s="4">
        <v>110</v>
      </c>
      <c r="C87" s="4"/>
    </row>
    <row r="88" spans="1:3">
      <c r="A88" t="s">
        <v>141</v>
      </c>
      <c r="B88">
        <f>SUM(B82:B87)</f>
        <v>585</v>
      </c>
    </row>
    <row r="92" spans="1:3">
      <c r="A92" t="s">
        <v>142</v>
      </c>
      <c r="B92">
        <v>6000</v>
      </c>
      <c r="C92">
        <v>1500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5" workbookViewId="0">
      <selection activeCell="C32" sqref="C32"/>
    </sheetView>
  </sheetViews>
  <sheetFormatPr defaultRowHeight="15"/>
  <cols>
    <col min="2" max="2" width="11.08984375" customWidth="1"/>
  </cols>
  <sheetData>
    <row r="1" spans="1:6">
      <c r="B1" t="s">
        <v>193</v>
      </c>
      <c r="C1" s="1" t="s">
        <v>191</v>
      </c>
      <c r="D1" s="1" t="s">
        <v>195</v>
      </c>
      <c r="E1" s="1" t="s">
        <v>192</v>
      </c>
      <c r="F1" s="1" t="s">
        <v>194</v>
      </c>
    </row>
    <row r="3" spans="1:6">
      <c r="B3" s="22">
        <v>18.375</v>
      </c>
      <c r="C3">
        <v>4584</v>
      </c>
    </row>
    <row r="4" spans="1:6">
      <c r="B4" s="22"/>
    </row>
    <row r="5" spans="1:6">
      <c r="B5" s="22">
        <v>20.0625</v>
      </c>
      <c r="C5">
        <v>1600</v>
      </c>
      <c r="E5">
        <v>1600</v>
      </c>
    </row>
    <row r="6" spans="1:6">
      <c r="B6" s="22">
        <v>31.49</v>
      </c>
      <c r="C6">
        <v>3124</v>
      </c>
      <c r="E6">
        <v>3124</v>
      </c>
      <c r="F6">
        <v>3124</v>
      </c>
    </row>
    <row r="7" spans="1:6">
      <c r="B7" s="22">
        <v>55.5</v>
      </c>
      <c r="C7">
        <v>2565</v>
      </c>
      <c r="E7">
        <v>2565</v>
      </c>
    </row>
    <row r="8" spans="1:6">
      <c r="B8" s="22">
        <v>76</v>
      </c>
      <c r="C8">
        <v>2381</v>
      </c>
      <c r="E8">
        <v>2381</v>
      </c>
      <c r="F8">
        <v>2381</v>
      </c>
    </row>
    <row r="9" spans="1:6">
      <c r="B9" s="22"/>
    </row>
    <row r="10" spans="1:6">
      <c r="B10">
        <v>75</v>
      </c>
      <c r="C10">
        <f>1750000/25*0.45</f>
        <v>31500</v>
      </c>
      <c r="D10">
        <f>1750000/25*0.15</f>
        <v>10500</v>
      </c>
      <c r="E10">
        <f>1750000/25*0.15</f>
        <v>10500</v>
      </c>
      <c r="F10">
        <f>1750000/25*0.25</f>
        <v>17500</v>
      </c>
    </row>
    <row r="12" spans="1:6">
      <c r="B12" t="s">
        <v>49</v>
      </c>
      <c r="C12">
        <f>SUM(C3:C10)</f>
        <v>45754</v>
      </c>
      <c r="D12">
        <f>SUM(D3:D10)</f>
        <v>10500</v>
      </c>
      <c r="E12">
        <f>SUM(E3:E10)</f>
        <v>20170</v>
      </c>
      <c r="F12">
        <f>SUM(F3:F10)</f>
        <v>23005</v>
      </c>
    </row>
    <row r="14" spans="1:6">
      <c r="B14" t="s">
        <v>223</v>
      </c>
      <c r="C14">
        <f>C3+C5+C6+C7</f>
        <v>11873</v>
      </c>
      <c r="E14">
        <f>E3+E5+E6+E7</f>
        <v>7289</v>
      </c>
      <c r="F14">
        <f>F3+F5+F6+F7</f>
        <v>3124</v>
      </c>
    </row>
    <row r="15" spans="1:6">
      <c r="A15" t="s">
        <v>218</v>
      </c>
    </row>
    <row r="16" spans="1:6">
      <c r="B16" t="s">
        <v>224</v>
      </c>
      <c r="C16">
        <f>C8+C10</f>
        <v>33881</v>
      </c>
      <c r="D16">
        <f>D8+D10</f>
        <v>10500</v>
      </c>
      <c r="E16">
        <f>E8+E10</f>
        <v>12881</v>
      </c>
      <c r="F16">
        <f>F8+F10</f>
        <v>19881</v>
      </c>
    </row>
    <row r="20" spans="1:8">
      <c r="B20" t="s">
        <v>196</v>
      </c>
      <c r="C20">
        <v>-30000</v>
      </c>
    </row>
    <row r="21" spans="1:8">
      <c r="B21" t="s">
        <v>197</v>
      </c>
      <c r="C21">
        <v>-14000</v>
      </c>
      <c r="H21">
        <f>50000*10*0.6</f>
        <v>300000</v>
      </c>
    </row>
    <row r="22" spans="1:8">
      <c r="B22" t="s">
        <v>221</v>
      </c>
      <c r="C22">
        <v>-5000</v>
      </c>
    </row>
    <row r="23" spans="1:8">
      <c r="B23" t="s">
        <v>222</v>
      </c>
      <c r="C23">
        <v>-5000</v>
      </c>
    </row>
    <row r="25" spans="1:8">
      <c r="B25" t="s">
        <v>219</v>
      </c>
      <c r="C25">
        <f>SUM(C12:C21)</f>
        <v>47508</v>
      </c>
    </row>
    <row r="26" spans="1:8">
      <c r="A26">
        <f>C26*90</f>
        <v>525000</v>
      </c>
      <c r="B26" t="s">
        <v>198</v>
      </c>
      <c r="C26">
        <f>1750000/4/75</f>
        <v>5833.333333333333</v>
      </c>
      <c r="E26">
        <f>1750000/4/75</f>
        <v>5833.333333333333</v>
      </c>
      <c r="F26">
        <f>1750000/4/75</f>
        <v>5833.333333333333</v>
      </c>
    </row>
    <row r="29" spans="1:8">
      <c r="B29" t="s">
        <v>220</v>
      </c>
      <c r="C29">
        <f>C26+C25</f>
        <v>53341.333333333336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topLeftCell="B1" workbookViewId="0">
      <selection activeCell="J12" sqref="J12"/>
    </sheetView>
  </sheetViews>
  <sheetFormatPr defaultRowHeight="15"/>
  <cols>
    <col min="4" max="4" width="11.54296875" bestFit="1" customWidth="1"/>
    <col min="5" max="5" width="8.90625" style="74" customWidth="1"/>
    <col min="8" max="8" width="12.453125" bestFit="1" customWidth="1"/>
    <col min="9" max="9" width="12.453125" customWidth="1"/>
    <col min="11" max="11" width="11.6328125" customWidth="1"/>
    <col min="12" max="12" width="9.54296875" bestFit="1" customWidth="1"/>
    <col min="15" max="15" width="12.453125" bestFit="1" customWidth="1"/>
  </cols>
  <sheetData>
    <row r="1" spans="1:14">
      <c r="A1" t="s">
        <v>295</v>
      </c>
      <c r="D1" s="5">
        <v>110000</v>
      </c>
      <c r="H1" s="5"/>
      <c r="I1" s="5"/>
      <c r="J1" s="3"/>
      <c r="N1" s="3"/>
    </row>
    <row r="2" spans="1:14">
      <c r="D2" s="5"/>
      <c r="I2" t="s">
        <v>359</v>
      </c>
      <c r="J2" t="s">
        <v>361</v>
      </c>
      <c r="K2" t="s">
        <v>360</v>
      </c>
    </row>
    <row r="3" spans="1:14">
      <c r="A3" t="s">
        <v>275</v>
      </c>
      <c r="D3" s="5">
        <v>-42500</v>
      </c>
      <c r="E3" s="74">
        <v>37144</v>
      </c>
      <c r="G3" t="s">
        <v>359</v>
      </c>
      <c r="I3">
        <f>IF($G3=I$2,$D3,0)</f>
        <v>-42500</v>
      </c>
      <c r="J3">
        <f>IF($G3=J$2,$D3,0)</f>
        <v>0</v>
      </c>
      <c r="K3">
        <f>IF($G3=K$2,$D3,0)</f>
        <v>0</v>
      </c>
      <c r="N3" s="22"/>
    </row>
    <row r="4" spans="1:14">
      <c r="A4" t="s">
        <v>273</v>
      </c>
      <c r="D4" s="5">
        <v>-200000</v>
      </c>
      <c r="E4" s="74">
        <v>37148</v>
      </c>
      <c r="G4" t="s">
        <v>361</v>
      </c>
      <c r="I4">
        <f t="shared" ref="I4:K10" si="0">IF($G4=I$2,$D4,0)</f>
        <v>0</v>
      </c>
      <c r="J4">
        <f t="shared" si="0"/>
        <v>-200000</v>
      </c>
      <c r="K4">
        <f t="shared" si="0"/>
        <v>0</v>
      </c>
      <c r="N4" s="22"/>
    </row>
    <row r="5" spans="1:14">
      <c r="A5" t="s">
        <v>294</v>
      </c>
      <c r="D5" s="5">
        <v>-150000</v>
      </c>
      <c r="E5" s="74">
        <v>37149</v>
      </c>
      <c r="G5" t="s">
        <v>360</v>
      </c>
      <c r="I5">
        <f t="shared" si="0"/>
        <v>0</v>
      </c>
      <c r="J5">
        <f t="shared" si="0"/>
        <v>0</v>
      </c>
      <c r="K5">
        <f t="shared" si="0"/>
        <v>-150000</v>
      </c>
      <c r="N5" s="22"/>
    </row>
    <row r="6" spans="1:14">
      <c r="A6" t="s">
        <v>272</v>
      </c>
      <c r="D6" s="5">
        <f>D32</f>
        <v>559722</v>
      </c>
      <c r="E6" s="74">
        <v>37159</v>
      </c>
      <c r="G6" t="s">
        <v>361</v>
      </c>
      <c r="I6">
        <f t="shared" si="0"/>
        <v>0</v>
      </c>
      <c r="J6">
        <f t="shared" si="0"/>
        <v>559722</v>
      </c>
      <c r="K6">
        <f t="shared" si="0"/>
        <v>0</v>
      </c>
      <c r="N6" s="22"/>
    </row>
    <row r="7" spans="1:14">
      <c r="A7" t="s">
        <v>274</v>
      </c>
      <c r="D7" s="5">
        <v>-600000</v>
      </c>
      <c r="E7" s="74">
        <v>37169</v>
      </c>
      <c r="G7" t="s">
        <v>361</v>
      </c>
      <c r="I7">
        <f t="shared" si="0"/>
        <v>0</v>
      </c>
      <c r="J7">
        <f t="shared" si="0"/>
        <v>-600000</v>
      </c>
      <c r="K7">
        <f t="shared" si="0"/>
        <v>0</v>
      </c>
      <c r="N7" s="22"/>
    </row>
    <row r="8" spans="1:14">
      <c r="A8" t="s">
        <v>296</v>
      </c>
      <c r="D8" s="5">
        <v>0</v>
      </c>
      <c r="E8" s="74">
        <v>37196</v>
      </c>
      <c r="G8" t="s">
        <v>361</v>
      </c>
      <c r="I8">
        <f t="shared" si="0"/>
        <v>0</v>
      </c>
      <c r="J8">
        <f t="shared" si="0"/>
        <v>0</v>
      </c>
      <c r="K8">
        <f t="shared" si="0"/>
        <v>0</v>
      </c>
      <c r="N8" s="22"/>
    </row>
    <row r="9" spans="1:14">
      <c r="A9" t="s">
        <v>277</v>
      </c>
      <c r="D9" s="5">
        <v>-360000</v>
      </c>
      <c r="E9" s="74">
        <v>37210</v>
      </c>
      <c r="G9" t="s">
        <v>361</v>
      </c>
      <c r="I9">
        <f t="shared" si="0"/>
        <v>0</v>
      </c>
      <c r="J9">
        <f t="shared" si="0"/>
        <v>-360000</v>
      </c>
      <c r="K9">
        <f t="shared" si="0"/>
        <v>0</v>
      </c>
      <c r="N9" s="22"/>
    </row>
    <row r="10" spans="1:14">
      <c r="A10" t="s">
        <v>276</v>
      </c>
      <c r="D10" s="5">
        <v>25000</v>
      </c>
      <c r="E10" s="74">
        <v>37257</v>
      </c>
      <c r="G10" t="s">
        <v>361</v>
      </c>
      <c r="I10">
        <f t="shared" si="0"/>
        <v>0</v>
      </c>
      <c r="J10">
        <f t="shared" si="0"/>
        <v>25000</v>
      </c>
      <c r="K10">
        <f t="shared" si="0"/>
        <v>0</v>
      </c>
      <c r="N10" s="22"/>
    </row>
    <row r="11" spans="1:14">
      <c r="D11" s="5"/>
      <c r="N11" s="22"/>
    </row>
    <row r="12" spans="1:14">
      <c r="D12" s="5"/>
      <c r="G12" t="s">
        <v>43</v>
      </c>
      <c r="I12">
        <f>SUM(I3:I10)</f>
        <v>-42500</v>
      </c>
      <c r="J12">
        <f>SUM(J3:J10)</f>
        <v>-575278</v>
      </c>
      <c r="K12">
        <f>SUM(K3:K10)</f>
        <v>-150000</v>
      </c>
      <c r="N12" s="22"/>
    </row>
    <row r="13" spans="1:14">
      <c r="D13" s="5"/>
      <c r="N13" s="22"/>
    </row>
    <row r="14" spans="1:14">
      <c r="D14" s="5"/>
      <c r="N14" s="22"/>
    </row>
    <row r="15" spans="1:14">
      <c r="D15" s="5"/>
      <c r="N15" s="22"/>
    </row>
    <row r="16" spans="1:14">
      <c r="A16" t="s">
        <v>49</v>
      </c>
      <c r="D16" s="5">
        <f>SUM(D1:D14)</f>
        <v>-657778</v>
      </c>
      <c r="N16" s="22"/>
    </row>
    <row r="17" spans="2:15">
      <c r="N17" s="22"/>
    </row>
    <row r="19" spans="2:15">
      <c r="O19" s="25"/>
    </row>
    <row r="20" spans="2:15">
      <c r="B20" t="s">
        <v>282</v>
      </c>
    </row>
    <row r="21" spans="2:15">
      <c r="B21" t="s">
        <v>283</v>
      </c>
      <c r="D21">
        <v>1900000</v>
      </c>
    </row>
    <row r="22" spans="2:15">
      <c r="B22" t="s">
        <v>284</v>
      </c>
      <c r="D22">
        <v>0</v>
      </c>
      <c r="H22" s="5"/>
      <c r="I22" s="5"/>
      <c r="J22" s="3"/>
      <c r="N22" s="3"/>
    </row>
    <row r="23" spans="2:15">
      <c r="B23" t="s">
        <v>285</v>
      </c>
      <c r="D23">
        <f>(D21+D22)*0.05</f>
        <v>95000</v>
      </c>
    </row>
    <row r="24" spans="2:15">
      <c r="B24" t="s">
        <v>286</v>
      </c>
      <c r="D24">
        <v>50000</v>
      </c>
      <c r="N24" s="22"/>
    </row>
    <row r="25" spans="2:15">
      <c r="B25" t="s">
        <v>287</v>
      </c>
      <c r="D25">
        <v>875000</v>
      </c>
      <c r="N25" s="22"/>
    </row>
    <row r="26" spans="2:15">
      <c r="B26" t="s">
        <v>291</v>
      </c>
      <c r="D26">
        <f>D21-SUM(D22:D25)</f>
        <v>880000</v>
      </c>
      <c r="N26" s="22"/>
    </row>
    <row r="27" spans="2:15">
      <c r="B27" t="s">
        <v>289</v>
      </c>
      <c r="C27">
        <f>D21-D22-D23-D24-110000-1250000</f>
        <v>395000</v>
      </c>
      <c r="N27" s="22"/>
    </row>
    <row r="28" spans="2:15">
      <c r="B28" t="s">
        <v>290</v>
      </c>
      <c r="D28">
        <f>C27*0.396</f>
        <v>156420</v>
      </c>
      <c r="N28" s="22"/>
    </row>
    <row r="29" spans="2:15">
      <c r="B29" t="s">
        <v>288</v>
      </c>
      <c r="D29">
        <f>D26-D28</f>
        <v>723580</v>
      </c>
      <c r="N29" s="22"/>
    </row>
    <row r="30" spans="2:15">
      <c r="B30" t="s">
        <v>292</v>
      </c>
      <c r="D30">
        <f>140000+(C27-D28)*0.1</f>
        <v>163858</v>
      </c>
      <c r="E30" s="74">
        <v>163858</v>
      </c>
      <c r="N30" s="22"/>
    </row>
    <row r="31" spans="2:15">
      <c r="N31" s="22"/>
    </row>
    <row r="32" spans="2:15">
      <c r="B32" t="s">
        <v>293</v>
      </c>
      <c r="D32">
        <f>D29-D30</f>
        <v>559722</v>
      </c>
      <c r="N32" s="22"/>
    </row>
    <row r="33" spans="2:15">
      <c r="N33" s="22"/>
    </row>
    <row r="34" spans="2:15">
      <c r="B34" t="s">
        <v>357</v>
      </c>
      <c r="D34">
        <f>D28*0.9</f>
        <v>140778</v>
      </c>
      <c r="N34" s="22"/>
    </row>
    <row r="35" spans="2:15">
      <c r="B35" t="s">
        <v>358</v>
      </c>
      <c r="D35">
        <f>C27-D34</f>
        <v>254222</v>
      </c>
      <c r="N35" s="22"/>
    </row>
    <row r="36" spans="2:15">
      <c r="N36" s="22"/>
    </row>
    <row r="37" spans="2:15">
      <c r="N37" s="22"/>
    </row>
    <row r="38" spans="2:15">
      <c r="N38" s="22"/>
    </row>
    <row r="40" spans="2:15">
      <c r="O40" s="2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LT Plan</vt:lpstr>
      <vt:lpstr>Assets</vt:lpstr>
      <vt:lpstr>House</vt:lpstr>
      <vt:lpstr>Fut.Budg</vt:lpstr>
      <vt:lpstr>vesting</vt:lpstr>
      <vt:lpstr>2001 cf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Positions</dc:title>
  <dc:creator>phillip</dc:creator>
  <cp:lastModifiedBy>Havlíček Jan</cp:lastModifiedBy>
  <cp:lastPrinted>2000-12-30T04:53:29Z</cp:lastPrinted>
  <dcterms:created xsi:type="dcterms:W3CDTF">1999-03-04T03:05:25Z</dcterms:created>
  <dcterms:modified xsi:type="dcterms:W3CDTF">2023-09-10T15:32:00Z</dcterms:modified>
</cp:coreProperties>
</file>