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1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92512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F12" i="2"/>
  <c r="G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C8" i="3"/>
  <c r="E8" i="3"/>
  <c r="G8" i="3"/>
  <c r="H8" i="3"/>
  <c r="J8" i="3"/>
  <c r="K8" i="3"/>
  <c r="B10" i="3"/>
  <c r="C10" i="3"/>
  <c r="D10" i="3"/>
  <c r="E10" i="3"/>
  <c r="F10" i="3"/>
  <c r="G10" i="3"/>
  <c r="H10" i="3"/>
  <c r="I10" i="3"/>
  <c r="J10" i="3"/>
  <c r="K10" i="3"/>
  <c r="B16" i="3"/>
  <c r="F16" i="3"/>
  <c r="B18" i="3"/>
  <c r="C18" i="3"/>
  <c r="D18" i="3"/>
  <c r="E18" i="3"/>
  <c r="F18" i="3"/>
  <c r="G18" i="3"/>
  <c r="H18" i="3"/>
  <c r="I18" i="3"/>
  <c r="C19" i="3"/>
  <c r="D19" i="3"/>
  <c r="E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C29" i="3"/>
  <c r="D29" i="3"/>
  <c r="E29" i="3"/>
  <c r="G29" i="3"/>
  <c r="H29" i="3"/>
  <c r="I29" i="3"/>
  <c r="C30" i="3"/>
  <c r="D30" i="3"/>
  <c r="E30" i="3"/>
  <c r="G30" i="3"/>
  <c r="H30" i="3"/>
  <c r="I30" i="3"/>
  <c r="L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F35" i="3"/>
  <c r="L35" i="3"/>
  <c r="L37" i="3"/>
  <c r="B38" i="3"/>
  <c r="F38" i="3"/>
  <c r="B39" i="3"/>
  <c r="F39" i="3"/>
  <c r="B40" i="3"/>
  <c r="F40" i="3"/>
  <c r="B41" i="3"/>
  <c r="F41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<sst xmlns="http://schemas.openxmlformats.org/spreadsheetml/2006/main" count="275" uniqueCount="94">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</sst>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B18" sqref="B18"/>
    </sheetView>
  </sheetViews>
  <sheetFormatPr defaultColWidth="9.81640625" defaultRowHeight="15"/>
  <cols>
    <col min="1" max="1" width="22.81640625" customWidth="1"/>
    <col min="2" max="2" width="11.54296875" customWidth="1"/>
    <col min="3" max="3" width="11.90625" customWidth="1"/>
    <col min="4" max="4" width="11.6328125" customWidth="1"/>
    <col min="6" max="6" width="11.90625" bestFit="1" customWidth="1"/>
    <col min="7" max="7" width="11.08984375" bestFit="1" customWidth="1"/>
    <col min="8" max="8" width="11.453125" bestFit="1" customWidth="1"/>
  </cols>
  <sheetData>
    <row r="1" spans="1:8" ht="22.8">
      <c r="A1" s="6" t="s">
        <v>0</v>
      </c>
      <c r="B1" s="4"/>
      <c r="C1" s="4"/>
      <c r="D1" s="4"/>
    </row>
    <row r="2" spans="1:8" ht="17.399999999999999">
      <c r="A2" s="7" t="s">
        <v>3</v>
      </c>
      <c r="B2" s="4"/>
      <c r="C2" s="4"/>
      <c r="D2" s="4"/>
    </row>
    <row r="3" spans="1:8" ht="17.399999999999999">
      <c r="A3" s="7"/>
      <c r="B3" s="4"/>
      <c r="C3" s="4"/>
      <c r="D3" s="4"/>
    </row>
    <row r="4" spans="1:8" ht="15.6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0.10144949033314346</v>
      </c>
      <c r="F7" s="77">
        <v>0</v>
      </c>
      <c r="G7" s="77">
        <f>+B7</f>
        <v>1121670</v>
      </c>
    </row>
    <row r="8" spans="1:8">
      <c r="A8" s="3" t="s">
        <v>61</v>
      </c>
      <c r="B8" s="8">
        <v>500000</v>
      </c>
      <c r="C8" s="77">
        <f>+B8/Stabilized!$B$10</f>
        <v>3731.3432835820895</v>
      </c>
      <c r="D8" s="9">
        <f>+B8/Stabilized!$E$10</f>
        <v>3.5672497930995122</v>
      </c>
      <c r="E8" s="96">
        <f>+B8/$B$18</f>
        <v>4.5222521032542304E-2</v>
      </c>
      <c r="F8" s="77">
        <v>0</v>
      </c>
      <c r="G8" s="77">
        <f>+B8</f>
        <v>500000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700000</v>
      </c>
      <c r="C10" s="77">
        <f>+B10/Stabilized!$B$10</f>
        <v>5223.8805970149251</v>
      </c>
      <c r="D10" s="9">
        <f>+B10/Stabilized!$E$10</f>
        <v>4.9941497103393164</v>
      </c>
      <c r="E10" s="96">
        <f>+B10/$B$18</f>
        <v>6.3311529445559234E-2</v>
      </c>
      <c r="F10" s="77">
        <f>+B10</f>
        <v>700000</v>
      </c>
      <c r="G10" s="9">
        <v>0</v>
      </c>
    </row>
    <row r="11" spans="1:8">
      <c r="A11" s="3" t="s">
        <v>63</v>
      </c>
      <c r="B11" s="8">
        <v>7100000</v>
      </c>
      <c r="C11" s="77">
        <f>+B11/Stabilized!$B$10</f>
        <v>52985.074626865673</v>
      </c>
      <c r="D11" s="9">
        <f>+B11/Stabilized!$E$10</f>
        <v>50.654947062013072</v>
      </c>
      <c r="E11" s="96">
        <f>+B11/$B$18</f>
        <v>0.64215979866210071</v>
      </c>
      <c r="F11" s="77">
        <f>+B11-G11</f>
        <v>6307762</v>
      </c>
      <c r="G11" s="77">
        <v>792238</v>
      </c>
    </row>
    <row r="12" spans="1:8">
      <c r="A12" s="3" t="s">
        <v>70</v>
      </c>
      <c r="B12" s="8">
        <v>700000</v>
      </c>
      <c r="C12" s="77">
        <f>+B12/Stabilized!$B$10</f>
        <v>5223.8805970149251</v>
      </c>
      <c r="D12" s="9">
        <f>+B12/Stabilized!$E$10</f>
        <v>4.9941497103393164</v>
      </c>
      <c r="E12" s="96">
        <f>+B12/$B$18</f>
        <v>6.3311529445559234E-2</v>
      </c>
      <c r="F12" s="77">
        <f>B12*0.5</f>
        <v>350000</v>
      </c>
      <c r="G12" s="77">
        <f>B12*0.5</f>
        <v>350000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3.6178016826033846E-4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100000</v>
      </c>
      <c r="C15" s="77">
        <f>+B15/Stabilized!$B$10</f>
        <v>746.26865671641792</v>
      </c>
      <c r="D15" s="9">
        <f>+B15/Stabilized!$E$10</f>
        <v>0.71344995861990235</v>
      </c>
      <c r="E15" s="96">
        <f>+B15/$B$18</f>
        <v>9.0445042065084615E-3</v>
      </c>
      <c r="F15" s="77">
        <f>+B15</f>
        <v>100000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2.7828130542585233E-3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800000</v>
      </c>
      <c r="C17" s="82">
        <f>+B17/Stabilized!$B$10</f>
        <v>5970.1492537313434</v>
      </c>
      <c r="D17" s="86">
        <f>+B17/Stabilized!$E$10</f>
        <v>5.7075996689592188</v>
      </c>
      <c r="E17" s="98">
        <f>+B17/$B$18</f>
        <v>7.2356033652067692E-2</v>
      </c>
      <c r="F17" s="82">
        <f>+B17</f>
        <v>800000</v>
      </c>
      <c r="G17" s="86">
        <v>0</v>
      </c>
    </row>
    <row r="18" spans="1:8">
      <c r="A18" s="2" t="s">
        <v>49</v>
      </c>
      <c r="B18" s="11">
        <f>SUM(B7:B17)</f>
        <v>11056438</v>
      </c>
      <c r="C18" s="11">
        <f>+B18/Stabilized!$B$10</f>
        <v>82510.73134328358</v>
      </c>
      <c r="D18" s="83">
        <f>+B18/Stabilized!$E$10</f>
        <v>78.882152335835158</v>
      </c>
      <c r="E18" s="97">
        <f>SUM(E7:E17)</f>
        <v>1.0000000000000002</v>
      </c>
      <c r="F18" s="11">
        <f>SUM(F7:F17)</f>
        <v>8292530</v>
      </c>
      <c r="G18" s="11">
        <f>SUM(G7:G17)</f>
        <v>2763908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350000</v>
      </c>
      <c r="C23" s="12" t="s">
        <v>0</v>
      </c>
      <c r="D23" s="109" t="s">
        <v>0</v>
      </c>
    </row>
    <row r="24" spans="1:8">
      <c r="A24" s="2" t="s">
        <v>88</v>
      </c>
      <c r="B24" s="111">
        <f>B25-B22-B23</f>
        <v>1292439.5</v>
      </c>
      <c r="C24" s="110" t="s">
        <v>0</v>
      </c>
      <c r="D24" s="1"/>
    </row>
    <row r="25" spans="1:8">
      <c r="A25" s="2" t="s">
        <v>89</v>
      </c>
      <c r="B25" s="95">
        <f>B18*0.25</f>
        <v>2764109.5</v>
      </c>
      <c r="C25" s="117">
        <f>+B25/B18</f>
        <v>0.25</v>
      </c>
      <c r="D25" s="95"/>
    </row>
    <row r="26" spans="1:8">
      <c r="A26" s="2" t="s">
        <v>65</v>
      </c>
      <c r="B26" s="95">
        <f>+B18*0.75</f>
        <v>8292328.5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4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tabSelected="1" defaultGridColor="0" topLeftCell="A2" colorId="22" zoomScale="80" workbookViewId="0">
      <selection activeCell="D24" sqref="D24"/>
    </sheetView>
  </sheetViews>
  <sheetFormatPr defaultColWidth="9.81640625" defaultRowHeight="15"/>
  <cols>
    <col min="1" max="1" width="16.81640625" customWidth="1"/>
    <col min="2" max="2" width="10.54296875" customWidth="1"/>
    <col min="3" max="3" width="8.90625" customWidth="1"/>
    <col min="4" max="4" width="8.453125" customWidth="1"/>
    <col min="5" max="5" width="8" customWidth="1"/>
    <col min="6" max="6" width="12.81640625" customWidth="1"/>
    <col min="7" max="7" width="6.81640625" customWidth="1"/>
    <col min="8" max="8" width="7.81640625" customWidth="1"/>
    <col min="9" max="9" width="6.81640625" customWidth="1"/>
  </cols>
  <sheetData>
    <row r="1" spans="1:10" ht="22.8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7.399999999999999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0.13088633267372585</v>
      </c>
      <c r="C4" s="72"/>
      <c r="D4" s="73"/>
      <c r="E4" s="74"/>
      <c r="F4" s="84">
        <f>G13</f>
        <v>0.15763741643365417</v>
      </c>
      <c r="G4" s="36"/>
      <c r="H4" s="4"/>
      <c r="I4" s="1"/>
      <c r="J4" s="1"/>
    </row>
    <row r="5" spans="1:10">
      <c r="A5" s="13" t="s">
        <v>1</v>
      </c>
      <c r="B5" s="84">
        <f>1-B4</f>
        <v>0.86911366732627415</v>
      </c>
      <c r="C5" s="1"/>
      <c r="D5" s="1"/>
      <c r="E5" s="33"/>
      <c r="F5" s="84">
        <f>1-F4</f>
        <v>0.84236258356634586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116.46123142172074</v>
      </c>
      <c r="C6" s="10"/>
      <c r="D6" s="10"/>
      <c r="E6" s="22"/>
      <c r="F6" s="22">
        <f>+F5*Stabilized!B10</f>
        <v>112.87658619789035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216377.09681355802</v>
      </c>
      <c r="C13" s="45">
        <f>B13/B$12</f>
        <v>0.13088633267372585</v>
      </c>
      <c r="D13" s="119">
        <f>+B13/Stabilized!$B$10</f>
        <v>1614.7544538325226</v>
      </c>
      <c r="E13" s="46">
        <f>+B13/Stabilized!$E$10</f>
        <v>1.5437423076792758</v>
      </c>
      <c r="F13" s="119">
        <f>F12-F16-F21</f>
        <v>268877.09681355802</v>
      </c>
      <c r="G13" s="45">
        <f>F13/F$12</f>
        <v>0.15763741643365417</v>
      </c>
      <c r="H13" s="119">
        <f>+F13/Stabilized!$B$10</f>
        <v>2006.545498608642</v>
      </c>
      <c r="I13" s="46">
        <f>+F13/Stabilized!$E$10</f>
        <v>1.9183035359547247</v>
      </c>
      <c r="J13" s="1"/>
    </row>
    <row r="14" spans="1:10" ht="12" customHeight="1">
      <c r="A14" s="2" t="s">
        <v>33</v>
      </c>
      <c r="B14" s="47">
        <f>B12-B13</f>
        <v>1436790.9031864419</v>
      </c>
      <c r="C14" s="48">
        <f>B14/B14</f>
        <v>1</v>
      </c>
      <c r="D14" s="120">
        <f>+B14/Stabilized!$B$10</f>
        <v>10722.320173033148</v>
      </c>
      <c r="E14" s="50">
        <f>+B14/Stabilized!$E$10</f>
        <v>10.250784104238191</v>
      </c>
      <c r="F14" s="78">
        <f>F12-F13</f>
        <v>1436790.9031864419</v>
      </c>
      <c r="G14" s="48">
        <f>F14/F14</f>
        <v>1</v>
      </c>
      <c r="H14" s="120">
        <f>+F14/Stabilized!$B$10</f>
        <v>10722.320173033148</v>
      </c>
      <c r="I14" s="50">
        <f>+F14/Stabilized!$E$10</f>
        <v>10.250784104238191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0.42901162488778249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820390.90318644186</v>
      </c>
      <c r="C17" s="27">
        <f>B17/B$12</f>
        <v>0.49625380069444963</v>
      </c>
      <c r="D17" s="30">
        <f>+B17/Stabilized!$B$10</f>
        <v>6122.3201730331484</v>
      </c>
      <c r="E17" s="61">
        <f>+B17/Stabilized!$E$10</f>
        <v>5.8530785593051133</v>
      </c>
      <c r="F17" s="29">
        <f>F14-F16</f>
        <v>820390.90318644186</v>
      </c>
      <c r="G17" s="27">
        <f>F17/F$14</f>
        <v>0.57098837511221756</v>
      </c>
      <c r="H17" s="30">
        <f>+F17/Stabilized!$B$10</f>
        <v>6122.3201730331484</v>
      </c>
      <c r="I17" s="61">
        <f>+F17/Stabilized!$E$10</f>
        <v>5.8530785593051133</v>
      </c>
      <c r="J17" s="1"/>
    </row>
    <row r="18" spans="1:10" ht="12" customHeight="1">
      <c r="A18" s="62" t="s">
        <v>7</v>
      </c>
      <c r="B18" s="63">
        <f>+Budget!B26</f>
        <v>8292328.5</v>
      </c>
      <c r="C18" s="64" t="s">
        <v>0</v>
      </c>
      <c r="D18" s="63" t="s">
        <v>0</v>
      </c>
      <c r="E18" s="65" t="s">
        <v>0</v>
      </c>
      <c r="F18" s="63">
        <f>+Stabilized!B35</f>
        <v>8292328.5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820390.90318644198</v>
      </c>
      <c r="C21" s="55" t="s">
        <v>0</v>
      </c>
      <c r="D21" s="12" t="s">
        <v>0</v>
      </c>
      <c r="E21" s="67" t="s">
        <v>0</v>
      </c>
      <c r="F21" s="12">
        <f>PMT(F19,F20/12,-F18)</f>
        <v>820390.90318644198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0.99999999999999989</v>
      </c>
      <c r="C22" s="48"/>
      <c r="D22" s="49"/>
      <c r="E22" s="68"/>
      <c r="F22" s="69">
        <f>F17/F21</f>
        <v>0.99999999999999989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9.8933719664680661E-2</v>
      </c>
      <c r="C23" s="48"/>
      <c r="D23" s="49"/>
      <c r="E23" s="68"/>
      <c r="F23" s="70">
        <f>F17/F18</f>
        <v>9.8933719664680661E-2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81640625" defaultRowHeight="15"/>
  <cols>
    <col min="1" max="1" width="24.90625" customWidth="1"/>
    <col min="2" max="2" width="13.54296875" customWidth="1"/>
    <col min="3" max="3" width="10.08984375" customWidth="1"/>
    <col min="4" max="4" width="10.453125" customWidth="1"/>
    <col min="5" max="5" width="9.90625" customWidth="1"/>
    <col min="6" max="6" width="10.1796875" customWidth="1"/>
    <col min="7" max="7" width="10.81640625" customWidth="1"/>
    <col min="8" max="8" width="11.1796875" customWidth="1"/>
    <col min="9" max="9" width="11.36328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6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6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8164062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81640625" defaultRowHeight="15"/>
  <cols>
    <col min="1" max="1" width="20.08984375" customWidth="1"/>
    <col min="2" max="2" width="11.6328125" customWidth="1"/>
    <col min="3" max="3" width="6.81640625" customWidth="1"/>
    <col min="4" max="5" width="8.81640625" customWidth="1"/>
    <col min="6" max="6" width="11.90625" customWidth="1"/>
    <col min="7" max="7" width="8.81640625" customWidth="1"/>
    <col min="8" max="9" width="7.81640625" customWidth="1"/>
    <col min="10" max="10" width="11.90625" customWidth="1"/>
    <col min="12" max="12" width="13.54296875" bestFit="1" customWidth="1"/>
    <col min="13" max="14" width="7.81640625" customWidth="1"/>
  </cols>
  <sheetData>
    <row r="1" spans="1:15" ht="22.8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7.399999999999999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8292328.5</v>
      </c>
      <c r="C35" s="64"/>
      <c r="D35" s="63" t="s">
        <v>0</v>
      </c>
      <c r="E35" s="65" t="s">
        <v>0</v>
      </c>
      <c r="F35" s="63">
        <f>+Budget!B26</f>
        <v>8292328.5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0.14041072407024044</v>
      </c>
      <c r="N37" s="1"/>
      <c r="O37" s="1"/>
    </row>
    <row r="38" spans="1:15">
      <c r="A38" s="62" t="s">
        <v>39</v>
      </c>
      <c r="B38" s="12">
        <f>PMT(B36,B37/12,-B35)</f>
        <v>760293.98778031615</v>
      </c>
      <c r="C38" s="55" t="s">
        <v>0</v>
      </c>
      <c r="D38" s="12" t="s">
        <v>0</v>
      </c>
      <c r="E38" s="67" t="s">
        <v>0</v>
      </c>
      <c r="F38" s="12">
        <f>PMT(F36,F37/12,-F35)</f>
        <v>760293.98778031615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193815.61221968394</v>
      </c>
      <c r="C39" s="48" t="s">
        <v>0</v>
      </c>
      <c r="D39" s="49" t="s">
        <v>0</v>
      </c>
      <c r="E39" s="68" t="s">
        <v>0</v>
      </c>
      <c r="F39" s="49">
        <f>F34-F38</f>
        <v>243690.61221968394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1.2549219319562555</v>
      </c>
      <c r="C40" s="48" t="s">
        <v>42</v>
      </c>
      <c r="D40" s="49"/>
      <c r="E40" s="68"/>
      <c r="F40" s="69">
        <f>F34/F38</f>
        <v>1.3205215563142101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0.11505931054226809</v>
      </c>
      <c r="C41" s="48"/>
      <c r="D41" s="49"/>
      <c r="E41" s="68"/>
      <c r="F41" s="70">
        <f>F34/F35</f>
        <v>0.12107390583959621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4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2001-03-07T18:33:06Z</cp:lastPrinted>
  <dcterms:created xsi:type="dcterms:W3CDTF">1999-10-06T19:56:43Z</dcterms:created>
  <dcterms:modified xsi:type="dcterms:W3CDTF">2023-09-10T15:32:02Z</dcterms:modified>
</cp:coreProperties>
</file>