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32" yWindow="-12" windowWidth="4020" windowHeight="6600" activeTab="1"/>
  </bookViews>
  <sheets>
    <sheet name="LT Plan" sheetId="4" r:id="rId1"/>
    <sheet name="Assets" sheetId="1" r:id="rId2"/>
    <sheet name="House" sheetId="3" r:id="rId3"/>
    <sheet name="Fut.Budg" sheetId="6" r:id="rId4"/>
    <sheet name="vesting" sheetId="7" r:id="rId5"/>
  </sheets>
  <calcPr calcId="0"/>
</workbook>
</file>

<file path=xl/calcChain.xml><?xml version="1.0" encoding="utf-8"?>
<calcChain xmlns="http://schemas.openxmlformats.org/spreadsheetml/2006/main">
  <c r="D1" i="1" l="1"/>
  <c r="D2" i="1"/>
  <c r="K2" i="1"/>
  <c r="L2" i="1"/>
  <c r="M2" i="1"/>
  <c r="D3" i="1"/>
  <c r="X3" i="1"/>
  <c r="F6" i="1"/>
  <c r="G6" i="1"/>
  <c r="I6" i="1"/>
  <c r="G8" i="1"/>
  <c r="I8" i="1"/>
  <c r="F11" i="1"/>
  <c r="F14" i="1"/>
  <c r="G14" i="1"/>
  <c r="H14" i="1"/>
  <c r="L19" i="1"/>
  <c r="L20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C25" i="1"/>
  <c r="E25" i="1"/>
  <c r="F25" i="1"/>
  <c r="G25" i="1"/>
  <c r="I25" i="1"/>
  <c r="F26" i="1"/>
  <c r="G26" i="1"/>
  <c r="I26" i="1"/>
  <c r="F27" i="1"/>
  <c r="G27" i="1"/>
  <c r="I27" i="1"/>
  <c r="F28" i="1"/>
  <c r="G28" i="1"/>
  <c r="I28" i="1"/>
  <c r="E29" i="1"/>
  <c r="F29" i="1"/>
  <c r="G29" i="1"/>
  <c r="I29" i="1"/>
  <c r="F30" i="1"/>
  <c r="G30" i="1"/>
  <c r="I30" i="1"/>
  <c r="E31" i="1"/>
  <c r="F31" i="1"/>
  <c r="G31" i="1"/>
  <c r="I31" i="1"/>
  <c r="E32" i="1"/>
  <c r="F32" i="1"/>
  <c r="G32" i="1"/>
  <c r="I32" i="1"/>
  <c r="D33" i="1"/>
  <c r="E33" i="1"/>
  <c r="F33" i="1"/>
  <c r="G33" i="1"/>
  <c r="I33" i="1"/>
  <c r="C34" i="1"/>
  <c r="E34" i="1"/>
  <c r="F34" i="1"/>
  <c r="G34" i="1"/>
  <c r="I34" i="1"/>
  <c r="D35" i="1"/>
  <c r="F35" i="1"/>
  <c r="G35" i="1"/>
  <c r="I35" i="1"/>
  <c r="D36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C42" i="1"/>
  <c r="F46" i="1"/>
  <c r="G46" i="1"/>
  <c r="H46" i="1"/>
  <c r="F54" i="1"/>
  <c r="G54" i="1"/>
  <c r="D58" i="1"/>
  <c r="E58" i="1"/>
  <c r="D59" i="1"/>
  <c r="E59" i="1"/>
  <c r="D60" i="1"/>
  <c r="E60" i="1"/>
  <c r="F61" i="1"/>
  <c r="G61" i="1"/>
  <c r="J61" i="1"/>
  <c r="E65" i="1"/>
  <c r="E66" i="1"/>
  <c r="E69" i="1"/>
  <c r="F70" i="1"/>
  <c r="G70" i="1"/>
  <c r="H70" i="1"/>
  <c r="F77" i="1"/>
  <c r="G77" i="1"/>
  <c r="J77" i="1"/>
  <c r="G79" i="1"/>
  <c r="H79" i="1"/>
  <c r="F85" i="1"/>
  <c r="G85" i="1"/>
  <c r="H85" i="1"/>
  <c r="F96" i="1"/>
  <c r="G96" i="1"/>
  <c r="H96" i="1"/>
  <c r="E99" i="1"/>
  <c r="F99" i="1"/>
  <c r="G99" i="1"/>
  <c r="H99" i="1"/>
  <c r="E100" i="1"/>
  <c r="F100" i="1"/>
  <c r="G100" i="1"/>
  <c r="H100" i="1"/>
  <c r="E101" i="1"/>
  <c r="F101" i="1"/>
  <c r="G101" i="1"/>
  <c r="H101" i="1"/>
  <c r="F109" i="1"/>
  <c r="G109" i="1"/>
  <c r="H109" i="1"/>
  <c r="I110" i="1"/>
  <c r="F114" i="1"/>
  <c r="G114" i="1"/>
  <c r="H114" i="1"/>
  <c r="I114" i="1"/>
  <c r="J114" i="1"/>
  <c r="H115" i="1"/>
  <c r="I115" i="1"/>
  <c r="I116" i="1"/>
  <c r="H117" i="1"/>
  <c r="I117" i="1"/>
  <c r="J117" i="1"/>
  <c r="G118" i="1"/>
  <c r="F121" i="1"/>
  <c r="K122" i="1"/>
  <c r="L123" i="1"/>
  <c r="M124" i="1"/>
  <c r="E126" i="1"/>
  <c r="F126" i="1"/>
  <c r="L126" i="1"/>
  <c r="D127" i="1"/>
  <c r="E127" i="1"/>
  <c r="F127" i="1"/>
  <c r="K127" i="1"/>
  <c r="E128" i="1"/>
  <c r="F128" i="1"/>
  <c r="L128" i="1"/>
  <c r="M128" i="1"/>
  <c r="D129" i="1"/>
  <c r="E129" i="1"/>
  <c r="F129" i="1"/>
  <c r="K129" i="1"/>
  <c r="L129" i="1"/>
  <c r="E130" i="1"/>
  <c r="F130" i="1"/>
  <c r="L130" i="1"/>
  <c r="M130" i="1"/>
  <c r="N130" i="1"/>
  <c r="E131" i="1"/>
  <c r="F131" i="1"/>
  <c r="K131" i="1"/>
  <c r="E132" i="1"/>
  <c r="F132" i="1"/>
  <c r="L132" i="1"/>
  <c r="M132" i="1"/>
  <c r="E133" i="1"/>
  <c r="F133" i="1"/>
  <c r="L133" i="1"/>
  <c r="M133" i="1"/>
  <c r="N133" i="1"/>
  <c r="C134" i="1"/>
  <c r="E134" i="1"/>
  <c r="F134" i="1"/>
  <c r="K134" i="1"/>
  <c r="L134" i="1"/>
  <c r="M134" i="1"/>
  <c r="N134" i="1"/>
  <c r="E135" i="1"/>
  <c r="F135" i="1"/>
  <c r="M135" i="1"/>
  <c r="N135" i="1"/>
  <c r="O135" i="1"/>
  <c r="A137" i="1"/>
  <c r="F137" i="1"/>
  <c r="G137" i="1"/>
  <c r="H137" i="1"/>
  <c r="K137" i="1"/>
  <c r="L137" i="1"/>
  <c r="M137" i="1"/>
  <c r="N137" i="1"/>
  <c r="O137" i="1"/>
  <c r="C138" i="1"/>
  <c r="F140" i="1"/>
  <c r="G140" i="1"/>
  <c r="H140" i="1"/>
  <c r="K140" i="1"/>
  <c r="L140" i="1"/>
  <c r="M140" i="1"/>
  <c r="L157" i="1"/>
  <c r="L158" i="1"/>
  <c r="L159" i="1"/>
  <c r="L161" i="1"/>
  <c r="L162" i="1"/>
  <c r="L163" i="1"/>
  <c r="M167" i="1"/>
  <c r="M168" i="1"/>
  <c r="M169" i="1"/>
  <c r="M170" i="1"/>
  <c r="L171" i="1"/>
  <c r="M171" i="1"/>
  <c r="L172" i="1"/>
  <c r="M172" i="1"/>
  <c r="L174" i="1"/>
  <c r="M174" i="1"/>
  <c r="L175" i="1"/>
  <c r="M175" i="1"/>
  <c r="L177" i="1"/>
  <c r="M177" i="1"/>
  <c r="M179" i="1"/>
  <c r="L180" i="1"/>
  <c r="M180" i="1"/>
  <c r="L181" i="1"/>
  <c r="M181" i="1"/>
  <c r="L183" i="1"/>
  <c r="M183" i="1"/>
  <c r="L184" i="1"/>
  <c r="M184" i="1"/>
  <c r="L186" i="1"/>
  <c r="M186" i="1"/>
  <c r="G191" i="1"/>
  <c r="C197" i="1"/>
  <c r="E197" i="1"/>
  <c r="C198" i="1"/>
  <c r="E198" i="1"/>
  <c r="G198" i="1"/>
  <c r="C200" i="1"/>
  <c r="E200" i="1"/>
  <c r="G200" i="1"/>
  <c r="M201" i="1"/>
  <c r="O201" i="1"/>
  <c r="L202" i="1"/>
  <c r="M202" i="1"/>
  <c r="N202" i="1"/>
  <c r="O202" i="1"/>
  <c r="M203" i="1"/>
  <c r="O203" i="1"/>
  <c r="M204" i="1"/>
  <c r="O204" i="1"/>
  <c r="M205" i="1"/>
  <c r="O205" i="1"/>
  <c r="L207" i="1"/>
  <c r="M207" i="1"/>
  <c r="N207" i="1"/>
  <c r="O207" i="1"/>
  <c r="M217" i="1"/>
  <c r="B27" i="6"/>
  <c r="D27" i="6"/>
  <c r="B29" i="6"/>
  <c r="D29" i="6"/>
  <c r="B88" i="6"/>
  <c r="C88" i="6"/>
  <c r="D2" i="3"/>
  <c r="F2" i="3"/>
  <c r="D3" i="3"/>
  <c r="F3" i="3"/>
  <c r="D4" i="3"/>
  <c r="F4" i="3"/>
  <c r="D5" i="3"/>
  <c r="F5" i="3"/>
  <c r="J5" i="3"/>
  <c r="B6" i="3"/>
  <c r="D6" i="3"/>
  <c r="F6" i="3"/>
  <c r="J6" i="3"/>
  <c r="J7" i="3"/>
  <c r="J9" i="3"/>
  <c r="J10" i="3"/>
  <c r="J11" i="3"/>
  <c r="D12" i="3"/>
  <c r="J13" i="3"/>
  <c r="D15" i="3"/>
  <c r="D16" i="3"/>
  <c r="D17" i="3"/>
  <c r="D30" i="3"/>
  <c r="F30" i="3"/>
  <c r="G30" i="3"/>
  <c r="D32" i="3"/>
  <c r="F32" i="3"/>
  <c r="D34" i="3"/>
  <c r="F34" i="3"/>
  <c r="D36" i="3"/>
  <c r="D46" i="3"/>
  <c r="Q4" i="4"/>
  <c r="Q5" i="4"/>
  <c r="Q7" i="4"/>
  <c r="Q10" i="4"/>
  <c r="P11" i="4"/>
  <c r="Q11" i="4"/>
  <c r="Q15" i="4"/>
  <c r="Q16" i="4"/>
  <c r="Q17" i="4"/>
  <c r="Q18" i="4"/>
  <c r="I33" i="4"/>
  <c r="J33" i="4"/>
  <c r="R33" i="4"/>
  <c r="S33" i="4"/>
  <c r="T33" i="4"/>
  <c r="F34" i="4"/>
  <c r="H34" i="4"/>
  <c r="I34" i="4"/>
  <c r="J34" i="4"/>
  <c r="M34" i="4"/>
  <c r="O34" i="4"/>
  <c r="Q34" i="4"/>
  <c r="R34" i="4"/>
  <c r="S34" i="4"/>
  <c r="T34" i="4"/>
  <c r="F35" i="4"/>
  <c r="H35" i="4"/>
  <c r="I35" i="4"/>
  <c r="J35" i="4"/>
  <c r="M35" i="4"/>
  <c r="O35" i="4"/>
  <c r="Q35" i="4"/>
  <c r="R35" i="4"/>
  <c r="S35" i="4"/>
  <c r="T35" i="4"/>
  <c r="F36" i="4"/>
  <c r="H36" i="4"/>
  <c r="I36" i="4"/>
  <c r="J36" i="4"/>
  <c r="M36" i="4"/>
  <c r="O36" i="4"/>
  <c r="Q36" i="4"/>
  <c r="R36" i="4"/>
  <c r="S36" i="4"/>
  <c r="T36" i="4"/>
  <c r="F37" i="4"/>
  <c r="H37" i="4"/>
  <c r="I37" i="4"/>
  <c r="J37" i="4"/>
  <c r="M37" i="4"/>
  <c r="O37" i="4"/>
  <c r="Q37" i="4"/>
  <c r="R37" i="4"/>
  <c r="S37" i="4"/>
  <c r="T37" i="4"/>
  <c r="F38" i="4"/>
  <c r="H38" i="4"/>
  <c r="I38" i="4"/>
  <c r="J38" i="4"/>
  <c r="M38" i="4"/>
  <c r="O38" i="4"/>
  <c r="Q38" i="4"/>
  <c r="R38" i="4"/>
  <c r="S38" i="4"/>
  <c r="T38" i="4"/>
  <c r="F39" i="4"/>
  <c r="H39" i="4"/>
  <c r="I39" i="4"/>
  <c r="J39" i="4"/>
  <c r="M39" i="4"/>
  <c r="O39" i="4"/>
  <c r="Q39" i="4"/>
  <c r="R39" i="4"/>
  <c r="S39" i="4"/>
  <c r="T39" i="4"/>
  <c r="F40" i="4"/>
  <c r="H40" i="4"/>
  <c r="I40" i="4"/>
  <c r="J40" i="4"/>
  <c r="M40" i="4"/>
  <c r="O40" i="4"/>
  <c r="Q40" i="4"/>
  <c r="R40" i="4"/>
  <c r="S40" i="4"/>
  <c r="T40" i="4"/>
  <c r="F41" i="4"/>
  <c r="H41" i="4"/>
  <c r="I41" i="4"/>
  <c r="J41" i="4"/>
  <c r="M41" i="4"/>
  <c r="O41" i="4"/>
  <c r="Q41" i="4"/>
  <c r="R41" i="4"/>
  <c r="S41" i="4"/>
  <c r="T41" i="4"/>
  <c r="F42" i="4"/>
  <c r="H42" i="4"/>
  <c r="I42" i="4"/>
  <c r="J42" i="4"/>
  <c r="M42" i="4"/>
  <c r="O42" i="4"/>
  <c r="Q42" i="4"/>
  <c r="R42" i="4"/>
  <c r="S42" i="4"/>
  <c r="T42" i="4"/>
  <c r="F43" i="4"/>
  <c r="H43" i="4"/>
  <c r="I43" i="4"/>
  <c r="J43" i="4"/>
  <c r="M43" i="4"/>
  <c r="O43" i="4"/>
  <c r="Q43" i="4"/>
  <c r="R43" i="4"/>
  <c r="S43" i="4"/>
  <c r="T43" i="4"/>
  <c r="F44" i="4"/>
  <c r="H44" i="4"/>
  <c r="I44" i="4"/>
  <c r="J44" i="4"/>
  <c r="M44" i="4"/>
  <c r="O44" i="4"/>
  <c r="Q44" i="4"/>
  <c r="R44" i="4"/>
  <c r="S44" i="4"/>
  <c r="T44" i="4"/>
  <c r="F45" i="4"/>
  <c r="H45" i="4"/>
  <c r="I45" i="4"/>
  <c r="J45" i="4"/>
  <c r="M45" i="4"/>
  <c r="O45" i="4"/>
  <c r="Q45" i="4"/>
  <c r="R45" i="4"/>
  <c r="S45" i="4"/>
  <c r="T45" i="4"/>
  <c r="F46" i="4"/>
  <c r="H46" i="4"/>
  <c r="I46" i="4"/>
  <c r="J46" i="4"/>
  <c r="M46" i="4"/>
  <c r="O46" i="4"/>
  <c r="Q46" i="4"/>
  <c r="R46" i="4"/>
  <c r="S46" i="4"/>
  <c r="T46" i="4"/>
  <c r="F47" i="4"/>
  <c r="H47" i="4"/>
  <c r="I47" i="4"/>
  <c r="J47" i="4"/>
  <c r="M47" i="4"/>
  <c r="O47" i="4"/>
  <c r="Q47" i="4"/>
  <c r="R47" i="4"/>
  <c r="S47" i="4"/>
  <c r="T47" i="4"/>
  <c r="F48" i="4"/>
  <c r="H48" i="4"/>
  <c r="I48" i="4"/>
  <c r="J48" i="4"/>
  <c r="M48" i="4"/>
  <c r="O48" i="4"/>
  <c r="Q48" i="4"/>
  <c r="R48" i="4"/>
  <c r="S48" i="4"/>
  <c r="T48" i="4"/>
  <c r="F49" i="4"/>
  <c r="H49" i="4"/>
  <c r="I49" i="4"/>
  <c r="J49" i="4"/>
  <c r="M49" i="4"/>
  <c r="O49" i="4"/>
  <c r="Q49" i="4"/>
  <c r="R49" i="4"/>
  <c r="S49" i="4"/>
  <c r="T49" i="4"/>
  <c r="F50" i="4"/>
  <c r="H50" i="4"/>
  <c r="I50" i="4"/>
  <c r="J50" i="4"/>
  <c r="K50" i="4"/>
  <c r="M50" i="4"/>
  <c r="O50" i="4"/>
  <c r="Q50" i="4"/>
  <c r="R50" i="4"/>
  <c r="S50" i="4"/>
  <c r="T50" i="4"/>
  <c r="F51" i="4"/>
  <c r="H51" i="4"/>
  <c r="I51" i="4"/>
  <c r="J51" i="4"/>
  <c r="K51" i="4"/>
  <c r="M51" i="4"/>
  <c r="O51" i="4"/>
  <c r="Q51" i="4"/>
  <c r="R51" i="4"/>
  <c r="S51" i="4"/>
  <c r="T51" i="4"/>
  <c r="F52" i="4"/>
  <c r="H52" i="4"/>
  <c r="I52" i="4"/>
  <c r="J52" i="4"/>
  <c r="K52" i="4"/>
  <c r="M52" i="4"/>
  <c r="O52" i="4"/>
  <c r="Q52" i="4"/>
  <c r="R52" i="4"/>
  <c r="S52" i="4"/>
  <c r="T52" i="4"/>
  <c r="F53" i="4"/>
  <c r="H53" i="4"/>
  <c r="I53" i="4"/>
  <c r="J53" i="4"/>
  <c r="K53" i="4"/>
  <c r="M53" i="4"/>
  <c r="O53" i="4"/>
  <c r="Q53" i="4"/>
  <c r="R53" i="4"/>
  <c r="S53" i="4"/>
  <c r="T53" i="4"/>
  <c r="F54" i="4"/>
  <c r="H54" i="4"/>
  <c r="I54" i="4"/>
  <c r="J54" i="4"/>
  <c r="K54" i="4"/>
  <c r="M54" i="4"/>
  <c r="O54" i="4"/>
  <c r="Q54" i="4"/>
  <c r="R54" i="4"/>
  <c r="S54" i="4"/>
  <c r="T54" i="4"/>
  <c r="F55" i="4"/>
  <c r="H55" i="4"/>
  <c r="I55" i="4"/>
  <c r="J55" i="4"/>
  <c r="K55" i="4"/>
  <c r="M55" i="4"/>
  <c r="O55" i="4"/>
  <c r="Q55" i="4"/>
  <c r="R55" i="4"/>
  <c r="S55" i="4"/>
  <c r="T55" i="4"/>
  <c r="F56" i="4"/>
  <c r="H56" i="4"/>
  <c r="I56" i="4"/>
  <c r="J56" i="4"/>
  <c r="K56" i="4"/>
  <c r="M56" i="4"/>
  <c r="O56" i="4"/>
  <c r="Q56" i="4"/>
  <c r="R56" i="4"/>
  <c r="S56" i="4"/>
  <c r="T56" i="4"/>
  <c r="F57" i="4"/>
  <c r="H57" i="4"/>
  <c r="I57" i="4"/>
  <c r="J57" i="4"/>
  <c r="K57" i="4"/>
  <c r="M57" i="4"/>
  <c r="O57" i="4"/>
  <c r="Q57" i="4"/>
  <c r="R57" i="4"/>
  <c r="S57" i="4"/>
  <c r="T57" i="4"/>
  <c r="F58" i="4"/>
  <c r="H58" i="4"/>
  <c r="I58" i="4"/>
  <c r="J58" i="4"/>
  <c r="K58" i="4"/>
  <c r="M58" i="4"/>
  <c r="O58" i="4"/>
  <c r="Q58" i="4"/>
  <c r="R58" i="4"/>
  <c r="S58" i="4"/>
  <c r="T58" i="4"/>
  <c r="F59" i="4"/>
  <c r="H59" i="4"/>
  <c r="I59" i="4"/>
  <c r="J59" i="4"/>
  <c r="K59" i="4"/>
  <c r="M59" i="4"/>
  <c r="O59" i="4"/>
  <c r="Q59" i="4"/>
  <c r="R59" i="4"/>
  <c r="S59" i="4"/>
  <c r="T59" i="4"/>
  <c r="F60" i="4"/>
  <c r="H60" i="4"/>
  <c r="I60" i="4"/>
  <c r="J60" i="4"/>
  <c r="K60" i="4"/>
  <c r="M60" i="4"/>
  <c r="O60" i="4"/>
  <c r="Q60" i="4"/>
  <c r="R60" i="4"/>
  <c r="S60" i="4"/>
  <c r="T60" i="4"/>
  <c r="F61" i="4"/>
  <c r="H61" i="4"/>
  <c r="I61" i="4"/>
  <c r="J61" i="4"/>
  <c r="K61" i="4"/>
  <c r="M61" i="4"/>
  <c r="O61" i="4"/>
  <c r="Q61" i="4"/>
  <c r="R61" i="4"/>
  <c r="S61" i="4"/>
  <c r="T61" i="4"/>
  <c r="F62" i="4"/>
  <c r="H62" i="4"/>
  <c r="I62" i="4"/>
  <c r="J62" i="4"/>
  <c r="K62" i="4"/>
  <c r="M62" i="4"/>
  <c r="O62" i="4"/>
  <c r="Q62" i="4"/>
  <c r="R62" i="4"/>
  <c r="S62" i="4"/>
  <c r="T62" i="4"/>
  <c r="F63" i="4"/>
  <c r="H63" i="4"/>
  <c r="I63" i="4"/>
  <c r="J63" i="4"/>
  <c r="K63" i="4"/>
  <c r="M63" i="4"/>
  <c r="O63" i="4"/>
  <c r="Q63" i="4"/>
  <c r="R63" i="4"/>
  <c r="S63" i="4"/>
  <c r="T63" i="4"/>
  <c r="F64" i="4"/>
  <c r="H64" i="4"/>
  <c r="I64" i="4"/>
  <c r="J64" i="4"/>
  <c r="K64" i="4"/>
  <c r="M64" i="4"/>
  <c r="O64" i="4"/>
  <c r="Q64" i="4"/>
  <c r="R64" i="4"/>
  <c r="S64" i="4"/>
  <c r="T64" i="4"/>
  <c r="F65" i="4"/>
  <c r="H65" i="4"/>
  <c r="I65" i="4"/>
  <c r="J65" i="4"/>
  <c r="K65" i="4"/>
  <c r="M65" i="4"/>
  <c r="O65" i="4"/>
  <c r="Q65" i="4"/>
  <c r="R65" i="4"/>
  <c r="S65" i="4"/>
  <c r="T65" i="4"/>
  <c r="F66" i="4"/>
  <c r="H66" i="4"/>
  <c r="I66" i="4"/>
  <c r="J66" i="4"/>
  <c r="K66" i="4"/>
  <c r="M66" i="4"/>
  <c r="O66" i="4"/>
  <c r="Q66" i="4"/>
  <c r="R66" i="4"/>
  <c r="S66" i="4"/>
  <c r="T66" i="4"/>
  <c r="F67" i="4"/>
  <c r="H67" i="4"/>
  <c r="I67" i="4"/>
  <c r="J67" i="4"/>
  <c r="K67" i="4"/>
  <c r="M67" i="4"/>
  <c r="O67" i="4"/>
  <c r="Q67" i="4"/>
  <c r="R67" i="4"/>
  <c r="S67" i="4"/>
  <c r="T67" i="4"/>
  <c r="F68" i="4"/>
  <c r="H68" i="4"/>
  <c r="I68" i="4"/>
  <c r="J68" i="4"/>
  <c r="K68" i="4"/>
  <c r="M68" i="4"/>
  <c r="O68" i="4"/>
  <c r="Q68" i="4"/>
  <c r="R68" i="4"/>
  <c r="S68" i="4"/>
  <c r="T68" i="4"/>
  <c r="F69" i="4"/>
  <c r="H69" i="4"/>
  <c r="I69" i="4"/>
  <c r="J69" i="4"/>
  <c r="K69" i="4"/>
  <c r="M69" i="4"/>
  <c r="O69" i="4"/>
  <c r="Q69" i="4"/>
  <c r="R69" i="4"/>
  <c r="S69" i="4"/>
  <c r="T69" i="4"/>
  <c r="F70" i="4"/>
  <c r="H70" i="4"/>
  <c r="I70" i="4"/>
  <c r="J70" i="4"/>
  <c r="K70" i="4"/>
  <c r="M70" i="4"/>
  <c r="O70" i="4"/>
  <c r="Q70" i="4"/>
  <c r="R70" i="4"/>
  <c r="S70" i="4"/>
  <c r="T70" i="4"/>
  <c r="F71" i="4"/>
  <c r="H71" i="4"/>
  <c r="I71" i="4"/>
  <c r="J71" i="4"/>
  <c r="K71" i="4"/>
  <c r="M71" i="4"/>
  <c r="O71" i="4"/>
  <c r="Q71" i="4"/>
  <c r="R71" i="4"/>
  <c r="S71" i="4"/>
  <c r="T71" i="4"/>
  <c r="F72" i="4"/>
  <c r="H72" i="4"/>
  <c r="I72" i="4"/>
  <c r="J72" i="4"/>
  <c r="K72" i="4"/>
  <c r="M72" i="4"/>
  <c r="O72" i="4"/>
  <c r="Q72" i="4"/>
  <c r="R72" i="4"/>
  <c r="S72" i="4"/>
  <c r="T72" i="4"/>
  <c r="F73" i="4"/>
  <c r="H73" i="4"/>
  <c r="I73" i="4"/>
  <c r="J73" i="4"/>
  <c r="K73" i="4"/>
  <c r="M73" i="4"/>
  <c r="O73" i="4"/>
  <c r="Q73" i="4"/>
  <c r="R73" i="4"/>
  <c r="S73" i="4"/>
  <c r="T73" i="4"/>
  <c r="F74" i="4"/>
  <c r="H74" i="4"/>
  <c r="I74" i="4"/>
  <c r="J74" i="4"/>
  <c r="K74" i="4"/>
  <c r="M74" i="4"/>
  <c r="O74" i="4"/>
  <c r="Q74" i="4"/>
  <c r="R74" i="4"/>
  <c r="S74" i="4"/>
  <c r="T74" i="4"/>
  <c r="F75" i="4"/>
  <c r="H75" i="4"/>
  <c r="I75" i="4"/>
  <c r="J75" i="4"/>
  <c r="K75" i="4"/>
  <c r="M75" i="4"/>
  <c r="O75" i="4"/>
  <c r="Q75" i="4"/>
  <c r="R75" i="4"/>
  <c r="S75" i="4"/>
  <c r="T75" i="4"/>
  <c r="F76" i="4"/>
  <c r="H76" i="4"/>
  <c r="I76" i="4"/>
  <c r="J76" i="4"/>
  <c r="K76" i="4"/>
  <c r="M76" i="4"/>
  <c r="O76" i="4"/>
  <c r="Q76" i="4"/>
  <c r="R76" i="4"/>
  <c r="S76" i="4"/>
  <c r="T76" i="4"/>
  <c r="F77" i="4"/>
  <c r="H77" i="4"/>
  <c r="I77" i="4"/>
  <c r="J77" i="4"/>
  <c r="K77" i="4"/>
  <c r="M77" i="4"/>
  <c r="O77" i="4"/>
  <c r="Q77" i="4"/>
  <c r="R77" i="4"/>
  <c r="S77" i="4"/>
  <c r="T77" i="4"/>
  <c r="F78" i="4"/>
  <c r="H78" i="4"/>
  <c r="I78" i="4"/>
  <c r="J78" i="4"/>
  <c r="K78" i="4"/>
  <c r="M78" i="4"/>
  <c r="O78" i="4"/>
  <c r="Q78" i="4"/>
  <c r="R78" i="4"/>
  <c r="S78" i="4"/>
  <c r="T78" i="4"/>
  <c r="F79" i="4"/>
  <c r="H79" i="4"/>
  <c r="I79" i="4"/>
  <c r="J79" i="4"/>
  <c r="K79" i="4"/>
  <c r="M79" i="4"/>
  <c r="O79" i="4"/>
  <c r="Q79" i="4"/>
  <c r="R79" i="4"/>
  <c r="S79" i="4"/>
  <c r="T79" i="4"/>
  <c r="F80" i="4"/>
  <c r="H80" i="4"/>
  <c r="I80" i="4"/>
  <c r="J80" i="4"/>
  <c r="K80" i="4"/>
  <c r="M80" i="4"/>
  <c r="O80" i="4"/>
  <c r="Q80" i="4"/>
  <c r="R80" i="4"/>
  <c r="S80" i="4"/>
  <c r="T80" i="4"/>
  <c r="F81" i="4"/>
  <c r="H81" i="4"/>
  <c r="I81" i="4"/>
  <c r="J81" i="4"/>
  <c r="K81" i="4"/>
  <c r="M81" i="4"/>
  <c r="O81" i="4"/>
  <c r="Q81" i="4"/>
  <c r="R81" i="4"/>
  <c r="S81" i="4"/>
  <c r="T81" i="4"/>
  <c r="F82" i="4"/>
  <c r="H82" i="4"/>
  <c r="I82" i="4"/>
  <c r="J82" i="4"/>
  <c r="K82" i="4"/>
  <c r="M82" i="4"/>
  <c r="O82" i="4"/>
  <c r="Q82" i="4"/>
  <c r="R82" i="4"/>
  <c r="S82" i="4"/>
  <c r="T82" i="4"/>
  <c r="F83" i="4"/>
  <c r="H83" i="4"/>
  <c r="I83" i="4"/>
  <c r="J83" i="4"/>
  <c r="K83" i="4"/>
  <c r="M83" i="4"/>
  <c r="O83" i="4"/>
  <c r="Q83" i="4"/>
  <c r="R83" i="4"/>
  <c r="S83" i="4"/>
  <c r="T83" i="4"/>
  <c r="F84" i="4"/>
  <c r="H84" i="4"/>
  <c r="I84" i="4"/>
  <c r="J84" i="4"/>
  <c r="K84" i="4"/>
  <c r="M84" i="4"/>
  <c r="O84" i="4"/>
  <c r="Q84" i="4"/>
  <c r="R84" i="4"/>
  <c r="S84" i="4"/>
  <c r="T84" i="4"/>
  <c r="F85" i="4"/>
  <c r="H85" i="4"/>
  <c r="I85" i="4"/>
  <c r="J85" i="4"/>
  <c r="K85" i="4"/>
  <c r="M85" i="4"/>
  <c r="O85" i="4"/>
  <c r="Q85" i="4"/>
  <c r="R85" i="4"/>
  <c r="S85" i="4"/>
  <c r="T85" i="4"/>
  <c r="F86" i="4"/>
  <c r="H86" i="4"/>
  <c r="I86" i="4"/>
  <c r="J86" i="4"/>
  <c r="K86" i="4"/>
  <c r="M86" i="4"/>
  <c r="O86" i="4"/>
  <c r="Q86" i="4"/>
  <c r="R86" i="4"/>
  <c r="S86" i="4"/>
  <c r="T86" i="4"/>
  <c r="F87" i="4"/>
  <c r="H87" i="4"/>
  <c r="I87" i="4"/>
  <c r="J87" i="4"/>
  <c r="K87" i="4"/>
  <c r="M87" i="4"/>
  <c r="O87" i="4"/>
  <c r="Q87" i="4"/>
  <c r="R87" i="4"/>
  <c r="S87" i="4"/>
  <c r="T87" i="4"/>
  <c r="F88" i="4"/>
  <c r="H88" i="4"/>
  <c r="I88" i="4"/>
  <c r="J88" i="4"/>
  <c r="K88" i="4"/>
  <c r="M88" i="4"/>
  <c r="O88" i="4"/>
  <c r="Q88" i="4"/>
  <c r="R88" i="4"/>
  <c r="S88" i="4"/>
  <c r="T88" i="4"/>
  <c r="F89" i="4"/>
  <c r="H89" i="4"/>
  <c r="I89" i="4"/>
  <c r="J89" i="4"/>
  <c r="K89" i="4"/>
  <c r="M89" i="4"/>
  <c r="O89" i="4"/>
  <c r="Q89" i="4"/>
  <c r="R89" i="4"/>
  <c r="S89" i="4"/>
  <c r="T89" i="4"/>
  <c r="F90" i="4"/>
  <c r="H90" i="4"/>
  <c r="I90" i="4"/>
  <c r="J90" i="4"/>
  <c r="K90" i="4"/>
  <c r="M90" i="4"/>
  <c r="O90" i="4"/>
  <c r="Q90" i="4"/>
  <c r="R90" i="4"/>
  <c r="S90" i="4"/>
  <c r="T90" i="4"/>
  <c r="F91" i="4"/>
  <c r="H91" i="4"/>
  <c r="I91" i="4"/>
  <c r="J91" i="4"/>
  <c r="K91" i="4"/>
  <c r="M91" i="4"/>
  <c r="O91" i="4"/>
  <c r="Q91" i="4"/>
  <c r="R91" i="4"/>
  <c r="S91" i="4"/>
  <c r="T91" i="4"/>
  <c r="F92" i="4"/>
  <c r="H92" i="4"/>
  <c r="I92" i="4"/>
  <c r="J92" i="4"/>
  <c r="K92" i="4"/>
  <c r="M92" i="4"/>
  <c r="O92" i="4"/>
  <c r="Q92" i="4"/>
  <c r="R92" i="4"/>
  <c r="S92" i="4"/>
  <c r="T92" i="4"/>
  <c r="F93" i="4"/>
  <c r="H93" i="4"/>
  <c r="I93" i="4"/>
  <c r="J93" i="4"/>
  <c r="K93" i="4"/>
  <c r="M93" i="4"/>
  <c r="O93" i="4"/>
  <c r="Q93" i="4"/>
  <c r="R93" i="4"/>
  <c r="S93" i="4"/>
  <c r="T93" i="4"/>
  <c r="F94" i="4"/>
  <c r="H94" i="4"/>
  <c r="I94" i="4"/>
  <c r="J94" i="4"/>
  <c r="K94" i="4"/>
  <c r="M94" i="4"/>
  <c r="O94" i="4"/>
  <c r="Q94" i="4"/>
  <c r="R94" i="4"/>
  <c r="S94" i="4"/>
  <c r="T94" i="4"/>
  <c r="F95" i="4"/>
  <c r="H95" i="4"/>
  <c r="I95" i="4"/>
  <c r="J95" i="4"/>
  <c r="K95" i="4"/>
  <c r="M95" i="4"/>
  <c r="O95" i="4"/>
  <c r="Q95" i="4"/>
  <c r="R95" i="4"/>
  <c r="S95" i="4"/>
  <c r="T95" i="4"/>
  <c r="F96" i="4"/>
  <c r="H96" i="4"/>
  <c r="I96" i="4"/>
  <c r="J96" i="4"/>
  <c r="K96" i="4"/>
  <c r="M96" i="4"/>
  <c r="O96" i="4"/>
  <c r="Q96" i="4"/>
  <c r="R96" i="4"/>
  <c r="S96" i="4"/>
  <c r="T96" i="4"/>
  <c r="F97" i="4"/>
  <c r="H97" i="4"/>
  <c r="I97" i="4"/>
  <c r="J97" i="4"/>
  <c r="K97" i="4"/>
  <c r="M97" i="4"/>
  <c r="O97" i="4"/>
  <c r="Q97" i="4"/>
  <c r="R97" i="4"/>
  <c r="S97" i="4"/>
  <c r="T97" i="4"/>
  <c r="F98" i="4"/>
  <c r="H98" i="4"/>
  <c r="I98" i="4"/>
  <c r="J98" i="4"/>
  <c r="K98" i="4"/>
  <c r="M98" i="4"/>
  <c r="O98" i="4"/>
  <c r="Q98" i="4"/>
  <c r="R98" i="4"/>
  <c r="S98" i="4"/>
  <c r="T98" i="4"/>
  <c r="F99" i="4"/>
  <c r="H99" i="4"/>
  <c r="I99" i="4"/>
  <c r="J99" i="4"/>
  <c r="K99" i="4"/>
  <c r="M99" i="4"/>
  <c r="O99" i="4"/>
  <c r="Q99" i="4"/>
  <c r="R99" i="4"/>
  <c r="S99" i="4"/>
  <c r="T99" i="4"/>
  <c r="F100" i="4"/>
  <c r="H100" i="4"/>
  <c r="I100" i="4"/>
  <c r="J100" i="4"/>
  <c r="K100" i="4"/>
  <c r="M100" i="4"/>
  <c r="O100" i="4"/>
  <c r="Q100" i="4"/>
  <c r="R100" i="4"/>
  <c r="S100" i="4"/>
  <c r="T100" i="4"/>
  <c r="F101" i="4"/>
  <c r="H101" i="4"/>
  <c r="I101" i="4"/>
  <c r="J101" i="4"/>
  <c r="K101" i="4"/>
  <c r="M101" i="4"/>
  <c r="O101" i="4"/>
  <c r="Q101" i="4"/>
  <c r="R101" i="4"/>
  <c r="S101" i="4"/>
  <c r="T101" i="4"/>
  <c r="F102" i="4"/>
  <c r="H102" i="4"/>
  <c r="I102" i="4"/>
  <c r="J102" i="4"/>
  <c r="K102" i="4"/>
  <c r="M102" i="4"/>
  <c r="O102" i="4"/>
  <c r="Q102" i="4"/>
  <c r="R102" i="4"/>
  <c r="S102" i="4"/>
  <c r="T102" i="4"/>
  <c r="C8" i="7"/>
  <c r="C12" i="7"/>
  <c r="C17" i="7"/>
  <c r="D17" i="7"/>
  <c r="E17" i="7"/>
  <c r="F17" i="7"/>
  <c r="C19" i="7"/>
  <c r="D19" i="7"/>
  <c r="E19" i="7"/>
  <c r="F19" i="7"/>
  <c r="C32" i="7"/>
  <c r="C33" i="7"/>
  <c r="E33" i="7"/>
  <c r="F33" i="7"/>
  <c r="C36" i="7"/>
</calcChain>
</file>

<file path=xl/sharedStrings.xml><?xml version="1.0" encoding="utf-8"?>
<sst xmlns="http://schemas.openxmlformats.org/spreadsheetml/2006/main" count="437" uniqueCount="372">
  <si>
    <t>After tax</t>
  </si>
  <si>
    <t>Compass Bank</t>
  </si>
  <si>
    <t xml:space="preserve">  Savings</t>
  </si>
  <si>
    <t>Total Cash</t>
  </si>
  <si>
    <t>401-K</t>
  </si>
  <si>
    <t xml:space="preserve">        Total</t>
  </si>
  <si>
    <t>GRANT</t>
  </si>
  <si>
    <t>MARKET</t>
  </si>
  <si>
    <t>ESOP</t>
  </si>
  <si>
    <t>AETNA</t>
  </si>
  <si>
    <t xml:space="preserve">   APM</t>
  </si>
  <si>
    <t xml:space="preserve">      Total Waterhouse</t>
  </si>
  <si>
    <t xml:space="preserve">    CSCO</t>
  </si>
  <si>
    <t xml:space="preserve">    AXP</t>
  </si>
  <si>
    <t xml:space="preserve">    GE</t>
  </si>
  <si>
    <t xml:space="preserve">       Total S. B.</t>
  </si>
  <si>
    <t>IRA</t>
  </si>
  <si>
    <t xml:space="preserve">   Schwab-Phillip</t>
  </si>
  <si>
    <t xml:space="preserve">   Schwab-Heather</t>
  </si>
  <si>
    <t xml:space="preserve">      Total College</t>
  </si>
  <si>
    <t xml:space="preserve">Janus </t>
  </si>
  <si>
    <t xml:space="preserve">   Twenty</t>
  </si>
  <si>
    <t xml:space="preserve">   Mercury</t>
  </si>
  <si>
    <t xml:space="preserve">   Enterprise</t>
  </si>
  <si>
    <t xml:space="preserve">     Total Janus</t>
  </si>
  <si>
    <t>2nd Baptist</t>
  </si>
  <si>
    <t xml:space="preserve">   Fidelity Magellan</t>
  </si>
  <si>
    <t xml:space="preserve">   Fidelity Contrafund</t>
  </si>
  <si>
    <t xml:space="preserve">   Fidelity Pacific Basin</t>
  </si>
  <si>
    <t xml:space="preserve">      Total</t>
  </si>
  <si>
    <t>Long Term Comp</t>
  </si>
  <si>
    <t xml:space="preserve">  Phantom 1</t>
  </si>
  <si>
    <t xml:space="preserve">  Phantom 2</t>
  </si>
  <si>
    <t>Grand Total</t>
  </si>
  <si>
    <t>97 OPT</t>
  </si>
  <si>
    <t>98 PHANT</t>
  </si>
  <si>
    <t>98 OPT</t>
  </si>
  <si>
    <t>TOTAL UNEARNED</t>
  </si>
  <si>
    <t>Adjusted Total</t>
  </si>
  <si>
    <t>after tax</t>
  </si>
  <si>
    <t xml:space="preserve">   MSFT</t>
  </si>
  <si>
    <t>WCOM</t>
  </si>
  <si>
    <t>House</t>
  </si>
  <si>
    <t>College</t>
  </si>
  <si>
    <t>Retirement</t>
  </si>
  <si>
    <t>ENE</t>
  </si>
  <si>
    <t>99 PHANT</t>
  </si>
  <si>
    <t>99 OPT</t>
  </si>
  <si>
    <t>American Century Mutual Fund</t>
  </si>
  <si>
    <t xml:space="preserve">   022-001060395</t>
  </si>
  <si>
    <t xml:space="preserve">   022-001562819</t>
  </si>
  <si>
    <t>Stmt Date</t>
  </si>
  <si>
    <t>3/31/99</t>
  </si>
  <si>
    <t xml:space="preserve">    C</t>
  </si>
  <si>
    <t>SMITH BARNEY(104-17191-11 467)</t>
  </si>
  <si>
    <t>Vanguard Index 500 (9900359140)</t>
  </si>
  <si>
    <t xml:space="preserve">  Checking (0077056025)</t>
  </si>
  <si>
    <t>4/21/99</t>
  </si>
  <si>
    <t>Futures Account(ED&amp;F Man 816 006 00569)</t>
  </si>
  <si>
    <t>Deferral Plan 463-06-5796</t>
  </si>
  <si>
    <t>WATERHOUSE(350-39877-1-5)</t>
  </si>
  <si>
    <t>Stage Coach Inn</t>
  </si>
  <si>
    <t>Total</t>
  </si>
  <si>
    <t>Goal</t>
  </si>
  <si>
    <t>Education</t>
  </si>
  <si>
    <t>Real Estate</t>
  </si>
  <si>
    <t>12.31.99</t>
  </si>
  <si>
    <t>1.14.00</t>
  </si>
  <si>
    <t>total</t>
  </si>
  <si>
    <t>Income</t>
  </si>
  <si>
    <t>Bonds</t>
  </si>
  <si>
    <t>Cash</t>
  </si>
  <si>
    <t>2/01/2001</t>
  </si>
  <si>
    <t>2/01/2002</t>
  </si>
  <si>
    <t>Equities</t>
  </si>
  <si>
    <t>Slab</t>
  </si>
  <si>
    <t>Frame</t>
  </si>
  <si>
    <t>Windows</t>
  </si>
  <si>
    <t>roof</t>
  </si>
  <si>
    <t>exterior</t>
  </si>
  <si>
    <t>a/c</t>
  </si>
  <si>
    <t>plumb</t>
  </si>
  <si>
    <t>electric</t>
  </si>
  <si>
    <t>floor</t>
  </si>
  <si>
    <t>appliances</t>
  </si>
  <si>
    <t>lights&amp;fans</t>
  </si>
  <si>
    <t>sheetrock</t>
  </si>
  <si>
    <t>trim</t>
  </si>
  <si>
    <t>garage door</t>
  </si>
  <si>
    <t>paint</t>
  </si>
  <si>
    <t>insulation</t>
  </si>
  <si>
    <t>driveway</t>
  </si>
  <si>
    <t>landscape</t>
  </si>
  <si>
    <t>00 PHANT</t>
  </si>
  <si>
    <t>00 OPT</t>
  </si>
  <si>
    <t xml:space="preserve">  Phantom 3</t>
  </si>
  <si>
    <t>Cash Plan</t>
  </si>
  <si>
    <t>cabinet-kitchen</t>
  </si>
  <si>
    <t>counter-kitchen</t>
  </si>
  <si>
    <t>.</t>
  </si>
  <si>
    <t>Work</t>
  </si>
  <si>
    <t>Family</t>
  </si>
  <si>
    <t>Play</t>
  </si>
  <si>
    <t>Charity</t>
  </si>
  <si>
    <t>Teach</t>
  </si>
  <si>
    <t>Own Prop.</t>
  </si>
  <si>
    <t>Real Est.</t>
  </si>
  <si>
    <t>Develop</t>
  </si>
  <si>
    <t>House Bldr</t>
  </si>
  <si>
    <t>Coach</t>
  </si>
  <si>
    <t>Camp</t>
  </si>
  <si>
    <t>Tennis</t>
  </si>
  <si>
    <t>Golf</t>
  </si>
  <si>
    <t>Lots of time</t>
  </si>
  <si>
    <t>Exercise</t>
  </si>
  <si>
    <t>Bike</t>
  </si>
  <si>
    <t>Golf/Tennis</t>
  </si>
  <si>
    <t>Money</t>
  </si>
  <si>
    <t>Time</t>
  </si>
  <si>
    <t>Church</t>
  </si>
  <si>
    <t>Dream day</t>
  </si>
  <si>
    <t>Take kids to practice</t>
  </si>
  <si>
    <t>5:30-7:00</t>
  </si>
  <si>
    <t>Dinner/Clean up</t>
  </si>
  <si>
    <t>7:00-9:00</t>
  </si>
  <si>
    <t>9:00</t>
  </si>
  <si>
    <t>Bed time</t>
  </si>
  <si>
    <t>6:00-7:15</t>
  </si>
  <si>
    <t>Breakfast &amp; Dressed</t>
  </si>
  <si>
    <t>12:00-1:00</t>
  </si>
  <si>
    <t>Lunch</t>
  </si>
  <si>
    <t>1:00-3:00</t>
  </si>
  <si>
    <t>Afternoon Activity</t>
  </si>
  <si>
    <t>3:30-5:30</t>
  </si>
  <si>
    <t>alt. W/ Heather</t>
  </si>
  <si>
    <t>Homework/Relax</t>
  </si>
  <si>
    <t>5:45-6:45</t>
  </si>
  <si>
    <t>6:45-7:30</t>
  </si>
  <si>
    <t>7:30-3:30</t>
  </si>
  <si>
    <t>Activity w/ kids</t>
  </si>
  <si>
    <t>part-time/</t>
  </si>
  <si>
    <t>apts. Only</t>
  </si>
  <si>
    <t>teaching</t>
  </si>
  <si>
    <t>most likely</t>
  </si>
  <si>
    <t>Trade</t>
  </si>
  <si>
    <t>Summer trips</t>
  </si>
  <si>
    <t>H-dream house</t>
  </si>
  <si>
    <t>earnings</t>
  </si>
  <si>
    <t>beg. Princ</t>
  </si>
  <si>
    <t xml:space="preserve">   Stage Coach</t>
  </si>
  <si>
    <t xml:space="preserve">   Class B Apt</t>
  </si>
  <si>
    <t xml:space="preserve">   Elderly</t>
  </si>
  <si>
    <t xml:space="preserve">   Development</t>
  </si>
  <si>
    <t xml:space="preserve">   Resort</t>
  </si>
  <si>
    <t>qqq</t>
  </si>
  <si>
    <t>Real Estate Tax</t>
  </si>
  <si>
    <t>House Insurance</t>
  </si>
  <si>
    <t>Electric</t>
  </si>
  <si>
    <t>Phone</t>
  </si>
  <si>
    <t>Gas</t>
  </si>
  <si>
    <t>Internet</t>
  </si>
  <si>
    <t>Water</t>
  </si>
  <si>
    <t>Car Insurance</t>
  </si>
  <si>
    <t>Car Maintenance</t>
  </si>
  <si>
    <t>Groceries</t>
  </si>
  <si>
    <t>Entertain</t>
  </si>
  <si>
    <t>Clothes</t>
  </si>
  <si>
    <t>Household</t>
  </si>
  <si>
    <t>Medical</t>
  </si>
  <si>
    <t>Vacation</t>
  </si>
  <si>
    <t>Gifts</t>
  </si>
  <si>
    <t>X-mas</t>
  </si>
  <si>
    <t>Total Monthly</t>
  </si>
  <si>
    <t>Total Annual</t>
  </si>
  <si>
    <t>Insurance</t>
  </si>
  <si>
    <t>Maintenance</t>
  </si>
  <si>
    <t>Stocks</t>
  </si>
  <si>
    <t>Property</t>
  </si>
  <si>
    <t>Bishop</t>
  </si>
  <si>
    <t>San Antonio</t>
  </si>
  <si>
    <t>123</t>
  </si>
  <si>
    <t>Townhouse</t>
  </si>
  <si>
    <t>Scott</t>
  </si>
  <si>
    <t>Harvey</t>
  </si>
  <si>
    <t xml:space="preserve">  Total</t>
  </si>
  <si>
    <t xml:space="preserve">Proposed </t>
  </si>
  <si>
    <t>Kids School</t>
  </si>
  <si>
    <t>Kids Activities</t>
  </si>
  <si>
    <t>Pool/Country Club</t>
  </si>
  <si>
    <t>Misc</t>
  </si>
  <si>
    <t>Commercial</t>
  </si>
  <si>
    <t>drawdown</t>
  </si>
  <si>
    <t>Retirement at 50</t>
  </si>
  <si>
    <t>assuming 10%</t>
  </si>
  <si>
    <t>income required</t>
  </si>
  <si>
    <t>Retirement Schedule</t>
  </si>
  <si>
    <t>Years before 55</t>
  </si>
  <si>
    <t>inflation rate</t>
  </si>
  <si>
    <t>tax</t>
  </si>
  <si>
    <t>00 bonus</t>
  </si>
  <si>
    <t>Music Lesson</t>
  </si>
  <si>
    <t>8/00 options</t>
  </si>
  <si>
    <t>Paine Weber</t>
  </si>
  <si>
    <t>Gas/Propane</t>
  </si>
  <si>
    <t>AMGN</t>
  </si>
  <si>
    <t>JDSU</t>
  </si>
  <si>
    <t>CLRS</t>
  </si>
  <si>
    <t>NT</t>
  </si>
  <si>
    <t>2/01/2003</t>
  </si>
  <si>
    <t>Retirement(Stock)</t>
  </si>
  <si>
    <t>1st year</t>
  </si>
  <si>
    <t>wages aft.enron</t>
  </si>
  <si>
    <t>QQQ</t>
  </si>
  <si>
    <t>CASH</t>
  </si>
  <si>
    <t>MSFT</t>
  </si>
  <si>
    <t>SPY</t>
  </si>
  <si>
    <t>RETIREMENT</t>
  </si>
  <si>
    <t>INCOME</t>
  </si>
  <si>
    <t>COLLEGE</t>
  </si>
  <si>
    <t>YR 23+</t>
  </si>
  <si>
    <t>YR 02-22</t>
  </si>
  <si>
    <t>San Marcos</t>
  </si>
  <si>
    <t>x</t>
  </si>
  <si>
    <t>Jan 01 vesting</t>
  </si>
  <si>
    <t>Jan 02 vesting</t>
  </si>
  <si>
    <t xml:space="preserve">   total</t>
  </si>
  <si>
    <t>00 Deferred Salary</t>
  </si>
  <si>
    <t>4 baths</t>
  </si>
  <si>
    <t>fireplaces</t>
  </si>
  <si>
    <t>stairs+railings</t>
  </si>
  <si>
    <t>Income Funds</t>
  </si>
  <si>
    <t>02 Bonus</t>
  </si>
  <si>
    <t>design</t>
  </si>
  <si>
    <t>Sub-total</t>
  </si>
  <si>
    <t>contractor fee</t>
  </si>
  <si>
    <t>trading</t>
  </si>
  <si>
    <t>pros</t>
  </si>
  <si>
    <t>high pay</t>
  </si>
  <si>
    <t>time passes fast</t>
  </si>
  <si>
    <t>cons</t>
  </si>
  <si>
    <t>emotional roller coaster</t>
  </si>
  <si>
    <t>all consuming</t>
  </si>
  <si>
    <t>houston</t>
  </si>
  <si>
    <t>retirement</t>
  </si>
  <si>
    <t>no purpose</t>
  </si>
  <si>
    <t>family</t>
  </si>
  <si>
    <t>freedom</t>
  </si>
  <si>
    <t>leisure activities</t>
  </si>
  <si>
    <t>no stress</t>
  </si>
  <si>
    <t>boring?</t>
  </si>
  <si>
    <t>no paycheck</t>
  </si>
  <si>
    <t>dream house</t>
  </si>
  <si>
    <t>no contact w/ smart people</t>
  </si>
  <si>
    <t>create dream life?</t>
  </si>
  <si>
    <t>minimum</t>
  </si>
  <si>
    <t>goal</t>
  </si>
  <si>
    <t>well&amp;septic&amp;rain</t>
  </si>
  <si>
    <t>Accountant</t>
  </si>
  <si>
    <t>Karate</t>
  </si>
  <si>
    <t>Sailing</t>
  </si>
  <si>
    <t xml:space="preserve">Habitat </t>
  </si>
  <si>
    <t>Child Advocate</t>
  </si>
  <si>
    <t>per unit cost</t>
  </si>
  <si>
    <t>interior doors</t>
  </si>
  <si>
    <t>exterior doors</t>
  </si>
  <si>
    <t>Frugal</t>
  </si>
  <si>
    <t>New Business</t>
  </si>
  <si>
    <t># of units</t>
  </si>
  <si>
    <t>Total cost</t>
  </si>
  <si>
    <t>Per sq. ft.</t>
  </si>
  <si>
    <t>faswall shell</t>
  </si>
  <si>
    <t xml:space="preserve"> </t>
  </si>
  <si>
    <t>Conventional</t>
  </si>
  <si>
    <t>Enron??</t>
  </si>
  <si>
    <t>1/23</t>
  </si>
  <si>
    <t>1/24</t>
  </si>
  <si>
    <t>Short 1000 ene</t>
  </si>
  <si>
    <t>Pool</t>
  </si>
  <si>
    <t>Sport Court</t>
  </si>
  <si>
    <t>Boat</t>
  </si>
  <si>
    <t>Furnishings</t>
  </si>
  <si>
    <t>stage</t>
  </si>
  <si>
    <t>commision</t>
  </si>
  <si>
    <t>title policy</t>
  </si>
  <si>
    <t>note</t>
  </si>
  <si>
    <t>cash to seller</t>
  </si>
  <si>
    <t>cash from buyer</t>
  </si>
  <si>
    <t>assumption</t>
  </si>
  <si>
    <t>noi</t>
  </si>
  <si>
    <t>cash flow</t>
  </si>
  <si>
    <t>return on cash</t>
  </si>
  <si>
    <t>2nd lien</t>
  </si>
  <si>
    <t>cash</t>
  </si>
  <si>
    <t>1 st note</t>
  </si>
  <si>
    <t>2nd note</t>
  </si>
  <si>
    <t>1/01 options</t>
  </si>
  <si>
    <t>1/01 PHANT</t>
  </si>
  <si>
    <t>1/2002</t>
  </si>
  <si>
    <t>1/2003</t>
  </si>
  <si>
    <t>strike</t>
  </si>
  <si>
    <t>1/2004</t>
  </si>
  <si>
    <t>8/2002</t>
  </si>
  <si>
    <t>1/02 $90 calls</t>
  </si>
  <si>
    <t>00 bonus phan.</t>
  </si>
  <si>
    <t>accel phant</t>
  </si>
  <si>
    <t>outside w</t>
  </si>
  <si>
    <t>inside w</t>
  </si>
  <si>
    <t>end wall</t>
  </si>
  <si>
    <t>garage doors</t>
  </si>
  <si>
    <t>ext door</t>
  </si>
  <si>
    <t>windows</t>
  </si>
  <si>
    <t>Boating</t>
  </si>
  <si>
    <t>charitable time</t>
  </si>
  <si>
    <t>good at it??</t>
  </si>
  <si>
    <t>legal fees</t>
  </si>
  <si>
    <t>Goals</t>
  </si>
  <si>
    <t>More family time</t>
  </si>
  <si>
    <t>Less stress</t>
  </si>
  <si>
    <t>Leave Houston</t>
  </si>
  <si>
    <t>More outdoor activity</t>
  </si>
  <si>
    <t>Heather's dream house</t>
  </si>
  <si>
    <t>More church/volunteer time</t>
  </si>
  <si>
    <t>Hobbies</t>
  </si>
  <si>
    <t>Find enjoyable part time work</t>
  </si>
  <si>
    <t>01 deferred Salary</t>
  </si>
  <si>
    <t>7:15-8:15</t>
  </si>
  <si>
    <t>8:30-12:00</t>
  </si>
  <si>
    <t>10/30</t>
  </si>
  <si>
    <t>12/20</t>
  </si>
  <si>
    <t>12/12</t>
  </si>
  <si>
    <t>12/11</t>
  </si>
  <si>
    <t>7/27,8/8,8/17,9/14</t>
  </si>
  <si>
    <t>10/13</t>
  </si>
  <si>
    <t>subtotal</t>
  </si>
  <si>
    <t>total if phantom</t>
  </si>
  <si>
    <t>Total paine weber</t>
  </si>
  <si>
    <t>1/02 $70 calls</t>
  </si>
  <si>
    <t>1/02 $50 calls</t>
  </si>
  <si>
    <t>Out of Money</t>
  </si>
  <si>
    <t>Short 5000 Jan 02 $70 calls</t>
  </si>
  <si>
    <t>Short 5000 Jan 02 $50 calls</t>
  </si>
  <si>
    <t>options</t>
  </si>
  <si>
    <t>current</t>
  </si>
  <si>
    <t>liquid</t>
  </si>
  <si>
    <t>Short Jan 02 $90 calls</t>
  </si>
  <si>
    <t>land</t>
  </si>
  <si>
    <t>case 1</t>
  </si>
  <si>
    <t>case 2</t>
  </si>
  <si>
    <t>interim</t>
  </si>
  <si>
    <t>common areas</t>
  </si>
  <si>
    <t>sitework</t>
  </si>
  <si>
    <t>unit cost</t>
  </si>
  <si>
    <t>cost/unit (134)</t>
  </si>
  <si>
    <t>loan amount(80%cost)</t>
  </si>
  <si>
    <t>profit &amp; overhead(15%)</t>
  </si>
  <si>
    <t>NOI</t>
  </si>
  <si>
    <t>appraisal</t>
  </si>
  <si>
    <t>perm. Loan amount</t>
  </si>
  <si>
    <t>debt service</t>
  </si>
  <si>
    <t>cash after d.s.</t>
  </si>
  <si>
    <t>invested equity</t>
  </si>
  <si>
    <t>Hedges</t>
  </si>
  <si>
    <t>Deep in the Money</t>
  </si>
  <si>
    <t>total owned</t>
  </si>
  <si>
    <t>hedges</t>
  </si>
  <si>
    <t>Net deep in money</t>
  </si>
  <si>
    <t>Net Out of Money</t>
  </si>
  <si>
    <t>2001 PSU</t>
  </si>
  <si>
    <t>ene</t>
  </si>
  <si>
    <t>3/12</t>
  </si>
  <si>
    <t>3/5</t>
  </si>
  <si>
    <t>Short Jan 02 $60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</si>
</sst>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_)"/>
    <numFmt numFmtId="166" formatCode="0.0_)"/>
    <numFmt numFmtId="167" formatCode="0.00_)"/>
    <numFmt numFmtId="169" formatCode="_(&quot;$&quot;* #,##0_);_(&quot;$&quot;* \(#,##0\);_(&quot;$&quot;* &quot;-&quot;??_);_(@_)"/>
    <numFmt numFmtId="171" formatCode="_(* #,##0_);_(* \(#,##0\);_(* &quot;-&quot;??_);_(@_)"/>
    <numFmt numFmtId="172" formatCode="0.0%"/>
    <numFmt numFmtId="177" formatCode="0.000_)"/>
  </numFmts>
  <fonts count="12">
    <font>
      <sz val="12"/>
      <name val="Arial MT"/>
    </font>
    <font>
      <sz val="10"/>
      <name val="Arial"/>
    </font>
    <font>
      <sz val="12"/>
      <color indexed="8"/>
      <name val="Arial MT"/>
    </font>
    <font>
      <u/>
      <sz val="12"/>
      <color indexed="8"/>
      <name val="Arial MT"/>
    </font>
    <font>
      <sz val="12"/>
      <color indexed="10"/>
      <name val="Arial MT"/>
    </font>
    <font>
      <b/>
      <sz val="12"/>
      <color indexed="8"/>
      <name val="Arial MT"/>
    </font>
    <font>
      <b/>
      <u/>
      <sz val="12"/>
      <name val="Arial MT"/>
    </font>
    <font>
      <b/>
      <sz val="12"/>
      <name val="Arial MT"/>
    </font>
    <font>
      <u/>
      <sz val="12"/>
      <name val="Arial MT"/>
    </font>
    <font>
      <sz val="12"/>
      <name val="Arial MT"/>
    </font>
    <font>
      <b/>
      <u val="singleAccounting"/>
      <sz val="12"/>
      <name val="Arial MT"/>
    </font>
    <font>
      <u val="singleAccounting"/>
      <sz val="12"/>
      <name val="Arial MT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165" fontId="0" fillId="0" borderId="0" xfId="0"/>
    <xf numFmtId="37" fontId="0" fillId="0" borderId="0" xfId="0" applyNumberFormat="1" applyProtection="1"/>
    <xf numFmtId="165" fontId="2" fillId="0" borderId="0" xfId="0" applyFont="1" applyProtection="1"/>
    <xf numFmtId="164" fontId="2" fillId="0" borderId="0" xfId="0" applyNumberFormat="1" applyFont="1" applyProtection="1"/>
    <xf numFmtId="37" fontId="2" fillId="0" borderId="0" xfId="0" applyNumberFormat="1" applyFont="1" applyProtection="1"/>
    <xf numFmtId="165" fontId="3" fillId="0" borderId="0" xfId="0" applyFont="1" applyProtection="1"/>
    <xf numFmtId="167" fontId="2" fillId="0" borderId="0" xfId="0" applyNumberFormat="1" applyFont="1" applyProtection="1"/>
    <xf numFmtId="165" fontId="0" fillId="0" borderId="0" xfId="0" quotePrefix="1"/>
    <xf numFmtId="165" fontId="5" fillId="0" borderId="0" xfId="0" applyFont="1" applyProtection="1"/>
    <xf numFmtId="165" fontId="0" fillId="2" borderId="0" xfId="0" applyFill="1"/>
    <xf numFmtId="165" fontId="0" fillId="0" borderId="0" xfId="0" applyFill="1"/>
    <xf numFmtId="169" fontId="0" fillId="0" borderId="0" xfId="2" applyNumberFormat="1" applyFont="1" applyProtection="1"/>
    <xf numFmtId="165" fontId="6" fillId="0" borderId="0" xfId="0" quotePrefix="1" applyFont="1" applyAlignment="1">
      <alignment horizontal="right"/>
    </xf>
    <xf numFmtId="165" fontId="6" fillId="0" borderId="0" xfId="0" applyFont="1" applyAlignment="1">
      <alignment horizontal="right"/>
    </xf>
    <xf numFmtId="165" fontId="7" fillId="0" borderId="0" xfId="0" applyFont="1"/>
    <xf numFmtId="9" fontId="0" fillId="0" borderId="0" xfId="3" applyFont="1"/>
    <xf numFmtId="165" fontId="8" fillId="0" borderId="0" xfId="0" applyFont="1"/>
    <xf numFmtId="165" fontId="8" fillId="0" borderId="0" xfId="0" quotePrefix="1" applyFont="1" applyAlignment="1">
      <alignment horizontal="right"/>
    </xf>
    <xf numFmtId="165" fontId="8" fillId="0" borderId="0" xfId="0" quotePrefix="1" applyFont="1"/>
    <xf numFmtId="37" fontId="4" fillId="0" borderId="0" xfId="0" applyNumberFormat="1" applyFont="1" applyFill="1" applyProtection="1"/>
    <xf numFmtId="167" fontId="0" fillId="0" borderId="0" xfId="0" applyNumberFormat="1"/>
    <xf numFmtId="37" fontId="9" fillId="3" borderId="0" xfId="0" applyNumberFormat="1" applyFont="1" applyFill="1" applyProtection="1"/>
    <xf numFmtId="171" fontId="0" fillId="0" borderId="0" xfId="1" applyNumberFormat="1" applyFont="1"/>
    <xf numFmtId="171" fontId="10" fillId="0" borderId="0" xfId="1" applyNumberFormat="1" applyFont="1"/>
    <xf numFmtId="165" fontId="6" fillId="0" borderId="0" xfId="0" applyFont="1"/>
    <xf numFmtId="172" fontId="0" fillId="0" borderId="0" xfId="3" applyNumberFormat="1" applyFont="1"/>
    <xf numFmtId="165" fontId="0" fillId="0" borderId="0" xfId="0" applyNumberFormat="1"/>
    <xf numFmtId="171" fontId="0" fillId="3" borderId="0" xfId="1" applyNumberFormat="1" applyFont="1" applyFill="1"/>
    <xf numFmtId="165" fontId="0" fillId="0" borderId="0" xfId="0" applyAlignment="1">
      <alignment horizontal="center"/>
    </xf>
    <xf numFmtId="171" fontId="0" fillId="4" borderId="0" xfId="1" applyNumberFormat="1" applyFont="1" applyFill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0" xfId="0" quotePrefix="1" applyFont="1" applyAlignment="1">
      <alignment horizontal="center"/>
    </xf>
    <xf numFmtId="169" fontId="0" fillId="0" borderId="0" xfId="2" applyNumberFormat="1" applyFont="1"/>
    <xf numFmtId="165" fontId="0" fillId="5" borderId="0" xfId="0" applyFill="1"/>
    <xf numFmtId="165" fontId="0" fillId="6" borderId="0" xfId="0" applyFill="1"/>
    <xf numFmtId="166" fontId="0" fillId="0" borderId="0" xfId="0" applyNumberFormat="1"/>
    <xf numFmtId="37" fontId="9" fillId="2" borderId="0" xfId="0" applyNumberFormat="1" applyFont="1" applyFill="1" applyProtection="1"/>
    <xf numFmtId="37" fontId="9" fillId="5" borderId="0" xfId="0" applyNumberFormat="1" applyFont="1" applyFill="1" applyProtection="1"/>
    <xf numFmtId="37" fontId="9" fillId="6" borderId="0" xfId="0" applyNumberFormat="1" applyFont="1" applyFill="1" applyProtection="1"/>
    <xf numFmtId="44" fontId="0" fillId="0" borderId="0" xfId="2" applyFont="1"/>
    <xf numFmtId="171" fontId="11" fillId="0" borderId="0" xfId="1" applyNumberFormat="1" applyFont="1"/>
    <xf numFmtId="165" fontId="2" fillId="2" borderId="0" xfId="0" applyFont="1" applyFill="1" applyProtection="1"/>
    <xf numFmtId="165" fontId="0" fillId="3" borderId="0" xfId="0" applyFill="1"/>
    <xf numFmtId="171" fontId="0" fillId="0" borderId="0" xfId="1" applyNumberFormat="1" applyFont="1" applyAlignment="1">
      <alignment horizontal="center"/>
    </xf>
    <xf numFmtId="171" fontId="8" fillId="0" borderId="0" xfId="1" applyNumberFormat="1" applyFont="1" applyAlignment="1">
      <alignment horizontal="center"/>
    </xf>
    <xf numFmtId="171" fontId="11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4" borderId="0" xfId="0" applyFill="1"/>
    <xf numFmtId="165" fontId="2" fillId="4" borderId="0" xfId="0" applyFont="1" applyFill="1" applyProtection="1"/>
    <xf numFmtId="165" fontId="2" fillId="0" borderId="0" xfId="0" applyFont="1" applyFill="1" applyProtection="1"/>
    <xf numFmtId="165" fontId="8" fillId="0" borderId="0" xfId="0" applyFont="1" applyAlignment="1">
      <alignment horizontal="center"/>
    </xf>
    <xf numFmtId="165" fontId="0" fillId="7" borderId="0" xfId="0" applyFill="1"/>
    <xf numFmtId="9" fontId="0" fillId="0" borderId="0" xfId="3" quotePrefix="1" applyFont="1"/>
    <xf numFmtId="165" fontId="7" fillId="8" borderId="0" xfId="0" applyFont="1" applyFill="1"/>
    <xf numFmtId="165" fontId="0" fillId="8" borderId="0" xfId="0" applyFill="1"/>
    <xf numFmtId="177" fontId="0" fillId="8" borderId="0" xfId="0" applyNumberFormat="1" applyFill="1"/>
    <xf numFmtId="165" fontId="0" fillId="9" borderId="0" xfId="0" applyFill="1"/>
    <xf numFmtId="165" fontId="0" fillId="9" borderId="0" xfId="0" quotePrefix="1" applyFill="1"/>
    <xf numFmtId="165" fontId="7" fillId="9" borderId="0" xfId="0" applyFont="1" applyFill="1"/>
    <xf numFmtId="177" fontId="0" fillId="9" borderId="0" xfId="0" applyNumberFormat="1" applyFill="1"/>
    <xf numFmtId="165" fontId="7" fillId="10" borderId="0" xfId="0" applyFont="1" applyFill="1"/>
    <xf numFmtId="171" fontId="0" fillId="10" borderId="0" xfId="1" applyNumberFormat="1" applyFont="1" applyFill="1"/>
    <xf numFmtId="165" fontId="0" fillId="10" borderId="0" xfId="0" applyFill="1"/>
    <xf numFmtId="165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M34" workbookViewId="0">
      <selection activeCell="P50" sqref="P50"/>
    </sheetView>
  </sheetViews>
  <sheetFormatPr defaultRowHeight="15"/>
  <cols>
    <col min="2" max="2" width="10.08984375" customWidth="1"/>
    <col min="3" max="3" width="9.6328125" customWidth="1"/>
    <col min="4" max="4" width="10.6328125" customWidth="1"/>
    <col min="6" max="6" width="12.54296875" customWidth="1"/>
    <col min="7" max="7" width="11" bestFit="1" customWidth="1"/>
    <col min="8" max="8" width="14.1796875" style="22" customWidth="1"/>
    <col min="9" max="9" width="12.90625" style="22" customWidth="1"/>
    <col min="10" max="10" width="11.36328125" style="22" customWidth="1"/>
    <col min="11" max="11" width="9.81640625" customWidth="1"/>
    <col min="12" max="12" width="6.54296875" style="22" customWidth="1"/>
    <col min="13" max="14" width="15.90625" style="22" customWidth="1"/>
    <col min="15" max="15" width="11" customWidth="1"/>
    <col min="16" max="16" width="11.90625" customWidth="1"/>
    <col min="17" max="17" width="12.1796875" customWidth="1"/>
    <col min="18" max="18" width="11.81640625" customWidth="1"/>
    <col min="19" max="19" width="10.90625" customWidth="1"/>
    <col min="21" max="21" width="17.90625" customWidth="1"/>
    <col min="22" max="22" width="11" bestFit="1" customWidth="1"/>
  </cols>
  <sheetData>
    <row r="1" spans="1:19" ht="15.6">
      <c r="A1" s="24" t="s">
        <v>315</v>
      </c>
      <c r="C1" s="24"/>
      <c r="D1" s="24"/>
      <c r="E1" s="24"/>
      <c r="I1" s="22" t="s">
        <v>235</v>
      </c>
      <c r="K1" t="s">
        <v>243</v>
      </c>
    </row>
    <row r="2" spans="1:19" ht="16.8">
      <c r="A2" t="s">
        <v>316</v>
      </c>
      <c r="C2" s="28"/>
      <c r="D2" s="28"/>
      <c r="E2" s="28"/>
      <c r="G2" s="40"/>
      <c r="I2" s="41" t="s">
        <v>236</v>
      </c>
      <c r="K2" s="41" t="s">
        <v>236</v>
      </c>
    </row>
    <row r="3" spans="1:19">
      <c r="A3" t="s">
        <v>317</v>
      </c>
      <c r="B3" s="7"/>
      <c r="C3" s="28"/>
      <c r="D3" s="28"/>
      <c r="E3" s="28"/>
      <c r="G3" s="26"/>
      <c r="I3" s="22" t="s">
        <v>237</v>
      </c>
      <c r="K3" t="s">
        <v>245</v>
      </c>
      <c r="P3" t="s">
        <v>286</v>
      </c>
      <c r="Q3" t="s">
        <v>285</v>
      </c>
    </row>
    <row r="4" spans="1:19">
      <c r="A4" t="s">
        <v>318</v>
      </c>
      <c r="B4" s="7"/>
      <c r="C4" s="28"/>
      <c r="D4" s="28"/>
      <c r="E4" s="28"/>
      <c r="I4" s="22" t="s">
        <v>238</v>
      </c>
      <c r="K4" t="s">
        <v>246</v>
      </c>
      <c r="O4" t="s">
        <v>281</v>
      </c>
      <c r="P4">
        <v>739000</v>
      </c>
      <c r="Q4">
        <f>P4</f>
        <v>739000</v>
      </c>
    </row>
    <row r="5" spans="1:19">
      <c r="A5" t="s">
        <v>319</v>
      </c>
      <c r="C5" s="28"/>
      <c r="D5" s="28"/>
      <c r="E5" s="28"/>
      <c r="I5" s="22" t="s">
        <v>313</v>
      </c>
      <c r="K5" t="s">
        <v>247</v>
      </c>
      <c r="O5" t="s">
        <v>282</v>
      </c>
      <c r="Q5">
        <f>Q4*0.05</f>
        <v>36950</v>
      </c>
    </row>
    <row r="6" spans="1:19">
      <c r="A6" t="s">
        <v>320</v>
      </c>
      <c r="C6" s="28"/>
      <c r="D6" s="28"/>
      <c r="E6" s="28"/>
      <c r="K6" t="s">
        <v>253</v>
      </c>
      <c r="O6" t="s">
        <v>283</v>
      </c>
      <c r="Q6">
        <v>5000</v>
      </c>
    </row>
    <row r="7" spans="1:19">
      <c r="A7" t="s">
        <v>321</v>
      </c>
      <c r="C7" s="28"/>
      <c r="D7" s="28"/>
      <c r="E7" s="28"/>
      <c r="K7" t="s">
        <v>248</v>
      </c>
      <c r="O7" t="s">
        <v>284</v>
      </c>
      <c r="P7">
        <v>472500</v>
      </c>
      <c r="Q7">
        <f>P7</f>
        <v>472500</v>
      </c>
    </row>
    <row r="8" spans="1:19">
      <c r="A8" t="s">
        <v>322</v>
      </c>
      <c r="C8" s="28"/>
      <c r="D8" s="28"/>
      <c r="E8" s="28"/>
      <c r="K8" t="s">
        <v>251</v>
      </c>
      <c r="O8" t="s">
        <v>287</v>
      </c>
      <c r="P8">
        <v>7000</v>
      </c>
    </row>
    <row r="9" spans="1:19">
      <c r="A9" t="s">
        <v>323</v>
      </c>
      <c r="C9" s="28"/>
      <c r="D9" s="28"/>
      <c r="E9" s="28"/>
      <c r="K9" t="s">
        <v>312</v>
      </c>
      <c r="O9" t="s">
        <v>314</v>
      </c>
      <c r="P9">
        <v>4000</v>
      </c>
    </row>
    <row r="10" spans="1:19">
      <c r="C10" s="28"/>
      <c r="D10" s="28"/>
      <c r="E10" s="28"/>
      <c r="O10" t="s">
        <v>291</v>
      </c>
      <c r="P10">
        <v>191600</v>
      </c>
      <c r="Q10">
        <f>P10</f>
        <v>191600</v>
      </c>
    </row>
    <row r="11" spans="1:19">
      <c r="O11" t="s">
        <v>292</v>
      </c>
      <c r="P11">
        <f>P4-P7-P10+P8+P9</f>
        <v>85900</v>
      </c>
      <c r="Q11">
        <f>Q4-Q7-Q10-Q6-Q5</f>
        <v>32950</v>
      </c>
    </row>
    <row r="12" spans="1:19" ht="15.6">
      <c r="B12" s="24" t="s">
        <v>100</v>
      </c>
      <c r="C12" s="24" t="s">
        <v>101</v>
      </c>
      <c r="D12" s="24" t="s">
        <v>102</v>
      </c>
      <c r="E12" s="24" t="s">
        <v>103</v>
      </c>
      <c r="G12" s="25"/>
    </row>
    <row r="13" spans="1:19" ht="16.8">
      <c r="C13" t="s">
        <v>109</v>
      </c>
      <c r="D13" t="s">
        <v>114</v>
      </c>
      <c r="E13" t="s">
        <v>117</v>
      </c>
      <c r="I13" s="41" t="s">
        <v>239</v>
      </c>
      <c r="K13" s="41" t="s">
        <v>239</v>
      </c>
    </row>
    <row r="14" spans="1:19">
      <c r="B14" t="s">
        <v>105</v>
      </c>
      <c r="C14" t="s">
        <v>64</v>
      </c>
      <c r="D14" t="s">
        <v>115</v>
      </c>
      <c r="E14" t="s">
        <v>118</v>
      </c>
      <c r="I14" s="22" t="s">
        <v>240</v>
      </c>
      <c r="K14" t="s">
        <v>250</v>
      </c>
      <c r="O14" t="s">
        <v>288</v>
      </c>
      <c r="Q14">
        <v>110000</v>
      </c>
    </row>
    <row r="15" spans="1:19">
      <c r="B15" t="s">
        <v>104</v>
      </c>
      <c r="C15" t="s">
        <v>110</v>
      </c>
      <c r="D15" t="s">
        <v>116</v>
      </c>
      <c r="E15" t="s">
        <v>119</v>
      </c>
      <c r="I15" s="22" t="s">
        <v>241</v>
      </c>
      <c r="K15" t="s">
        <v>244</v>
      </c>
      <c r="O15" t="s">
        <v>293</v>
      </c>
      <c r="Q15">
        <f>3941*12</f>
        <v>47292</v>
      </c>
    </row>
    <row r="16" spans="1:19">
      <c r="B16" t="s">
        <v>106</v>
      </c>
      <c r="C16" t="s">
        <v>111</v>
      </c>
      <c r="D16" t="s">
        <v>258</v>
      </c>
      <c r="E16" t="s">
        <v>260</v>
      </c>
      <c r="I16" s="22" t="s">
        <v>242</v>
      </c>
      <c r="K16" t="s">
        <v>252</v>
      </c>
      <c r="O16" t="s">
        <v>294</v>
      </c>
      <c r="Q16">
        <f>PMT(0.08/12,120,P10)*-12</f>
        <v>27895.640494183819</v>
      </c>
      <c r="S16" s="15"/>
    </row>
    <row r="17" spans="1:22">
      <c r="B17" t="s">
        <v>107</v>
      </c>
      <c r="C17" t="s">
        <v>112</v>
      </c>
      <c r="D17" t="s">
        <v>200</v>
      </c>
      <c r="E17" t="s">
        <v>261</v>
      </c>
      <c r="K17" t="s">
        <v>249</v>
      </c>
      <c r="O17" t="s">
        <v>289</v>
      </c>
      <c r="Q17">
        <f>Q14-Q15-Q16</f>
        <v>34812.359505816181</v>
      </c>
    </row>
    <row r="18" spans="1:22">
      <c r="B18" t="s">
        <v>108</v>
      </c>
      <c r="C18" t="s">
        <v>113</v>
      </c>
      <c r="D18" t="s">
        <v>259</v>
      </c>
      <c r="O18" t="s">
        <v>290</v>
      </c>
      <c r="Q18" s="15">
        <f>Q17/P11</f>
        <v>0.4052661176462885</v>
      </c>
    </row>
    <row r="19" spans="1:22">
      <c r="B19" t="s">
        <v>144</v>
      </c>
      <c r="C19" t="s">
        <v>119</v>
      </c>
      <c r="D19" t="s">
        <v>311</v>
      </c>
    </row>
    <row r="20" spans="1:22">
      <c r="B20" t="s">
        <v>257</v>
      </c>
      <c r="C20" t="s">
        <v>145</v>
      </c>
    </row>
    <row r="21" spans="1:22">
      <c r="B21" t="s">
        <v>273</v>
      </c>
      <c r="C21" t="s">
        <v>146</v>
      </c>
    </row>
    <row r="23" spans="1:22" ht="15.6">
      <c r="C23" s="24" t="s">
        <v>120</v>
      </c>
    </row>
    <row r="24" spans="1:22">
      <c r="F24" s="15"/>
    </row>
    <row r="25" spans="1:22" ht="15.6">
      <c r="A25" s="14" t="s">
        <v>140</v>
      </c>
      <c r="B25" s="7" t="s">
        <v>127</v>
      </c>
      <c r="C25" t="s">
        <v>114</v>
      </c>
    </row>
    <row r="26" spans="1:22" ht="15.6">
      <c r="A26" s="14" t="s">
        <v>141</v>
      </c>
      <c r="B26" s="7" t="s">
        <v>325</v>
      </c>
      <c r="C26" t="s">
        <v>128</v>
      </c>
      <c r="Q26" t="s">
        <v>211</v>
      </c>
      <c r="R26">
        <v>500000</v>
      </c>
      <c r="T26" s="36"/>
    </row>
    <row r="27" spans="1:22">
      <c r="B27" s="7" t="s">
        <v>326</v>
      </c>
      <c r="C27" t="s">
        <v>100</v>
      </c>
    </row>
    <row r="28" spans="1:22" ht="19.2">
      <c r="B28" s="7" t="s">
        <v>129</v>
      </c>
      <c r="C28" t="s">
        <v>130</v>
      </c>
      <c r="I28" s="23" t="s">
        <v>195</v>
      </c>
      <c r="Q28" s="22"/>
      <c r="R28" s="23" t="s">
        <v>196</v>
      </c>
      <c r="S28" s="22"/>
      <c r="U28" s="22"/>
      <c r="V28" s="22"/>
    </row>
    <row r="29" spans="1:22">
      <c r="B29" s="7" t="s">
        <v>131</v>
      </c>
      <c r="C29" t="s">
        <v>132</v>
      </c>
      <c r="Q29" s="22"/>
      <c r="R29" s="22"/>
      <c r="S29" s="22"/>
      <c r="U29" s="22"/>
      <c r="V29" s="22"/>
    </row>
    <row r="30" spans="1:22">
      <c r="C30" t="s">
        <v>134</v>
      </c>
      <c r="I30" s="15">
        <v>0.08</v>
      </c>
      <c r="L30" s="22" t="s">
        <v>197</v>
      </c>
      <c r="Q30" s="22"/>
      <c r="R30" s="15">
        <v>7.4999999999999997E-2</v>
      </c>
      <c r="S30" s="15">
        <v>0.25</v>
      </c>
      <c r="U30" s="22"/>
      <c r="V30" s="22"/>
    </row>
    <row r="31" spans="1:22">
      <c r="B31" s="7" t="s">
        <v>133</v>
      </c>
      <c r="C31" t="s">
        <v>121</v>
      </c>
      <c r="I31" s="15"/>
      <c r="J31" s="15">
        <v>0.1</v>
      </c>
      <c r="K31" t="s">
        <v>220</v>
      </c>
      <c r="L31" s="15">
        <v>0.04</v>
      </c>
      <c r="M31" s="15"/>
      <c r="N31" s="15"/>
      <c r="Q31" s="22"/>
      <c r="R31" s="15"/>
      <c r="S31" s="22"/>
      <c r="U31" s="15"/>
      <c r="V31" s="22"/>
    </row>
    <row r="32" spans="1:22">
      <c r="B32" t="s">
        <v>122</v>
      </c>
      <c r="C32" t="s">
        <v>123</v>
      </c>
      <c r="H32" s="22" t="s">
        <v>148</v>
      </c>
      <c r="I32" s="22" t="s">
        <v>147</v>
      </c>
      <c r="J32" s="15">
        <v>0.2</v>
      </c>
      <c r="K32" t="s">
        <v>219</v>
      </c>
      <c r="M32" s="22" t="s">
        <v>194</v>
      </c>
      <c r="Q32" s="22" t="s">
        <v>148</v>
      </c>
      <c r="R32" s="22" t="s">
        <v>147</v>
      </c>
      <c r="S32" s="22" t="s">
        <v>198</v>
      </c>
      <c r="T32" t="s">
        <v>191</v>
      </c>
      <c r="U32" s="22"/>
      <c r="V32" s="22"/>
    </row>
    <row r="33" spans="1:22">
      <c r="B33" s="7" t="s">
        <v>124</v>
      </c>
      <c r="C33" t="s">
        <v>135</v>
      </c>
      <c r="F33">
        <v>33</v>
      </c>
      <c r="G33">
        <v>2002</v>
      </c>
      <c r="H33" s="22">
        <v>2000000</v>
      </c>
      <c r="I33" s="22">
        <f>H33*$I$30</f>
        <v>160000</v>
      </c>
      <c r="J33" s="22">
        <f>I33*$J$31</f>
        <v>16000</v>
      </c>
      <c r="M33" s="22">
        <v>85000</v>
      </c>
      <c r="O33">
        <v>33</v>
      </c>
      <c r="P33">
        <v>2002</v>
      </c>
      <c r="Q33" s="22">
        <v>4000000</v>
      </c>
      <c r="R33" s="22">
        <f>Q33*$R$30+$R$26</f>
        <v>800000</v>
      </c>
      <c r="S33" s="22">
        <f>R33*$S$30</f>
        <v>200000</v>
      </c>
      <c r="T33">
        <f>M33</f>
        <v>85000</v>
      </c>
      <c r="U33" s="22"/>
      <c r="V33" s="22"/>
    </row>
    <row r="34" spans="1:22">
      <c r="B34" s="7" t="s">
        <v>125</v>
      </c>
      <c r="C34" t="s">
        <v>126</v>
      </c>
      <c r="F34">
        <f>F33+1</f>
        <v>34</v>
      </c>
      <c r="G34">
        <v>2003</v>
      </c>
      <c r="H34" s="22">
        <f>H33+I33-J33-K33</f>
        <v>2144000</v>
      </c>
      <c r="I34" s="22">
        <f t="shared" ref="I34:I97" si="0">H34*$I$30</f>
        <v>171520</v>
      </c>
      <c r="J34" s="22">
        <f t="shared" ref="J34:J54" si="1">I34*$J$31</f>
        <v>17152</v>
      </c>
      <c r="M34" s="22">
        <f>M33*(1+$L$31)</f>
        <v>88400</v>
      </c>
      <c r="O34">
        <f>O33+1</f>
        <v>34</v>
      </c>
      <c r="P34">
        <v>2003</v>
      </c>
      <c r="Q34" s="22">
        <f t="shared" ref="Q34:Q55" si="2">Q33+R33-S33-T33</f>
        <v>4515000</v>
      </c>
      <c r="R34" s="22">
        <f t="shared" ref="R34:R97" si="3">Q34*$R$30+$R$26</f>
        <v>838625</v>
      </c>
      <c r="S34" s="22">
        <f t="shared" ref="S34:S97" si="4">R34*$S$30</f>
        <v>209656.25</v>
      </c>
      <c r="T34">
        <f t="shared" ref="T34:T97" si="5">M34</f>
        <v>88400</v>
      </c>
      <c r="U34" s="22"/>
      <c r="V34" s="22"/>
    </row>
    <row r="35" spans="1:22">
      <c r="F35">
        <f t="shared" ref="F35:F98" si="6">F34+1</f>
        <v>35</v>
      </c>
      <c r="G35">
        <v>2004</v>
      </c>
      <c r="H35" s="22">
        <f t="shared" ref="H35:H98" si="7">H34+I34-J34-K34</f>
        <v>2298368</v>
      </c>
      <c r="I35" s="22">
        <f t="shared" si="0"/>
        <v>183869.44</v>
      </c>
      <c r="J35" s="22">
        <f t="shared" si="1"/>
        <v>18386.944</v>
      </c>
      <c r="M35" s="22">
        <f t="shared" ref="M35:M98" si="8">M34*(1+$L$31)</f>
        <v>91936</v>
      </c>
      <c r="O35">
        <f t="shared" ref="O35:O98" si="9">O34+1</f>
        <v>35</v>
      </c>
      <c r="P35">
        <v>2004</v>
      </c>
      <c r="Q35" s="22">
        <f t="shared" si="2"/>
        <v>5055568.75</v>
      </c>
      <c r="R35" s="22">
        <f t="shared" si="3"/>
        <v>879167.65625</v>
      </c>
      <c r="S35" s="22">
        <f t="shared" si="4"/>
        <v>219791.9140625</v>
      </c>
      <c r="T35">
        <f t="shared" si="5"/>
        <v>91936</v>
      </c>
      <c r="U35" s="22"/>
      <c r="V35" s="22"/>
    </row>
    <row r="36" spans="1:22">
      <c r="F36">
        <f t="shared" si="6"/>
        <v>36</v>
      </c>
      <c r="G36">
        <v>2005</v>
      </c>
      <c r="H36" s="22">
        <f t="shared" si="7"/>
        <v>2463850.4959999998</v>
      </c>
      <c r="I36" s="22">
        <f t="shared" si="0"/>
        <v>197108.03967999999</v>
      </c>
      <c r="J36" s="22">
        <f t="shared" si="1"/>
        <v>19710.803968</v>
      </c>
      <c r="M36" s="22">
        <f t="shared" si="8"/>
        <v>95613.440000000002</v>
      </c>
      <c r="O36">
        <f t="shared" si="9"/>
        <v>36</v>
      </c>
      <c r="P36">
        <v>2005</v>
      </c>
      <c r="Q36" s="22">
        <f t="shared" si="2"/>
        <v>5623008.4921875</v>
      </c>
      <c r="R36" s="22">
        <f t="shared" si="3"/>
        <v>921725.63691406255</v>
      </c>
      <c r="S36" s="22">
        <f t="shared" si="4"/>
        <v>230431.40922851564</v>
      </c>
      <c r="T36">
        <f t="shared" si="5"/>
        <v>95613.440000000002</v>
      </c>
      <c r="U36" s="22"/>
      <c r="V36" s="22"/>
    </row>
    <row r="37" spans="1:22">
      <c r="F37">
        <f t="shared" si="6"/>
        <v>37</v>
      </c>
      <c r="G37">
        <v>2006</v>
      </c>
      <c r="H37" s="22">
        <f t="shared" si="7"/>
        <v>2641247.7317119995</v>
      </c>
      <c r="I37" s="22">
        <f t="shared" si="0"/>
        <v>211299.81853695997</v>
      </c>
      <c r="J37" s="22">
        <f t="shared" si="1"/>
        <v>21129.981853695997</v>
      </c>
      <c r="M37" s="22">
        <f t="shared" si="8"/>
        <v>99437.977600000013</v>
      </c>
      <c r="O37">
        <f t="shared" si="9"/>
        <v>37</v>
      </c>
      <c r="P37">
        <v>2006</v>
      </c>
      <c r="Q37" s="22">
        <f t="shared" si="2"/>
        <v>6218689.2798730461</v>
      </c>
      <c r="R37" s="22">
        <f t="shared" si="3"/>
        <v>966401.69599047839</v>
      </c>
      <c r="S37" s="22">
        <f t="shared" si="4"/>
        <v>241600.4239976196</v>
      </c>
      <c r="T37">
        <f t="shared" si="5"/>
        <v>99437.977600000013</v>
      </c>
      <c r="U37" s="22"/>
      <c r="V37" s="22"/>
    </row>
    <row r="38" spans="1:22" ht="15.6">
      <c r="A38" s="14" t="s">
        <v>142</v>
      </c>
      <c r="B38" s="7" t="s">
        <v>136</v>
      </c>
      <c r="C38" t="s">
        <v>114</v>
      </c>
      <c r="F38">
        <f t="shared" si="6"/>
        <v>38</v>
      </c>
      <c r="G38">
        <v>2007</v>
      </c>
      <c r="H38" s="22">
        <f t="shared" si="7"/>
        <v>2831417.5683952635</v>
      </c>
      <c r="I38" s="22">
        <f t="shared" si="0"/>
        <v>226513.40547162108</v>
      </c>
      <c r="J38" s="22">
        <f t="shared" si="1"/>
        <v>22651.340547162108</v>
      </c>
      <c r="M38" s="22">
        <f t="shared" si="8"/>
        <v>103415.49670400002</v>
      </c>
      <c r="O38">
        <f t="shared" si="9"/>
        <v>38</v>
      </c>
      <c r="P38">
        <v>2007</v>
      </c>
      <c r="Q38" s="22">
        <f t="shared" si="2"/>
        <v>6844052.5742659057</v>
      </c>
      <c r="R38" s="22">
        <f t="shared" si="3"/>
        <v>1013303.9430699429</v>
      </c>
      <c r="S38" s="22">
        <f t="shared" si="4"/>
        <v>253325.98576748572</v>
      </c>
      <c r="T38">
        <f t="shared" si="5"/>
        <v>103415.49670400002</v>
      </c>
      <c r="U38" s="22"/>
      <c r="V38" s="22"/>
    </row>
    <row r="39" spans="1:22">
      <c r="B39" s="7" t="s">
        <v>137</v>
      </c>
      <c r="C39" t="s">
        <v>128</v>
      </c>
      <c r="F39">
        <f t="shared" si="6"/>
        <v>39</v>
      </c>
      <c r="G39">
        <v>2008</v>
      </c>
      <c r="H39" s="22">
        <f t="shared" si="7"/>
        <v>3035279.6333197225</v>
      </c>
      <c r="I39" s="22">
        <f t="shared" si="0"/>
        <v>242822.37066557779</v>
      </c>
      <c r="J39" s="22">
        <f t="shared" si="1"/>
        <v>24282.23706655778</v>
      </c>
      <c r="M39" s="22">
        <f t="shared" si="8"/>
        <v>107552.11657216003</v>
      </c>
      <c r="O39">
        <f t="shared" si="9"/>
        <v>39</v>
      </c>
      <c r="P39">
        <v>2008</v>
      </c>
      <c r="Q39" s="22">
        <f t="shared" si="2"/>
        <v>7500615.0348643633</v>
      </c>
      <c r="R39" s="22">
        <f t="shared" si="3"/>
        <v>1062546.1276148274</v>
      </c>
      <c r="S39" s="22">
        <f t="shared" si="4"/>
        <v>265636.53190370684</v>
      </c>
      <c r="T39">
        <f t="shared" si="5"/>
        <v>107552.11657216003</v>
      </c>
      <c r="U39" s="22"/>
      <c r="V39" s="22"/>
    </row>
    <row r="40" spans="1:22">
      <c r="B40" s="7" t="s">
        <v>138</v>
      </c>
      <c r="C40" t="s">
        <v>104</v>
      </c>
      <c r="F40">
        <f t="shared" si="6"/>
        <v>40</v>
      </c>
      <c r="G40">
        <v>2009</v>
      </c>
      <c r="H40" s="22">
        <f t="shared" si="7"/>
        <v>3253819.7669187426</v>
      </c>
      <c r="I40" s="22">
        <f t="shared" si="0"/>
        <v>260305.58135349941</v>
      </c>
      <c r="J40" s="22">
        <f t="shared" si="1"/>
        <v>26030.558135349944</v>
      </c>
      <c r="M40" s="22">
        <f t="shared" si="8"/>
        <v>111854.20123504644</v>
      </c>
      <c r="O40">
        <f t="shared" si="9"/>
        <v>40</v>
      </c>
      <c r="P40">
        <v>2009</v>
      </c>
      <c r="Q40" s="22">
        <f t="shared" si="2"/>
        <v>8189972.5140033234</v>
      </c>
      <c r="R40" s="22">
        <f t="shared" si="3"/>
        <v>1114247.9385502492</v>
      </c>
      <c r="S40" s="22">
        <f t="shared" si="4"/>
        <v>278561.9846375623</v>
      </c>
      <c r="T40">
        <f t="shared" si="5"/>
        <v>111854.20123504644</v>
      </c>
      <c r="U40" s="22"/>
      <c r="V40" s="22"/>
    </row>
    <row r="41" spans="1:22">
      <c r="B41" s="7" t="s">
        <v>133</v>
      </c>
      <c r="C41" t="s">
        <v>139</v>
      </c>
      <c r="F41">
        <f t="shared" si="6"/>
        <v>41</v>
      </c>
      <c r="G41">
        <v>2010</v>
      </c>
      <c r="H41" s="22">
        <f t="shared" si="7"/>
        <v>3488094.7901368923</v>
      </c>
      <c r="I41" s="22">
        <f t="shared" si="0"/>
        <v>279047.58321095142</v>
      </c>
      <c r="J41" s="22">
        <f t="shared" si="1"/>
        <v>27904.758321095142</v>
      </c>
      <c r="M41" s="22">
        <f t="shared" si="8"/>
        <v>116328.3692844483</v>
      </c>
      <c r="O41">
        <f t="shared" si="9"/>
        <v>41</v>
      </c>
      <c r="P41">
        <v>2010</v>
      </c>
      <c r="Q41" s="22">
        <f t="shared" si="2"/>
        <v>8913804.2666809633</v>
      </c>
      <c r="R41" s="22">
        <f t="shared" si="3"/>
        <v>1168535.3200010723</v>
      </c>
      <c r="S41" s="22">
        <f t="shared" si="4"/>
        <v>292133.83000026806</v>
      </c>
      <c r="T41">
        <f t="shared" si="5"/>
        <v>116328.3692844483</v>
      </c>
      <c r="U41" s="22"/>
      <c r="V41" s="22"/>
    </row>
    <row r="42" spans="1:22">
      <c r="B42" t="s">
        <v>122</v>
      </c>
      <c r="C42" t="s">
        <v>123</v>
      </c>
      <c r="F42">
        <f t="shared" si="6"/>
        <v>42</v>
      </c>
      <c r="G42">
        <v>2011</v>
      </c>
      <c r="H42" s="22">
        <f t="shared" si="7"/>
        <v>3739237.6150267487</v>
      </c>
      <c r="I42" s="22">
        <f t="shared" si="0"/>
        <v>299139.00920213992</v>
      </c>
      <c r="J42" s="22">
        <f t="shared" si="1"/>
        <v>29913.900920213993</v>
      </c>
      <c r="M42" s="22">
        <f t="shared" si="8"/>
        <v>120981.50405582624</v>
      </c>
      <c r="O42">
        <f t="shared" si="9"/>
        <v>42</v>
      </c>
      <c r="P42">
        <v>2011</v>
      </c>
      <c r="Q42" s="22">
        <f t="shared" si="2"/>
        <v>9673877.3873973191</v>
      </c>
      <c r="R42" s="22">
        <f t="shared" si="3"/>
        <v>1225540.804054799</v>
      </c>
      <c r="S42" s="22">
        <f t="shared" si="4"/>
        <v>306385.20101369976</v>
      </c>
      <c r="T42">
        <f t="shared" si="5"/>
        <v>120981.50405582624</v>
      </c>
      <c r="U42" s="22"/>
      <c r="V42" s="22"/>
    </row>
    <row r="43" spans="1:22">
      <c r="B43" s="7" t="s">
        <v>124</v>
      </c>
      <c r="C43" t="s">
        <v>135</v>
      </c>
      <c r="F43">
        <f t="shared" si="6"/>
        <v>43</v>
      </c>
      <c r="G43">
        <v>2012</v>
      </c>
      <c r="H43" s="22">
        <f t="shared" si="7"/>
        <v>4008462.7233086745</v>
      </c>
      <c r="I43" s="22">
        <f t="shared" si="0"/>
        <v>320677.01786469395</v>
      </c>
      <c r="J43" s="22">
        <f t="shared" si="1"/>
        <v>32067.701786469395</v>
      </c>
      <c r="M43" s="22">
        <f t="shared" si="8"/>
        <v>125820.7642180593</v>
      </c>
      <c r="O43">
        <f t="shared" si="9"/>
        <v>43</v>
      </c>
      <c r="P43">
        <v>2012</v>
      </c>
      <c r="Q43" s="22">
        <f t="shared" si="2"/>
        <v>10472051.486382592</v>
      </c>
      <c r="R43" s="22">
        <f t="shared" si="3"/>
        <v>1285403.8614786942</v>
      </c>
      <c r="S43" s="22">
        <f t="shared" si="4"/>
        <v>321350.96536967356</v>
      </c>
      <c r="T43">
        <f t="shared" si="5"/>
        <v>125820.7642180593</v>
      </c>
      <c r="U43" s="22"/>
      <c r="V43" s="22"/>
    </row>
    <row r="44" spans="1:22">
      <c r="B44" s="7" t="s">
        <v>125</v>
      </c>
      <c r="C44" t="s">
        <v>126</v>
      </c>
      <c r="F44">
        <f t="shared" si="6"/>
        <v>44</v>
      </c>
      <c r="G44">
        <v>2013</v>
      </c>
      <c r="H44" s="22">
        <f t="shared" si="7"/>
        <v>4297072.0393868992</v>
      </c>
      <c r="I44" s="22">
        <f t="shared" si="0"/>
        <v>343765.76315095194</v>
      </c>
      <c r="J44" s="22">
        <f t="shared" si="1"/>
        <v>34376.576315095197</v>
      </c>
      <c r="M44" s="22">
        <f t="shared" si="8"/>
        <v>130853.59478678167</v>
      </c>
      <c r="O44">
        <f t="shared" si="9"/>
        <v>44</v>
      </c>
      <c r="P44">
        <v>2013</v>
      </c>
      <c r="Q44" s="22">
        <f t="shared" si="2"/>
        <v>11310283.618273554</v>
      </c>
      <c r="R44" s="22">
        <f t="shared" si="3"/>
        <v>1348271.2713705166</v>
      </c>
      <c r="S44" s="22">
        <f t="shared" si="4"/>
        <v>337067.81784262916</v>
      </c>
      <c r="T44">
        <f t="shared" si="5"/>
        <v>130853.59478678167</v>
      </c>
      <c r="U44" s="22"/>
      <c r="V44" s="22"/>
    </row>
    <row r="45" spans="1:22">
      <c r="F45">
        <f t="shared" si="6"/>
        <v>45</v>
      </c>
      <c r="G45">
        <v>2014</v>
      </c>
      <c r="H45" s="22">
        <f t="shared" si="7"/>
        <v>4606461.2262227554</v>
      </c>
      <c r="I45" s="22">
        <f t="shared" si="0"/>
        <v>368516.89809782046</v>
      </c>
      <c r="J45" s="22">
        <f t="shared" si="1"/>
        <v>36851.689809782045</v>
      </c>
      <c r="M45" s="22">
        <f t="shared" si="8"/>
        <v>136087.73857825293</v>
      </c>
      <c r="O45">
        <f t="shared" si="9"/>
        <v>45</v>
      </c>
      <c r="P45">
        <v>2014</v>
      </c>
      <c r="Q45" s="22">
        <f t="shared" si="2"/>
        <v>12190633.477014661</v>
      </c>
      <c r="R45" s="22">
        <f t="shared" si="3"/>
        <v>1414297.5107760995</v>
      </c>
      <c r="S45" s="22">
        <f t="shared" si="4"/>
        <v>353574.37769402488</v>
      </c>
      <c r="T45">
        <f t="shared" si="5"/>
        <v>136087.73857825293</v>
      </c>
      <c r="U45" s="22"/>
      <c r="V45" s="22"/>
    </row>
    <row r="46" spans="1:22">
      <c r="F46">
        <f t="shared" si="6"/>
        <v>46</v>
      </c>
      <c r="G46">
        <v>2015</v>
      </c>
      <c r="H46" s="22">
        <f t="shared" si="7"/>
        <v>4938126.4345107935</v>
      </c>
      <c r="I46" s="22">
        <f t="shared" si="0"/>
        <v>395050.11476086348</v>
      </c>
      <c r="J46" s="22">
        <f t="shared" si="1"/>
        <v>39505.011476086351</v>
      </c>
      <c r="M46" s="22">
        <f t="shared" si="8"/>
        <v>141531.24812138305</v>
      </c>
      <c r="O46">
        <f t="shared" si="9"/>
        <v>46</v>
      </c>
      <c r="P46">
        <v>2015</v>
      </c>
      <c r="Q46" s="22">
        <f t="shared" si="2"/>
        <v>13115268.871518482</v>
      </c>
      <c r="R46" s="22">
        <f t="shared" si="3"/>
        <v>1483645.1653638859</v>
      </c>
      <c r="S46" s="22">
        <f t="shared" si="4"/>
        <v>370911.29134097148</v>
      </c>
      <c r="T46">
        <f t="shared" si="5"/>
        <v>141531.24812138305</v>
      </c>
      <c r="U46" s="22"/>
      <c r="V46" s="22"/>
    </row>
    <row r="47" spans="1:22">
      <c r="F47">
        <f t="shared" si="6"/>
        <v>47</v>
      </c>
      <c r="G47">
        <v>2016</v>
      </c>
      <c r="H47" s="22">
        <f t="shared" si="7"/>
        <v>5293671.5377955707</v>
      </c>
      <c r="I47" s="22">
        <f t="shared" si="0"/>
        <v>423493.72302364564</v>
      </c>
      <c r="J47" s="22">
        <f t="shared" si="1"/>
        <v>42349.372302364565</v>
      </c>
      <c r="M47" s="22">
        <f t="shared" si="8"/>
        <v>147192.49804623838</v>
      </c>
      <c r="O47">
        <f t="shared" si="9"/>
        <v>47</v>
      </c>
      <c r="P47">
        <v>2016</v>
      </c>
      <c r="Q47" s="22">
        <f t="shared" si="2"/>
        <v>14086471.497420013</v>
      </c>
      <c r="R47" s="22">
        <f t="shared" si="3"/>
        <v>1556485.362306501</v>
      </c>
      <c r="S47" s="22">
        <f t="shared" si="4"/>
        <v>389121.34057662525</v>
      </c>
      <c r="T47">
        <f t="shared" si="5"/>
        <v>147192.49804623838</v>
      </c>
      <c r="U47" s="22"/>
      <c r="V47" s="22"/>
    </row>
    <row r="48" spans="1:22">
      <c r="F48">
        <f t="shared" si="6"/>
        <v>48</v>
      </c>
      <c r="G48">
        <v>2017</v>
      </c>
      <c r="H48" s="22">
        <f t="shared" si="7"/>
        <v>5674815.8885168517</v>
      </c>
      <c r="I48" s="22">
        <f t="shared" si="0"/>
        <v>453985.27108134812</v>
      </c>
      <c r="J48" s="22">
        <f t="shared" si="1"/>
        <v>45398.527108134818</v>
      </c>
      <c r="M48" s="22">
        <f t="shared" si="8"/>
        <v>153080.19796808792</v>
      </c>
      <c r="O48">
        <f t="shared" si="9"/>
        <v>48</v>
      </c>
      <c r="P48">
        <v>2017</v>
      </c>
      <c r="Q48" s="22">
        <f t="shared" si="2"/>
        <v>15106643.021103652</v>
      </c>
      <c r="R48" s="22">
        <f t="shared" si="3"/>
        <v>1632998.226582774</v>
      </c>
      <c r="S48" s="22">
        <f t="shared" si="4"/>
        <v>408249.55664569349</v>
      </c>
      <c r="T48">
        <f t="shared" si="5"/>
        <v>153080.19796808792</v>
      </c>
      <c r="U48" s="22"/>
      <c r="V48" s="22"/>
    </row>
    <row r="49" spans="6:22">
      <c r="F49">
        <f t="shared" si="6"/>
        <v>49</v>
      </c>
      <c r="G49">
        <v>2018</v>
      </c>
      <c r="H49" s="22">
        <f t="shared" si="7"/>
        <v>6083402.6324900649</v>
      </c>
      <c r="I49" s="22">
        <f t="shared" si="0"/>
        <v>486672.21059920522</v>
      </c>
      <c r="J49" s="22">
        <f t="shared" si="1"/>
        <v>48667.221059920528</v>
      </c>
      <c r="M49" s="22">
        <f t="shared" si="8"/>
        <v>159203.40588681144</v>
      </c>
      <c r="O49">
        <f t="shared" si="9"/>
        <v>49</v>
      </c>
      <c r="P49">
        <v>2018</v>
      </c>
      <c r="Q49" s="22">
        <f t="shared" si="2"/>
        <v>16178311.493072646</v>
      </c>
      <c r="R49" s="22">
        <f t="shared" si="3"/>
        <v>1713373.3619804485</v>
      </c>
      <c r="S49" s="22">
        <f t="shared" si="4"/>
        <v>428343.34049511212</v>
      </c>
      <c r="T49">
        <f t="shared" si="5"/>
        <v>159203.40588681144</v>
      </c>
      <c r="U49" s="22"/>
      <c r="V49" s="22"/>
    </row>
    <row r="50" spans="6:22">
      <c r="F50">
        <f t="shared" si="6"/>
        <v>50</v>
      </c>
      <c r="G50">
        <v>2019</v>
      </c>
      <c r="H50" s="22">
        <f t="shared" si="7"/>
        <v>6521407.6220293501</v>
      </c>
      <c r="I50" s="22">
        <f t="shared" si="0"/>
        <v>521712.609762348</v>
      </c>
      <c r="J50" s="22">
        <f t="shared" si="1"/>
        <v>52171.2609762348</v>
      </c>
      <c r="K50">
        <f t="shared" ref="K50:K55" si="10">M50</f>
        <v>165571.54212228389</v>
      </c>
      <c r="M50" s="22">
        <f t="shared" si="8"/>
        <v>165571.54212228389</v>
      </c>
      <c r="O50">
        <f t="shared" si="9"/>
        <v>50</v>
      </c>
      <c r="P50">
        <v>2019</v>
      </c>
      <c r="Q50" s="22">
        <f t="shared" si="2"/>
        <v>17304138.10867117</v>
      </c>
      <c r="R50" s="22">
        <f t="shared" si="3"/>
        <v>1797810.3581503376</v>
      </c>
      <c r="S50" s="22">
        <f t="shared" si="4"/>
        <v>449452.5895375844</v>
      </c>
      <c r="T50">
        <f t="shared" si="5"/>
        <v>165571.54212228389</v>
      </c>
      <c r="U50" s="22"/>
      <c r="V50" s="22"/>
    </row>
    <row r="51" spans="6:22">
      <c r="F51">
        <f t="shared" si="6"/>
        <v>51</v>
      </c>
      <c r="G51">
        <v>2020</v>
      </c>
      <c r="H51" s="22">
        <f t="shared" si="7"/>
        <v>6825377.42869318</v>
      </c>
      <c r="I51" s="22">
        <f t="shared" si="0"/>
        <v>546030.19429545442</v>
      </c>
      <c r="J51" s="22">
        <f t="shared" si="1"/>
        <v>54603.019429545442</v>
      </c>
      <c r="K51">
        <f t="shared" si="10"/>
        <v>172194.40380717526</v>
      </c>
      <c r="M51" s="22">
        <f t="shared" si="8"/>
        <v>172194.40380717526</v>
      </c>
      <c r="O51">
        <f t="shared" si="9"/>
        <v>51</v>
      </c>
      <c r="P51">
        <v>2020</v>
      </c>
      <c r="Q51" s="22">
        <f t="shared" si="2"/>
        <v>18486924.335161641</v>
      </c>
      <c r="R51" s="22">
        <f t="shared" si="3"/>
        <v>1886519.325137123</v>
      </c>
      <c r="S51" s="22">
        <f t="shared" si="4"/>
        <v>471629.83128428075</v>
      </c>
      <c r="T51">
        <f t="shared" si="5"/>
        <v>172194.40380717526</v>
      </c>
      <c r="U51" s="22"/>
      <c r="V51" s="22"/>
    </row>
    <row r="52" spans="6:22">
      <c r="F52">
        <f t="shared" si="6"/>
        <v>52</v>
      </c>
      <c r="G52">
        <v>2021</v>
      </c>
      <c r="H52" s="22">
        <f t="shared" si="7"/>
        <v>7144610.1997519135</v>
      </c>
      <c r="I52" s="22">
        <f t="shared" si="0"/>
        <v>571568.81598015304</v>
      </c>
      <c r="J52" s="22">
        <f t="shared" si="1"/>
        <v>57156.881598015309</v>
      </c>
      <c r="K52">
        <f t="shared" si="10"/>
        <v>179082.17995946229</v>
      </c>
      <c r="M52" s="22">
        <f t="shared" si="8"/>
        <v>179082.17995946229</v>
      </c>
      <c r="O52">
        <f t="shared" si="9"/>
        <v>52</v>
      </c>
      <c r="P52">
        <v>2021</v>
      </c>
      <c r="Q52" s="22">
        <f t="shared" si="2"/>
        <v>19729619.425207309</v>
      </c>
      <c r="R52" s="22">
        <f t="shared" si="3"/>
        <v>1979721.4568905481</v>
      </c>
      <c r="S52" s="22">
        <f t="shared" si="4"/>
        <v>494930.36422263703</v>
      </c>
      <c r="T52">
        <f t="shared" si="5"/>
        <v>179082.17995946229</v>
      </c>
      <c r="U52" s="22"/>
      <c r="V52" s="22"/>
    </row>
    <row r="53" spans="6:22">
      <c r="F53">
        <f t="shared" si="6"/>
        <v>53</v>
      </c>
      <c r="G53">
        <v>2022</v>
      </c>
      <c r="H53" s="22">
        <f t="shared" si="7"/>
        <v>7479939.9541745894</v>
      </c>
      <c r="I53" s="22">
        <f t="shared" si="0"/>
        <v>598395.19633396715</v>
      </c>
      <c r="J53" s="22">
        <f t="shared" si="1"/>
        <v>59839.519633396718</v>
      </c>
      <c r="K53">
        <f t="shared" si="10"/>
        <v>186245.46715784079</v>
      </c>
      <c r="M53" s="22">
        <f t="shared" si="8"/>
        <v>186245.46715784079</v>
      </c>
      <c r="O53">
        <f t="shared" si="9"/>
        <v>53</v>
      </c>
      <c r="P53">
        <v>2022</v>
      </c>
      <c r="Q53" s="22">
        <f t="shared" si="2"/>
        <v>21035328.33791576</v>
      </c>
      <c r="R53" s="22">
        <f t="shared" si="3"/>
        <v>2077649.625343682</v>
      </c>
      <c r="S53" s="22">
        <f t="shared" si="4"/>
        <v>519412.4063359205</v>
      </c>
      <c r="T53">
        <f t="shared" si="5"/>
        <v>186245.46715784079</v>
      </c>
      <c r="U53" s="22"/>
      <c r="V53" s="22"/>
    </row>
    <row r="54" spans="6:22">
      <c r="F54">
        <f t="shared" si="6"/>
        <v>54</v>
      </c>
      <c r="G54">
        <v>2023</v>
      </c>
      <c r="H54" s="22">
        <f t="shared" si="7"/>
        <v>7832250.1637173193</v>
      </c>
      <c r="I54" s="22">
        <f t="shared" si="0"/>
        <v>626580.01309738553</v>
      </c>
      <c r="J54" s="22">
        <f t="shared" si="1"/>
        <v>62658.001309738553</v>
      </c>
      <c r="K54">
        <f t="shared" si="10"/>
        <v>193695.28584415442</v>
      </c>
      <c r="M54" s="22">
        <f t="shared" si="8"/>
        <v>193695.28584415442</v>
      </c>
      <c r="O54">
        <f t="shared" si="9"/>
        <v>54</v>
      </c>
      <c r="P54">
        <v>2023</v>
      </c>
      <c r="Q54" s="22">
        <f t="shared" si="2"/>
        <v>22407320.089765679</v>
      </c>
      <c r="R54" s="22">
        <f t="shared" si="3"/>
        <v>2180549.0067324257</v>
      </c>
      <c r="S54" s="22">
        <f t="shared" si="4"/>
        <v>545137.25168310641</v>
      </c>
      <c r="T54">
        <f t="shared" si="5"/>
        <v>193695.28584415442</v>
      </c>
      <c r="U54" s="22"/>
      <c r="V54" s="22"/>
    </row>
    <row r="55" spans="6:22">
      <c r="F55">
        <f t="shared" si="6"/>
        <v>55</v>
      </c>
      <c r="G55">
        <v>2024</v>
      </c>
      <c r="H55" s="22">
        <f t="shared" si="7"/>
        <v>8202476.8896608111</v>
      </c>
      <c r="I55" s="22">
        <f t="shared" si="0"/>
        <v>656198.15117286495</v>
      </c>
      <c r="J55" s="22">
        <f>I55*$J$32</f>
        <v>131239.63023457301</v>
      </c>
      <c r="K55">
        <f t="shared" si="10"/>
        <v>201443.09727792061</v>
      </c>
      <c r="M55" s="22">
        <f t="shared" si="8"/>
        <v>201443.09727792061</v>
      </c>
      <c r="O55">
        <f t="shared" si="9"/>
        <v>55</v>
      </c>
      <c r="P55">
        <v>2024</v>
      </c>
      <c r="Q55" s="22">
        <f t="shared" si="2"/>
        <v>23849036.558970846</v>
      </c>
      <c r="R55" s="22">
        <f t="shared" si="3"/>
        <v>2288677.7419228135</v>
      </c>
      <c r="S55" s="22">
        <f t="shared" si="4"/>
        <v>572169.43548070337</v>
      </c>
      <c r="T55">
        <f t="shared" si="5"/>
        <v>201443.09727792061</v>
      </c>
      <c r="U55" s="22"/>
      <c r="V55" s="22"/>
    </row>
    <row r="56" spans="6:22">
      <c r="F56">
        <f t="shared" si="6"/>
        <v>56</v>
      </c>
      <c r="G56">
        <v>2025</v>
      </c>
      <c r="H56" s="22">
        <f t="shared" si="7"/>
        <v>8525992.3133211825</v>
      </c>
      <c r="I56" s="22">
        <f t="shared" si="0"/>
        <v>682079.38506569457</v>
      </c>
      <c r="J56" s="22">
        <f t="shared" ref="J56:J102" si="11">I56*$J$32</f>
        <v>136415.87701313893</v>
      </c>
      <c r="K56">
        <f>K55*(1+$L$31)</f>
        <v>209500.82116903743</v>
      </c>
      <c r="M56" s="22">
        <f t="shared" si="8"/>
        <v>209500.82116903743</v>
      </c>
      <c r="O56">
        <f t="shared" si="9"/>
        <v>56</v>
      </c>
      <c r="P56">
        <v>2025</v>
      </c>
      <c r="Q56" s="22">
        <f t="shared" ref="Q56:Q102" si="12">Q55+R55-S55-T55</f>
        <v>25364101.768135037</v>
      </c>
      <c r="R56" s="22">
        <f t="shared" si="3"/>
        <v>2402307.6326101278</v>
      </c>
      <c r="S56" s="22">
        <f t="shared" si="4"/>
        <v>600576.90815253195</v>
      </c>
      <c r="T56">
        <f t="shared" si="5"/>
        <v>209500.82116903743</v>
      </c>
    </row>
    <row r="57" spans="6:22">
      <c r="F57">
        <f t="shared" si="6"/>
        <v>57</v>
      </c>
      <c r="G57">
        <v>2026</v>
      </c>
      <c r="H57" s="22">
        <f t="shared" si="7"/>
        <v>8862155.000204701</v>
      </c>
      <c r="I57" s="22">
        <f t="shared" si="0"/>
        <v>708972.40001637605</v>
      </c>
      <c r="J57" s="22">
        <f t="shared" si="11"/>
        <v>141794.48000327521</v>
      </c>
      <c r="K57">
        <f t="shared" ref="K57:K102" si="13">K56*(1+$L$31)</f>
        <v>217880.85401579895</v>
      </c>
      <c r="M57" s="22">
        <f t="shared" si="8"/>
        <v>217880.85401579895</v>
      </c>
      <c r="O57">
        <f t="shared" si="9"/>
        <v>57</v>
      </c>
      <c r="P57">
        <v>2026</v>
      </c>
      <c r="Q57" s="22">
        <f t="shared" si="12"/>
        <v>26956331.671423595</v>
      </c>
      <c r="R57" s="22">
        <f t="shared" si="3"/>
        <v>2521724.8753567697</v>
      </c>
      <c r="S57" s="22">
        <f t="shared" si="4"/>
        <v>630431.21883919241</v>
      </c>
      <c r="T57">
        <f t="shared" si="5"/>
        <v>217880.85401579895</v>
      </c>
    </row>
    <row r="58" spans="6:22">
      <c r="F58">
        <f t="shared" si="6"/>
        <v>58</v>
      </c>
      <c r="G58">
        <v>2027</v>
      </c>
      <c r="H58" s="22">
        <f t="shared" si="7"/>
        <v>9211452.0662020035</v>
      </c>
      <c r="I58" s="22">
        <f t="shared" si="0"/>
        <v>736916.16529616027</v>
      </c>
      <c r="J58" s="22">
        <f t="shared" si="11"/>
        <v>147383.23305923206</v>
      </c>
      <c r="K58">
        <f t="shared" si="13"/>
        <v>226596.0881764309</v>
      </c>
      <c r="M58" s="22">
        <f t="shared" si="8"/>
        <v>226596.0881764309</v>
      </c>
      <c r="O58">
        <f t="shared" si="9"/>
        <v>58</v>
      </c>
      <c r="P58">
        <v>2027</v>
      </c>
      <c r="Q58" s="22">
        <f t="shared" si="12"/>
        <v>28629744.473925378</v>
      </c>
      <c r="R58" s="22">
        <f t="shared" si="3"/>
        <v>2647230.8355444032</v>
      </c>
      <c r="S58" s="22">
        <f t="shared" si="4"/>
        <v>661807.70888610079</v>
      </c>
      <c r="T58">
        <f t="shared" si="5"/>
        <v>226596.0881764309</v>
      </c>
    </row>
    <row r="59" spans="6:22">
      <c r="F59">
        <f t="shared" si="6"/>
        <v>59</v>
      </c>
      <c r="G59">
        <v>2028</v>
      </c>
      <c r="H59" s="22">
        <f t="shared" si="7"/>
        <v>9574388.9102625009</v>
      </c>
      <c r="I59" s="22">
        <f t="shared" si="0"/>
        <v>765951.11282100005</v>
      </c>
      <c r="J59" s="22">
        <f t="shared" si="11"/>
        <v>153190.22256420003</v>
      </c>
      <c r="K59">
        <f t="shared" si="13"/>
        <v>235659.93170348814</v>
      </c>
      <c r="M59" s="22">
        <f t="shared" si="8"/>
        <v>235659.93170348814</v>
      </c>
      <c r="O59">
        <f t="shared" si="9"/>
        <v>59</v>
      </c>
      <c r="P59">
        <v>2028</v>
      </c>
      <c r="Q59" s="22">
        <f t="shared" si="12"/>
        <v>30388571.512407251</v>
      </c>
      <c r="R59" s="22">
        <f t="shared" si="3"/>
        <v>2779142.8634305438</v>
      </c>
      <c r="S59" s="22">
        <f t="shared" si="4"/>
        <v>694785.71585763595</v>
      </c>
      <c r="T59">
        <f t="shared" si="5"/>
        <v>235659.93170348814</v>
      </c>
    </row>
    <row r="60" spans="6:22">
      <c r="F60">
        <f t="shared" si="6"/>
        <v>60</v>
      </c>
      <c r="G60">
        <v>2029</v>
      </c>
      <c r="H60" s="22">
        <f t="shared" si="7"/>
        <v>9951489.8688158132</v>
      </c>
      <c r="I60" s="22">
        <f t="shared" si="0"/>
        <v>796119.18950526509</v>
      </c>
      <c r="J60" s="22">
        <f t="shared" si="11"/>
        <v>159223.83790105302</v>
      </c>
      <c r="K60">
        <f t="shared" si="13"/>
        <v>245086.32897162766</v>
      </c>
      <c r="M60" s="22">
        <f t="shared" si="8"/>
        <v>245086.32897162766</v>
      </c>
      <c r="O60">
        <f t="shared" si="9"/>
        <v>60</v>
      </c>
      <c r="P60">
        <v>2029</v>
      </c>
      <c r="Q60" s="22">
        <f t="shared" si="12"/>
        <v>32237268.72827667</v>
      </c>
      <c r="R60" s="22">
        <f t="shared" si="3"/>
        <v>2917795.1546207503</v>
      </c>
      <c r="S60" s="22">
        <f t="shared" si="4"/>
        <v>729448.78865518759</v>
      </c>
      <c r="T60">
        <f t="shared" si="5"/>
        <v>245086.32897162766</v>
      </c>
    </row>
    <row r="61" spans="6:22">
      <c r="F61">
        <f t="shared" si="6"/>
        <v>61</v>
      </c>
      <c r="G61">
        <v>2030</v>
      </c>
      <c r="H61" s="22">
        <f t="shared" si="7"/>
        <v>10343298.891448397</v>
      </c>
      <c r="I61" s="22">
        <f t="shared" si="0"/>
        <v>827463.91131587175</v>
      </c>
      <c r="J61" s="22">
        <f t="shared" si="11"/>
        <v>165492.78226317436</v>
      </c>
      <c r="K61">
        <f t="shared" si="13"/>
        <v>254889.78213049276</v>
      </c>
      <c r="M61" s="22">
        <f t="shared" si="8"/>
        <v>254889.78213049276</v>
      </c>
      <c r="O61">
        <f t="shared" si="9"/>
        <v>61</v>
      </c>
      <c r="P61">
        <v>2030</v>
      </c>
      <c r="Q61" s="22">
        <f t="shared" si="12"/>
        <v>34180528.765270613</v>
      </c>
      <c r="R61" s="22">
        <f t="shared" si="3"/>
        <v>3063539.6573952958</v>
      </c>
      <c r="S61" s="22">
        <f t="shared" si="4"/>
        <v>765884.91434882395</v>
      </c>
      <c r="T61">
        <f t="shared" si="5"/>
        <v>254889.78213049276</v>
      </c>
    </row>
    <row r="62" spans="6:22">
      <c r="F62">
        <f t="shared" si="6"/>
        <v>62</v>
      </c>
      <c r="G62">
        <v>2031</v>
      </c>
      <c r="H62" s="22">
        <f t="shared" si="7"/>
        <v>10750380.238370601</v>
      </c>
      <c r="I62" s="22">
        <f t="shared" si="0"/>
        <v>860030.41906964814</v>
      </c>
      <c r="J62" s="22">
        <f t="shared" si="11"/>
        <v>172006.08381392964</v>
      </c>
      <c r="K62">
        <f t="shared" si="13"/>
        <v>265085.3734157125</v>
      </c>
      <c r="M62" s="22">
        <f t="shared" si="8"/>
        <v>265085.3734157125</v>
      </c>
      <c r="O62">
        <f t="shared" si="9"/>
        <v>62</v>
      </c>
      <c r="P62">
        <v>2031</v>
      </c>
      <c r="Q62" s="22">
        <f t="shared" si="12"/>
        <v>36223293.726186588</v>
      </c>
      <c r="R62" s="22">
        <f t="shared" si="3"/>
        <v>3216747.0294639939</v>
      </c>
      <c r="S62" s="22">
        <f t="shared" si="4"/>
        <v>804186.75736599846</v>
      </c>
      <c r="T62">
        <f t="shared" si="5"/>
        <v>265085.3734157125</v>
      </c>
    </row>
    <row r="63" spans="6:22">
      <c r="F63">
        <f t="shared" si="6"/>
        <v>63</v>
      </c>
      <c r="G63">
        <v>2032</v>
      </c>
      <c r="H63" s="22">
        <f t="shared" si="7"/>
        <v>11173319.200210607</v>
      </c>
      <c r="I63" s="22">
        <f t="shared" si="0"/>
        <v>893865.53601684852</v>
      </c>
      <c r="J63" s="22">
        <f t="shared" si="11"/>
        <v>178773.10720336973</v>
      </c>
      <c r="K63">
        <f t="shared" si="13"/>
        <v>275688.78835234098</v>
      </c>
      <c r="M63" s="22">
        <f t="shared" si="8"/>
        <v>275688.78835234098</v>
      </c>
      <c r="O63">
        <f t="shared" si="9"/>
        <v>63</v>
      </c>
      <c r="P63">
        <v>2032</v>
      </c>
      <c r="Q63" s="22">
        <f t="shared" si="12"/>
        <v>38370768.624868862</v>
      </c>
      <c r="R63" s="22">
        <f t="shared" si="3"/>
        <v>3377807.6468651644</v>
      </c>
      <c r="S63" s="22">
        <f t="shared" si="4"/>
        <v>844451.9117162911</v>
      </c>
      <c r="T63">
        <f t="shared" si="5"/>
        <v>275688.78835234098</v>
      </c>
    </row>
    <row r="64" spans="6:22">
      <c r="F64">
        <f t="shared" si="6"/>
        <v>64</v>
      </c>
      <c r="G64">
        <v>2033</v>
      </c>
      <c r="H64" s="22">
        <f t="shared" si="7"/>
        <v>11612722.840671744</v>
      </c>
      <c r="I64" s="22">
        <f t="shared" si="0"/>
        <v>929017.82725373958</v>
      </c>
      <c r="J64" s="22">
        <f t="shared" si="11"/>
        <v>185803.56545074793</v>
      </c>
      <c r="K64">
        <f t="shared" si="13"/>
        <v>286716.33988643461</v>
      </c>
      <c r="M64" s="22">
        <f t="shared" si="8"/>
        <v>286716.33988643461</v>
      </c>
      <c r="O64">
        <f t="shared" si="9"/>
        <v>64</v>
      </c>
      <c r="P64">
        <v>2033</v>
      </c>
      <c r="Q64" s="22">
        <f t="shared" si="12"/>
        <v>40628435.571665399</v>
      </c>
      <c r="R64" s="22">
        <f t="shared" si="3"/>
        <v>3547132.6678749048</v>
      </c>
      <c r="S64" s="22">
        <f t="shared" si="4"/>
        <v>886783.1669687262</v>
      </c>
      <c r="T64">
        <f t="shared" si="5"/>
        <v>286716.33988643461</v>
      </c>
    </row>
    <row r="65" spans="6:20">
      <c r="F65">
        <f t="shared" si="6"/>
        <v>65</v>
      </c>
      <c r="G65">
        <v>2034</v>
      </c>
      <c r="H65" s="22">
        <f t="shared" si="7"/>
        <v>12069220.762588302</v>
      </c>
      <c r="I65" s="22">
        <f t="shared" si="0"/>
        <v>965537.66100706416</v>
      </c>
      <c r="J65" s="22">
        <f t="shared" si="11"/>
        <v>193107.53220141283</v>
      </c>
      <c r="K65">
        <f t="shared" si="13"/>
        <v>298184.99348189199</v>
      </c>
      <c r="M65" s="22">
        <f t="shared" si="8"/>
        <v>298184.99348189199</v>
      </c>
      <c r="O65">
        <f t="shared" si="9"/>
        <v>65</v>
      </c>
      <c r="P65">
        <v>2034</v>
      </c>
      <c r="Q65" s="22">
        <f t="shared" si="12"/>
        <v>43002068.732685141</v>
      </c>
      <c r="R65" s="22">
        <f t="shared" si="3"/>
        <v>3725155.1549513857</v>
      </c>
      <c r="S65" s="22">
        <f t="shared" si="4"/>
        <v>931288.78873784642</v>
      </c>
      <c r="T65">
        <f t="shared" si="5"/>
        <v>298184.99348189199</v>
      </c>
    </row>
    <row r="66" spans="6:20">
      <c r="F66">
        <f t="shared" si="6"/>
        <v>66</v>
      </c>
      <c r="G66">
        <v>2035</v>
      </c>
      <c r="H66" s="22">
        <f t="shared" si="7"/>
        <v>12543465.897912061</v>
      </c>
      <c r="I66" s="22">
        <f t="shared" si="0"/>
        <v>1003477.2718329648</v>
      </c>
      <c r="J66" s="22">
        <f t="shared" si="11"/>
        <v>200695.45436659298</v>
      </c>
      <c r="K66">
        <f t="shared" si="13"/>
        <v>310112.39322116767</v>
      </c>
      <c r="M66" s="22">
        <f t="shared" si="8"/>
        <v>310112.39322116767</v>
      </c>
      <c r="O66">
        <f t="shared" si="9"/>
        <v>66</v>
      </c>
      <c r="P66">
        <v>2035</v>
      </c>
      <c r="Q66" s="22">
        <f t="shared" si="12"/>
        <v>45497750.10541679</v>
      </c>
      <c r="R66" s="22">
        <f t="shared" si="3"/>
        <v>3912331.257906259</v>
      </c>
      <c r="S66" s="22">
        <f t="shared" si="4"/>
        <v>978082.81447656476</v>
      </c>
      <c r="T66">
        <f t="shared" si="5"/>
        <v>310112.39322116767</v>
      </c>
    </row>
    <row r="67" spans="6:20">
      <c r="F67">
        <f t="shared" si="6"/>
        <v>67</v>
      </c>
      <c r="G67">
        <v>2036</v>
      </c>
      <c r="H67" s="22">
        <f t="shared" si="7"/>
        <v>13036135.322157266</v>
      </c>
      <c r="I67" s="22">
        <f t="shared" si="0"/>
        <v>1042890.8257725813</v>
      </c>
      <c r="J67" s="22">
        <f t="shared" si="11"/>
        <v>208578.16515451626</v>
      </c>
      <c r="K67">
        <f t="shared" si="13"/>
        <v>322516.88895001437</v>
      </c>
      <c r="M67" s="22">
        <f t="shared" si="8"/>
        <v>322516.88895001437</v>
      </c>
      <c r="O67">
        <f t="shared" si="9"/>
        <v>67</v>
      </c>
      <c r="P67">
        <v>2036</v>
      </c>
      <c r="Q67" s="22">
        <f t="shared" si="12"/>
        <v>48121886.155625314</v>
      </c>
      <c r="R67" s="22">
        <f t="shared" si="3"/>
        <v>4109141.4616718986</v>
      </c>
      <c r="S67" s="22">
        <f t="shared" si="4"/>
        <v>1027285.3654179747</v>
      </c>
      <c r="T67">
        <f t="shared" si="5"/>
        <v>322516.88895001437</v>
      </c>
    </row>
    <row r="68" spans="6:20">
      <c r="F68">
        <f t="shared" si="6"/>
        <v>68</v>
      </c>
      <c r="G68">
        <v>2037</v>
      </c>
      <c r="H68" s="22">
        <f t="shared" si="7"/>
        <v>13547931.093825316</v>
      </c>
      <c r="I68" s="22">
        <f t="shared" si="0"/>
        <v>1083834.4875060252</v>
      </c>
      <c r="J68" s="22">
        <f t="shared" si="11"/>
        <v>216766.89750120507</v>
      </c>
      <c r="K68">
        <f t="shared" si="13"/>
        <v>335417.56450801494</v>
      </c>
      <c r="M68" s="22">
        <f t="shared" si="8"/>
        <v>335417.56450801494</v>
      </c>
      <c r="O68">
        <f t="shared" si="9"/>
        <v>68</v>
      </c>
      <c r="P68">
        <v>2037</v>
      </c>
      <c r="Q68" s="22">
        <f t="shared" si="12"/>
        <v>50881225.362929225</v>
      </c>
      <c r="R68" s="22">
        <f t="shared" si="3"/>
        <v>4316091.9022196922</v>
      </c>
      <c r="S68" s="22">
        <f t="shared" si="4"/>
        <v>1079022.9755549231</v>
      </c>
      <c r="T68">
        <f t="shared" si="5"/>
        <v>335417.56450801494</v>
      </c>
    </row>
    <row r="69" spans="6:20">
      <c r="F69">
        <f t="shared" si="6"/>
        <v>69</v>
      </c>
      <c r="G69">
        <v>2038</v>
      </c>
      <c r="H69" s="22">
        <f t="shared" si="7"/>
        <v>14079581.119322121</v>
      </c>
      <c r="I69" s="22">
        <f t="shared" si="0"/>
        <v>1126366.4895457698</v>
      </c>
      <c r="J69" s="22">
        <f t="shared" si="11"/>
        <v>225273.29790915397</v>
      </c>
      <c r="K69">
        <f t="shared" si="13"/>
        <v>348834.26708833553</v>
      </c>
      <c r="M69" s="22">
        <f t="shared" si="8"/>
        <v>348834.26708833553</v>
      </c>
      <c r="O69">
        <f t="shared" si="9"/>
        <v>69</v>
      </c>
      <c r="P69">
        <v>2038</v>
      </c>
      <c r="Q69" s="22">
        <f t="shared" si="12"/>
        <v>53782876.725085981</v>
      </c>
      <c r="R69" s="22">
        <f t="shared" si="3"/>
        <v>4533715.754381448</v>
      </c>
      <c r="S69" s="22">
        <f t="shared" si="4"/>
        <v>1133428.938595362</v>
      </c>
      <c r="T69">
        <f t="shared" si="5"/>
        <v>348834.26708833553</v>
      </c>
    </row>
    <row r="70" spans="6:20">
      <c r="F70">
        <f t="shared" si="6"/>
        <v>70</v>
      </c>
      <c r="G70">
        <v>2039</v>
      </c>
      <c r="H70" s="22">
        <f t="shared" si="7"/>
        <v>14631840.043870403</v>
      </c>
      <c r="I70" s="22">
        <f t="shared" si="0"/>
        <v>1170547.2035096323</v>
      </c>
      <c r="J70" s="22">
        <f t="shared" si="11"/>
        <v>234109.44070192648</v>
      </c>
      <c r="K70">
        <f t="shared" si="13"/>
        <v>362787.63777186896</v>
      </c>
      <c r="M70" s="22">
        <f t="shared" si="8"/>
        <v>362787.63777186896</v>
      </c>
      <c r="O70">
        <f t="shared" si="9"/>
        <v>70</v>
      </c>
      <c r="P70">
        <v>2039</v>
      </c>
      <c r="Q70" s="22">
        <f t="shared" si="12"/>
        <v>56834329.273783728</v>
      </c>
      <c r="R70" s="22">
        <f t="shared" si="3"/>
        <v>4762574.6955337794</v>
      </c>
      <c r="S70" s="22">
        <f t="shared" si="4"/>
        <v>1190643.6738834449</v>
      </c>
      <c r="T70">
        <f t="shared" si="5"/>
        <v>362787.63777186896</v>
      </c>
    </row>
    <row r="71" spans="6:20">
      <c r="F71">
        <f t="shared" si="6"/>
        <v>71</v>
      </c>
      <c r="G71">
        <v>2040</v>
      </c>
      <c r="H71" s="22">
        <f t="shared" si="7"/>
        <v>15205490.16890624</v>
      </c>
      <c r="I71" s="22">
        <f t="shared" si="0"/>
        <v>1216439.2135124991</v>
      </c>
      <c r="J71" s="22">
        <f t="shared" si="11"/>
        <v>243287.84270249982</v>
      </c>
      <c r="K71">
        <f t="shared" si="13"/>
        <v>377299.14328274375</v>
      </c>
      <c r="M71" s="22">
        <f t="shared" si="8"/>
        <v>377299.14328274375</v>
      </c>
      <c r="O71">
        <f t="shared" si="9"/>
        <v>71</v>
      </c>
      <c r="P71">
        <v>2040</v>
      </c>
      <c r="Q71" s="22">
        <f t="shared" si="12"/>
        <v>60043472.657662198</v>
      </c>
      <c r="R71" s="22">
        <f t="shared" si="3"/>
        <v>5003260.4493246647</v>
      </c>
      <c r="S71" s="22">
        <f t="shared" si="4"/>
        <v>1250815.1123311662</v>
      </c>
      <c r="T71">
        <f t="shared" si="5"/>
        <v>377299.14328274375</v>
      </c>
    </row>
    <row r="72" spans="6:20">
      <c r="F72">
        <f t="shared" si="6"/>
        <v>72</v>
      </c>
      <c r="G72">
        <v>2041</v>
      </c>
      <c r="H72" s="22">
        <f t="shared" si="7"/>
        <v>15801342.396433495</v>
      </c>
      <c r="I72" s="22">
        <f t="shared" si="0"/>
        <v>1264107.3917146795</v>
      </c>
      <c r="J72" s="22">
        <f t="shared" si="11"/>
        <v>252821.47834293591</v>
      </c>
      <c r="K72">
        <f t="shared" si="13"/>
        <v>392391.10901405354</v>
      </c>
      <c r="M72" s="22">
        <f t="shared" si="8"/>
        <v>392391.10901405354</v>
      </c>
      <c r="O72">
        <f t="shared" si="9"/>
        <v>72</v>
      </c>
      <c r="P72">
        <v>2041</v>
      </c>
      <c r="Q72" s="22">
        <f t="shared" si="12"/>
        <v>63418618.851372957</v>
      </c>
      <c r="R72" s="22">
        <f t="shared" si="3"/>
        <v>5256396.413852972</v>
      </c>
      <c r="S72" s="22">
        <f t="shared" si="4"/>
        <v>1314099.103463243</v>
      </c>
      <c r="T72">
        <f t="shared" si="5"/>
        <v>392391.10901405354</v>
      </c>
    </row>
    <row r="73" spans="6:20">
      <c r="F73">
        <f t="shared" si="6"/>
        <v>73</v>
      </c>
      <c r="G73">
        <v>2042</v>
      </c>
      <c r="H73" s="22">
        <f t="shared" si="7"/>
        <v>16420237.200791188</v>
      </c>
      <c r="I73" s="22">
        <f t="shared" si="0"/>
        <v>1313618.976063295</v>
      </c>
      <c r="J73" s="22">
        <f t="shared" si="11"/>
        <v>262723.795212659</v>
      </c>
      <c r="K73">
        <f t="shared" si="13"/>
        <v>408086.75337461568</v>
      </c>
      <c r="M73" s="22">
        <f t="shared" si="8"/>
        <v>408086.75337461568</v>
      </c>
      <c r="O73">
        <f t="shared" si="9"/>
        <v>73</v>
      </c>
      <c r="P73">
        <v>2042</v>
      </c>
      <c r="Q73" s="22">
        <f t="shared" si="12"/>
        <v>66968525.052748628</v>
      </c>
      <c r="R73" s="22">
        <f t="shared" si="3"/>
        <v>5522639.3789561465</v>
      </c>
      <c r="S73" s="22">
        <f t="shared" si="4"/>
        <v>1380659.8447390366</v>
      </c>
      <c r="T73">
        <f t="shared" si="5"/>
        <v>408086.75337461568</v>
      </c>
    </row>
    <row r="74" spans="6:20">
      <c r="F74">
        <f t="shared" si="6"/>
        <v>74</v>
      </c>
      <c r="G74">
        <v>2043</v>
      </c>
      <c r="H74" s="22">
        <f t="shared" si="7"/>
        <v>17063045.628267206</v>
      </c>
      <c r="I74" s="22">
        <f t="shared" si="0"/>
        <v>1365043.6502613765</v>
      </c>
      <c r="J74" s="22">
        <f t="shared" si="11"/>
        <v>273008.73005227529</v>
      </c>
      <c r="K74">
        <f t="shared" si="13"/>
        <v>424410.22350960033</v>
      </c>
      <c r="M74" s="22">
        <f t="shared" si="8"/>
        <v>424410.22350960033</v>
      </c>
      <c r="O74">
        <f t="shared" si="9"/>
        <v>74</v>
      </c>
      <c r="P74">
        <v>2043</v>
      </c>
      <c r="Q74" s="22">
        <f t="shared" si="12"/>
        <v>70702417.833591118</v>
      </c>
      <c r="R74" s="22">
        <f t="shared" si="3"/>
        <v>5802681.3375193337</v>
      </c>
      <c r="S74" s="22">
        <f t="shared" si="4"/>
        <v>1450670.3343798334</v>
      </c>
      <c r="T74">
        <f t="shared" si="5"/>
        <v>424410.22350960033</v>
      </c>
    </row>
    <row r="75" spans="6:20">
      <c r="F75">
        <f t="shared" si="6"/>
        <v>75</v>
      </c>
      <c r="G75">
        <v>2044</v>
      </c>
      <c r="H75" s="22">
        <f t="shared" si="7"/>
        <v>17730670.32496671</v>
      </c>
      <c r="I75" s="22">
        <f t="shared" si="0"/>
        <v>1418453.6259973368</v>
      </c>
      <c r="J75" s="22">
        <f t="shared" si="11"/>
        <v>283690.72519946739</v>
      </c>
      <c r="K75">
        <f t="shared" si="13"/>
        <v>441386.63244998438</v>
      </c>
      <c r="M75" s="22">
        <f t="shared" si="8"/>
        <v>441386.63244998438</v>
      </c>
      <c r="O75">
        <f t="shared" si="9"/>
        <v>75</v>
      </c>
      <c r="P75">
        <v>2044</v>
      </c>
      <c r="Q75" s="22">
        <f t="shared" si="12"/>
        <v>74630018.61322102</v>
      </c>
      <c r="R75" s="22">
        <f t="shared" si="3"/>
        <v>6097251.3959915759</v>
      </c>
      <c r="S75" s="22">
        <f t="shared" si="4"/>
        <v>1524312.848997894</v>
      </c>
      <c r="T75">
        <f t="shared" si="5"/>
        <v>441386.63244998438</v>
      </c>
    </row>
    <row r="76" spans="6:20">
      <c r="F76">
        <f t="shared" si="6"/>
        <v>76</v>
      </c>
      <c r="G76">
        <v>2045</v>
      </c>
      <c r="H76" s="22">
        <f t="shared" si="7"/>
        <v>18424046.593314596</v>
      </c>
      <c r="I76" s="22">
        <f t="shared" si="0"/>
        <v>1473923.7274651676</v>
      </c>
      <c r="J76" s="22">
        <f t="shared" si="11"/>
        <v>294784.74549303355</v>
      </c>
      <c r="K76">
        <f t="shared" si="13"/>
        <v>459042.09774798376</v>
      </c>
      <c r="M76" s="22">
        <f t="shared" si="8"/>
        <v>459042.09774798376</v>
      </c>
      <c r="O76">
        <f t="shared" si="9"/>
        <v>76</v>
      </c>
      <c r="P76">
        <v>2045</v>
      </c>
      <c r="Q76" s="22">
        <f t="shared" si="12"/>
        <v>78761570.527764723</v>
      </c>
      <c r="R76" s="22">
        <f t="shared" si="3"/>
        <v>6407117.789582354</v>
      </c>
      <c r="S76" s="22">
        <f t="shared" si="4"/>
        <v>1601779.4473955885</v>
      </c>
      <c r="T76">
        <f t="shared" si="5"/>
        <v>459042.09774798376</v>
      </c>
    </row>
    <row r="77" spans="6:20">
      <c r="F77">
        <f t="shared" si="6"/>
        <v>77</v>
      </c>
      <c r="G77">
        <v>2046</v>
      </c>
      <c r="H77" s="22">
        <f t="shared" si="7"/>
        <v>19144143.477538746</v>
      </c>
      <c r="I77" s="22">
        <f t="shared" si="0"/>
        <v>1531531.4782030997</v>
      </c>
      <c r="J77" s="22">
        <f t="shared" si="11"/>
        <v>306306.29564061994</v>
      </c>
      <c r="K77">
        <f t="shared" si="13"/>
        <v>477403.78165790311</v>
      </c>
      <c r="M77" s="22">
        <f t="shared" si="8"/>
        <v>477403.78165790311</v>
      </c>
      <c r="O77">
        <f t="shared" si="9"/>
        <v>77</v>
      </c>
      <c r="P77">
        <v>2046</v>
      </c>
      <c r="Q77" s="22">
        <f t="shared" si="12"/>
        <v>83107866.772203505</v>
      </c>
      <c r="R77" s="22">
        <f t="shared" si="3"/>
        <v>6733090.0079152631</v>
      </c>
      <c r="S77" s="22">
        <f t="shared" si="4"/>
        <v>1683272.5019788158</v>
      </c>
      <c r="T77">
        <f t="shared" si="5"/>
        <v>477403.78165790311</v>
      </c>
    </row>
    <row r="78" spans="6:20">
      <c r="F78">
        <f t="shared" si="6"/>
        <v>78</v>
      </c>
      <c r="G78">
        <v>2047</v>
      </c>
      <c r="H78" s="22">
        <f t="shared" si="7"/>
        <v>19891964.878443319</v>
      </c>
      <c r="I78" s="22">
        <f t="shared" si="0"/>
        <v>1591357.1902754656</v>
      </c>
      <c r="J78" s="22">
        <f t="shared" si="11"/>
        <v>318271.43805509317</v>
      </c>
      <c r="K78">
        <f t="shared" si="13"/>
        <v>496499.93292421923</v>
      </c>
      <c r="M78" s="22">
        <f t="shared" si="8"/>
        <v>496499.93292421923</v>
      </c>
      <c r="O78">
        <f t="shared" si="9"/>
        <v>78</v>
      </c>
      <c r="P78">
        <v>2047</v>
      </c>
      <c r="Q78" s="22">
        <f t="shared" si="12"/>
        <v>87680280.496482044</v>
      </c>
      <c r="R78" s="22">
        <f t="shared" si="3"/>
        <v>7076021.0372361531</v>
      </c>
      <c r="S78" s="22">
        <f t="shared" si="4"/>
        <v>1769005.2593090383</v>
      </c>
      <c r="T78">
        <f t="shared" si="5"/>
        <v>496499.93292421923</v>
      </c>
    </row>
    <row r="79" spans="6:20">
      <c r="F79">
        <f t="shared" si="6"/>
        <v>79</v>
      </c>
      <c r="G79">
        <v>2048</v>
      </c>
      <c r="H79" s="22">
        <f t="shared" si="7"/>
        <v>20668550.697739471</v>
      </c>
      <c r="I79" s="22">
        <f t="shared" si="0"/>
        <v>1653484.0558191577</v>
      </c>
      <c r="J79" s="22">
        <f t="shared" si="11"/>
        <v>330696.81116383156</v>
      </c>
      <c r="K79">
        <f t="shared" si="13"/>
        <v>516359.93024118803</v>
      </c>
      <c r="M79" s="22">
        <f t="shared" si="8"/>
        <v>516359.93024118803</v>
      </c>
      <c r="O79">
        <f t="shared" si="9"/>
        <v>79</v>
      </c>
      <c r="P79">
        <v>2048</v>
      </c>
      <c r="Q79" s="22">
        <f t="shared" si="12"/>
        <v>92490796.341484934</v>
      </c>
      <c r="R79" s="22">
        <f t="shared" si="3"/>
        <v>7436809.7256113701</v>
      </c>
      <c r="S79" s="22">
        <f t="shared" si="4"/>
        <v>1859202.4314028425</v>
      </c>
      <c r="T79">
        <f t="shared" si="5"/>
        <v>516359.93024118803</v>
      </c>
    </row>
    <row r="80" spans="6:20">
      <c r="F80">
        <f t="shared" si="6"/>
        <v>80</v>
      </c>
      <c r="G80">
        <v>2049</v>
      </c>
      <c r="H80" s="22">
        <f t="shared" si="7"/>
        <v>21474978.012153611</v>
      </c>
      <c r="I80" s="22">
        <f t="shared" si="0"/>
        <v>1717998.2409722889</v>
      </c>
      <c r="J80" s="22">
        <f t="shared" si="11"/>
        <v>343599.64819445781</v>
      </c>
      <c r="K80">
        <f t="shared" si="13"/>
        <v>537014.32745083561</v>
      </c>
      <c r="M80" s="22">
        <f t="shared" si="8"/>
        <v>537014.32745083561</v>
      </c>
      <c r="O80">
        <f t="shared" si="9"/>
        <v>80</v>
      </c>
      <c r="P80">
        <v>2049</v>
      </c>
      <c r="Q80" s="22">
        <f t="shared" si="12"/>
        <v>97552043.705452278</v>
      </c>
      <c r="R80" s="22">
        <f t="shared" si="3"/>
        <v>7816403.2779089203</v>
      </c>
      <c r="S80" s="22">
        <f t="shared" si="4"/>
        <v>1954100.8194772301</v>
      </c>
      <c r="T80">
        <f t="shared" si="5"/>
        <v>537014.32745083561</v>
      </c>
    </row>
    <row r="81" spans="6:20">
      <c r="F81">
        <f t="shared" si="6"/>
        <v>81</v>
      </c>
      <c r="G81">
        <v>2050</v>
      </c>
      <c r="H81" s="22">
        <f t="shared" si="7"/>
        <v>22312362.277480606</v>
      </c>
      <c r="I81" s="22">
        <f t="shared" si="0"/>
        <v>1784988.9821984486</v>
      </c>
      <c r="J81" s="22">
        <f t="shared" si="11"/>
        <v>356997.79643968976</v>
      </c>
      <c r="K81">
        <f t="shared" si="13"/>
        <v>558494.90054886905</v>
      </c>
      <c r="M81" s="22">
        <f t="shared" si="8"/>
        <v>558494.90054886905</v>
      </c>
      <c r="O81">
        <f t="shared" si="9"/>
        <v>81</v>
      </c>
      <c r="P81">
        <v>2050</v>
      </c>
      <c r="Q81" s="22">
        <f t="shared" si="12"/>
        <v>102877331.83643313</v>
      </c>
      <c r="R81" s="22">
        <f t="shared" si="3"/>
        <v>8215799.8877324844</v>
      </c>
      <c r="S81" s="22">
        <f t="shared" si="4"/>
        <v>2053949.9719331211</v>
      </c>
      <c r="T81">
        <f t="shared" si="5"/>
        <v>558494.90054886905</v>
      </c>
    </row>
    <row r="82" spans="6:20">
      <c r="F82">
        <f t="shared" si="6"/>
        <v>82</v>
      </c>
      <c r="G82">
        <v>2051</v>
      </c>
      <c r="H82" s="22">
        <f t="shared" si="7"/>
        <v>23181858.562690496</v>
      </c>
      <c r="I82" s="22">
        <f t="shared" si="0"/>
        <v>1854548.6850152398</v>
      </c>
      <c r="J82" s="22">
        <f t="shared" si="11"/>
        <v>370909.73700304795</v>
      </c>
      <c r="K82">
        <f t="shared" si="13"/>
        <v>580834.69657082378</v>
      </c>
      <c r="M82" s="22">
        <f t="shared" si="8"/>
        <v>580834.69657082378</v>
      </c>
      <c r="O82">
        <f t="shared" si="9"/>
        <v>82</v>
      </c>
      <c r="P82">
        <v>2051</v>
      </c>
      <c r="Q82" s="22">
        <f t="shared" si="12"/>
        <v>108480686.85168362</v>
      </c>
      <c r="R82" s="22">
        <f t="shared" si="3"/>
        <v>8636051.5138762705</v>
      </c>
      <c r="S82" s="22">
        <f t="shared" si="4"/>
        <v>2159012.8784690676</v>
      </c>
      <c r="T82">
        <f t="shared" si="5"/>
        <v>580834.69657082378</v>
      </c>
    </row>
    <row r="83" spans="6:20">
      <c r="F83">
        <f t="shared" si="6"/>
        <v>83</v>
      </c>
      <c r="G83">
        <v>2052</v>
      </c>
      <c r="H83" s="22">
        <f t="shared" si="7"/>
        <v>24084662.814131863</v>
      </c>
      <c r="I83" s="22">
        <f t="shared" si="0"/>
        <v>1926773.0251305492</v>
      </c>
      <c r="J83" s="22">
        <f t="shared" si="11"/>
        <v>385354.60502610984</v>
      </c>
      <c r="K83">
        <f t="shared" si="13"/>
        <v>604068.08443365677</v>
      </c>
      <c r="M83" s="22">
        <f t="shared" si="8"/>
        <v>604068.08443365677</v>
      </c>
      <c r="O83">
        <f t="shared" si="9"/>
        <v>83</v>
      </c>
      <c r="P83">
        <v>2052</v>
      </c>
      <c r="Q83" s="22">
        <f t="shared" si="12"/>
        <v>114376890.79052</v>
      </c>
      <c r="R83" s="22">
        <f t="shared" si="3"/>
        <v>9078266.8092889991</v>
      </c>
      <c r="S83" s="22">
        <f t="shared" si="4"/>
        <v>2269566.7023222498</v>
      </c>
      <c r="T83">
        <f t="shared" si="5"/>
        <v>604068.08443365677</v>
      </c>
    </row>
    <row r="84" spans="6:20">
      <c r="F84">
        <f t="shared" si="6"/>
        <v>84</v>
      </c>
      <c r="G84">
        <v>2053</v>
      </c>
      <c r="H84" s="22">
        <f t="shared" si="7"/>
        <v>25022013.149802644</v>
      </c>
      <c r="I84" s="22">
        <f t="shared" si="0"/>
        <v>2001761.0519842114</v>
      </c>
      <c r="J84" s="22">
        <f t="shared" si="11"/>
        <v>400352.21039684233</v>
      </c>
      <c r="K84">
        <f t="shared" si="13"/>
        <v>628230.80781100306</v>
      </c>
      <c r="M84" s="22">
        <f t="shared" si="8"/>
        <v>628230.80781100306</v>
      </c>
      <c r="O84">
        <f t="shared" si="9"/>
        <v>84</v>
      </c>
      <c r="P84">
        <v>2053</v>
      </c>
      <c r="Q84" s="22">
        <f t="shared" si="12"/>
        <v>120581522.81305309</v>
      </c>
      <c r="R84" s="22">
        <f t="shared" si="3"/>
        <v>9543614.2109789811</v>
      </c>
      <c r="S84" s="22">
        <f t="shared" si="4"/>
        <v>2385903.5527447453</v>
      </c>
      <c r="T84">
        <f t="shared" si="5"/>
        <v>628230.80781100306</v>
      </c>
    </row>
    <row r="85" spans="6:20">
      <c r="F85">
        <f t="shared" si="6"/>
        <v>85</v>
      </c>
      <c r="G85">
        <v>2054</v>
      </c>
      <c r="H85" s="22">
        <f t="shared" si="7"/>
        <v>25995191.183579009</v>
      </c>
      <c r="I85" s="22">
        <f t="shared" si="0"/>
        <v>2079615.2946863207</v>
      </c>
      <c r="J85" s="22">
        <f t="shared" si="11"/>
        <v>415923.05893726414</v>
      </c>
      <c r="K85">
        <f t="shared" si="13"/>
        <v>653360.04012344324</v>
      </c>
      <c r="M85" s="22">
        <f t="shared" si="8"/>
        <v>653360.04012344324</v>
      </c>
      <c r="O85">
        <f t="shared" si="9"/>
        <v>85</v>
      </c>
      <c r="P85">
        <v>2054</v>
      </c>
      <c r="Q85" s="22">
        <f t="shared" si="12"/>
        <v>127111002.66347632</v>
      </c>
      <c r="R85" s="22">
        <f t="shared" si="3"/>
        <v>10033325.199760724</v>
      </c>
      <c r="S85" s="22">
        <f t="shared" si="4"/>
        <v>2508331.299940181</v>
      </c>
      <c r="T85">
        <f t="shared" si="5"/>
        <v>653360.04012344324</v>
      </c>
    </row>
    <row r="86" spans="6:20">
      <c r="F86">
        <f t="shared" si="6"/>
        <v>86</v>
      </c>
      <c r="G86">
        <v>2055</v>
      </c>
      <c r="H86" s="22">
        <f t="shared" si="7"/>
        <v>27005523.379204623</v>
      </c>
      <c r="I86" s="22">
        <f t="shared" si="0"/>
        <v>2160441.8703363701</v>
      </c>
      <c r="J86" s="22">
        <f t="shared" si="11"/>
        <v>432088.37406727404</v>
      </c>
      <c r="K86">
        <f t="shared" si="13"/>
        <v>679494.44172838097</v>
      </c>
      <c r="M86" s="22">
        <f t="shared" si="8"/>
        <v>679494.44172838097</v>
      </c>
      <c r="O86">
        <f t="shared" si="9"/>
        <v>86</v>
      </c>
      <c r="P86">
        <v>2055</v>
      </c>
      <c r="Q86" s="22">
        <f t="shared" si="12"/>
        <v>133982636.52317344</v>
      </c>
      <c r="R86" s="22">
        <f t="shared" si="3"/>
        <v>10548697.739238007</v>
      </c>
      <c r="S86" s="22">
        <f t="shared" si="4"/>
        <v>2637174.4348095017</v>
      </c>
      <c r="T86">
        <f t="shared" si="5"/>
        <v>679494.44172838097</v>
      </c>
    </row>
    <row r="87" spans="6:20">
      <c r="F87">
        <f t="shared" si="6"/>
        <v>87</v>
      </c>
      <c r="G87">
        <v>2056</v>
      </c>
      <c r="H87" s="22">
        <f t="shared" si="7"/>
        <v>28054382.43374534</v>
      </c>
      <c r="I87" s="22">
        <f t="shared" si="0"/>
        <v>2244350.5946996273</v>
      </c>
      <c r="J87" s="22">
        <f t="shared" si="11"/>
        <v>448870.11893992545</v>
      </c>
      <c r="K87">
        <f t="shared" si="13"/>
        <v>706674.21939751622</v>
      </c>
      <c r="M87" s="22">
        <f t="shared" si="8"/>
        <v>706674.21939751622</v>
      </c>
      <c r="O87">
        <f t="shared" si="9"/>
        <v>87</v>
      </c>
      <c r="P87">
        <v>2056</v>
      </c>
      <c r="Q87" s="22">
        <f t="shared" si="12"/>
        <v>141214665.38587356</v>
      </c>
      <c r="R87" s="22">
        <f t="shared" si="3"/>
        <v>11091099.903940516</v>
      </c>
      <c r="S87" s="22">
        <f t="shared" si="4"/>
        <v>2772774.9759851289</v>
      </c>
      <c r="T87">
        <f t="shared" si="5"/>
        <v>706674.21939751622</v>
      </c>
    </row>
    <row r="88" spans="6:20">
      <c r="F88">
        <f t="shared" si="6"/>
        <v>88</v>
      </c>
      <c r="G88">
        <v>2057</v>
      </c>
      <c r="H88" s="22">
        <f t="shared" si="7"/>
        <v>29143188.690107528</v>
      </c>
      <c r="I88" s="22">
        <f t="shared" si="0"/>
        <v>2331455.0952086025</v>
      </c>
      <c r="J88" s="22">
        <f t="shared" si="11"/>
        <v>466291.01904172054</v>
      </c>
      <c r="K88">
        <f t="shared" si="13"/>
        <v>734941.18817341689</v>
      </c>
      <c r="M88" s="22">
        <f t="shared" si="8"/>
        <v>734941.18817341689</v>
      </c>
      <c r="O88">
        <f t="shared" si="9"/>
        <v>88</v>
      </c>
      <c r="P88">
        <v>2057</v>
      </c>
      <c r="Q88" s="22">
        <f t="shared" si="12"/>
        <v>148826316.09443143</v>
      </c>
      <c r="R88" s="22">
        <f t="shared" si="3"/>
        <v>11661973.707082357</v>
      </c>
      <c r="S88" s="22">
        <f t="shared" si="4"/>
        <v>2915493.4267705893</v>
      </c>
      <c r="T88">
        <f t="shared" si="5"/>
        <v>734941.18817341689</v>
      </c>
    </row>
    <row r="89" spans="6:20">
      <c r="F89">
        <f t="shared" si="6"/>
        <v>89</v>
      </c>
      <c r="G89">
        <v>2058</v>
      </c>
      <c r="H89" s="22">
        <f t="shared" si="7"/>
        <v>30273411.578100994</v>
      </c>
      <c r="I89" s="22">
        <f t="shared" si="0"/>
        <v>2421872.9262480796</v>
      </c>
      <c r="J89" s="22">
        <f t="shared" si="11"/>
        <v>484374.58524961595</v>
      </c>
      <c r="K89">
        <f t="shared" si="13"/>
        <v>764338.83570035361</v>
      </c>
      <c r="M89" s="22">
        <f t="shared" si="8"/>
        <v>764338.83570035361</v>
      </c>
      <c r="O89">
        <f t="shared" si="9"/>
        <v>89</v>
      </c>
      <c r="P89">
        <v>2058</v>
      </c>
      <c r="Q89" s="22">
        <f t="shared" si="12"/>
        <v>156837855.18656978</v>
      </c>
      <c r="R89" s="22">
        <f t="shared" si="3"/>
        <v>12262839.138992732</v>
      </c>
      <c r="S89" s="22">
        <f t="shared" si="4"/>
        <v>3065709.7847481831</v>
      </c>
      <c r="T89">
        <f t="shared" si="5"/>
        <v>764338.83570035361</v>
      </c>
    </row>
    <row r="90" spans="6:20">
      <c r="F90">
        <f t="shared" si="6"/>
        <v>90</v>
      </c>
      <c r="G90">
        <v>2059</v>
      </c>
      <c r="H90" s="22">
        <f t="shared" si="7"/>
        <v>31446571.083399102</v>
      </c>
      <c r="I90" s="22">
        <f t="shared" si="0"/>
        <v>2515725.686671928</v>
      </c>
      <c r="J90" s="22">
        <f t="shared" si="11"/>
        <v>503145.13733438565</v>
      </c>
      <c r="K90">
        <f t="shared" si="13"/>
        <v>794912.38912836777</v>
      </c>
      <c r="M90" s="22">
        <f t="shared" si="8"/>
        <v>794912.38912836777</v>
      </c>
      <c r="O90">
        <f t="shared" si="9"/>
        <v>90</v>
      </c>
      <c r="P90">
        <v>2059</v>
      </c>
      <c r="Q90" s="22">
        <f t="shared" si="12"/>
        <v>165270645.70511395</v>
      </c>
      <c r="R90" s="22">
        <f t="shared" si="3"/>
        <v>12895298.427883545</v>
      </c>
      <c r="S90" s="22">
        <f t="shared" si="4"/>
        <v>3223824.6069708862</v>
      </c>
      <c r="T90">
        <f t="shared" si="5"/>
        <v>794912.38912836777</v>
      </c>
    </row>
    <row r="91" spans="6:20">
      <c r="F91">
        <f t="shared" si="6"/>
        <v>91</v>
      </c>
      <c r="G91">
        <v>2060</v>
      </c>
      <c r="H91" s="22">
        <f t="shared" si="7"/>
        <v>32664239.243608277</v>
      </c>
      <c r="I91" s="22">
        <f t="shared" si="0"/>
        <v>2613139.1394886621</v>
      </c>
      <c r="J91" s="22">
        <f t="shared" si="11"/>
        <v>522627.82789773244</v>
      </c>
      <c r="K91">
        <f t="shared" si="13"/>
        <v>826708.88469350245</v>
      </c>
      <c r="M91" s="22">
        <f t="shared" si="8"/>
        <v>826708.88469350245</v>
      </c>
      <c r="O91">
        <f t="shared" si="9"/>
        <v>91</v>
      </c>
      <c r="P91">
        <v>2060</v>
      </c>
      <c r="Q91" s="22">
        <f t="shared" si="12"/>
        <v>174147207.13689825</v>
      </c>
      <c r="R91" s="22">
        <f t="shared" si="3"/>
        <v>13561040.535267368</v>
      </c>
      <c r="S91" s="22">
        <f t="shared" si="4"/>
        <v>3390260.133816842</v>
      </c>
      <c r="T91">
        <f t="shared" si="5"/>
        <v>826708.88469350245</v>
      </c>
    </row>
    <row r="92" spans="6:20">
      <c r="F92">
        <f t="shared" si="6"/>
        <v>92</v>
      </c>
      <c r="G92">
        <v>2061</v>
      </c>
      <c r="H92" s="22">
        <f t="shared" si="7"/>
        <v>33928041.670505702</v>
      </c>
      <c r="I92" s="22">
        <f t="shared" si="0"/>
        <v>2714243.3336404562</v>
      </c>
      <c r="J92" s="22">
        <f t="shared" si="11"/>
        <v>542848.66672809131</v>
      </c>
      <c r="K92">
        <f t="shared" si="13"/>
        <v>859777.24008124252</v>
      </c>
      <c r="M92" s="22">
        <f t="shared" si="8"/>
        <v>859777.24008124252</v>
      </c>
      <c r="O92">
        <f t="shared" si="9"/>
        <v>92</v>
      </c>
      <c r="P92">
        <v>2061</v>
      </c>
      <c r="Q92" s="22">
        <f t="shared" si="12"/>
        <v>183491278.65365529</v>
      </c>
      <c r="R92" s="22">
        <f t="shared" si="3"/>
        <v>14261845.899024146</v>
      </c>
      <c r="S92" s="22">
        <f t="shared" si="4"/>
        <v>3565461.4747560364</v>
      </c>
      <c r="T92">
        <f t="shared" si="5"/>
        <v>859777.24008124252</v>
      </c>
    </row>
    <row r="93" spans="6:20">
      <c r="F93">
        <f t="shared" si="6"/>
        <v>93</v>
      </c>
      <c r="G93">
        <v>2062</v>
      </c>
      <c r="H93" s="22">
        <f t="shared" si="7"/>
        <v>35239659.097336821</v>
      </c>
      <c r="I93" s="22">
        <f t="shared" si="0"/>
        <v>2819172.7277869456</v>
      </c>
      <c r="J93" s="22">
        <f t="shared" si="11"/>
        <v>563834.54555738915</v>
      </c>
      <c r="K93">
        <f t="shared" si="13"/>
        <v>894168.3296844922</v>
      </c>
      <c r="M93" s="22">
        <f t="shared" si="8"/>
        <v>894168.3296844922</v>
      </c>
      <c r="O93">
        <f t="shared" si="9"/>
        <v>93</v>
      </c>
      <c r="P93">
        <v>2062</v>
      </c>
      <c r="Q93" s="22">
        <f t="shared" si="12"/>
        <v>193327885.83784217</v>
      </c>
      <c r="R93" s="22">
        <f t="shared" si="3"/>
        <v>14999591.437838161</v>
      </c>
      <c r="S93" s="22">
        <f t="shared" si="4"/>
        <v>3749897.8594595403</v>
      </c>
      <c r="T93">
        <f t="shared" si="5"/>
        <v>894168.3296844922</v>
      </c>
    </row>
    <row r="94" spans="6:20">
      <c r="F94">
        <f t="shared" si="6"/>
        <v>94</v>
      </c>
      <c r="G94">
        <v>2063</v>
      </c>
      <c r="H94" s="22">
        <f t="shared" si="7"/>
        <v>36600828.949881881</v>
      </c>
      <c r="I94" s="22">
        <f t="shared" si="0"/>
        <v>2928066.3159905504</v>
      </c>
      <c r="J94" s="22">
        <f t="shared" si="11"/>
        <v>585613.26319811016</v>
      </c>
      <c r="K94">
        <f t="shared" si="13"/>
        <v>929935.06287187187</v>
      </c>
      <c r="M94" s="22">
        <f t="shared" si="8"/>
        <v>929935.06287187187</v>
      </c>
      <c r="O94">
        <f t="shared" si="9"/>
        <v>94</v>
      </c>
      <c r="P94">
        <v>2063</v>
      </c>
      <c r="Q94" s="22">
        <f t="shared" si="12"/>
        <v>203683411.08653629</v>
      </c>
      <c r="R94" s="22">
        <f t="shared" si="3"/>
        <v>15776255.831490221</v>
      </c>
      <c r="S94" s="22">
        <f t="shared" si="4"/>
        <v>3944063.9578725551</v>
      </c>
      <c r="T94">
        <f t="shared" si="5"/>
        <v>929935.06287187187</v>
      </c>
    </row>
    <row r="95" spans="6:20">
      <c r="F95">
        <f t="shared" si="6"/>
        <v>95</v>
      </c>
      <c r="G95">
        <v>2064</v>
      </c>
      <c r="H95" s="22">
        <f t="shared" si="7"/>
        <v>38013346.939802453</v>
      </c>
      <c r="I95" s="22">
        <f t="shared" si="0"/>
        <v>3041067.7551841964</v>
      </c>
      <c r="J95" s="22">
        <f t="shared" si="11"/>
        <v>608213.55103683926</v>
      </c>
      <c r="K95">
        <f t="shared" si="13"/>
        <v>967132.4653867468</v>
      </c>
      <c r="M95" s="22">
        <f t="shared" si="8"/>
        <v>967132.4653867468</v>
      </c>
      <c r="O95">
        <f t="shared" si="9"/>
        <v>95</v>
      </c>
      <c r="P95">
        <v>2064</v>
      </c>
      <c r="Q95" s="22">
        <f t="shared" si="12"/>
        <v>214585667.89728206</v>
      </c>
      <c r="R95" s="22">
        <f t="shared" si="3"/>
        <v>16593925.092296153</v>
      </c>
      <c r="S95" s="22">
        <f t="shared" si="4"/>
        <v>4148481.2730740383</v>
      </c>
      <c r="T95">
        <f t="shared" si="5"/>
        <v>967132.4653867468</v>
      </c>
    </row>
    <row r="96" spans="6:20">
      <c r="F96">
        <f t="shared" si="6"/>
        <v>96</v>
      </c>
      <c r="G96">
        <v>2065</v>
      </c>
      <c r="H96" s="22">
        <f t="shared" si="7"/>
        <v>39479068.678563058</v>
      </c>
      <c r="I96" s="22">
        <f t="shared" si="0"/>
        <v>3158325.4942850447</v>
      </c>
      <c r="J96" s="22">
        <f t="shared" si="11"/>
        <v>631665.09885700897</v>
      </c>
      <c r="K96">
        <f t="shared" si="13"/>
        <v>1005817.7640022167</v>
      </c>
      <c r="M96" s="22">
        <f t="shared" si="8"/>
        <v>1005817.7640022167</v>
      </c>
      <c r="O96">
        <f t="shared" si="9"/>
        <v>96</v>
      </c>
      <c r="P96">
        <v>2065</v>
      </c>
      <c r="Q96" s="22">
        <f t="shared" si="12"/>
        <v>226063979.25111744</v>
      </c>
      <c r="R96" s="22">
        <f t="shared" si="3"/>
        <v>17454798.443833806</v>
      </c>
      <c r="S96" s="22">
        <f t="shared" si="4"/>
        <v>4363699.6109584514</v>
      </c>
      <c r="T96">
        <f t="shared" si="5"/>
        <v>1005817.7640022167</v>
      </c>
    </row>
    <row r="97" spans="6:20">
      <c r="F97">
        <f t="shared" si="6"/>
        <v>97</v>
      </c>
      <c r="G97">
        <v>2066</v>
      </c>
      <c r="H97" s="22">
        <f t="shared" si="7"/>
        <v>40999911.309988879</v>
      </c>
      <c r="I97" s="22">
        <f t="shared" si="0"/>
        <v>3279992.9047991103</v>
      </c>
      <c r="J97" s="22">
        <f t="shared" si="11"/>
        <v>655998.58095982205</v>
      </c>
      <c r="K97">
        <f t="shared" si="13"/>
        <v>1046050.4745623055</v>
      </c>
      <c r="M97" s="22">
        <f t="shared" si="8"/>
        <v>1046050.4745623055</v>
      </c>
      <c r="O97">
        <f t="shared" si="9"/>
        <v>97</v>
      </c>
      <c r="P97">
        <v>2066</v>
      </c>
      <c r="Q97" s="22">
        <f t="shared" si="12"/>
        <v>238149260.31999058</v>
      </c>
      <c r="R97" s="22">
        <f t="shared" si="3"/>
        <v>18361194.523999292</v>
      </c>
      <c r="S97" s="22">
        <f t="shared" si="4"/>
        <v>4590298.6309998231</v>
      </c>
      <c r="T97">
        <f t="shared" si="5"/>
        <v>1046050.4745623055</v>
      </c>
    </row>
    <row r="98" spans="6:20">
      <c r="F98">
        <f t="shared" si="6"/>
        <v>98</v>
      </c>
      <c r="G98">
        <v>2067</v>
      </c>
      <c r="H98" s="22">
        <f t="shared" si="7"/>
        <v>42577855.159265868</v>
      </c>
      <c r="I98" s="22">
        <f>H98*$I$30</f>
        <v>3406228.4127412695</v>
      </c>
      <c r="J98" s="22">
        <f t="shared" si="11"/>
        <v>681245.68254825391</v>
      </c>
      <c r="K98">
        <f t="shared" si="13"/>
        <v>1087892.4935447976</v>
      </c>
      <c r="M98" s="22">
        <f t="shared" si="8"/>
        <v>1087892.4935447976</v>
      </c>
      <c r="O98">
        <f t="shared" si="9"/>
        <v>98</v>
      </c>
      <c r="P98">
        <v>2067</v>
      </c>
      <c r="Q98" s="22">
        <f t="shared" si="12"/>
        <v>250874105.73842773</v>
      </c>
      <c r="R98" s="22">
        <f>Q98*$R$30+$R$26</f>
        <v>19315557.93038208</v>
      </c>
      <c r="S98" s="22">
        <f>R98*$S$30</f>
        <v>4828889.4825955201</v>
      </c>
      <c r="T98">
        <f>M98</f>
        <v>1087892.4935447976</v>
      </c>
    </row>
    <row r="99" spans="6:20">
      <c r="F99">
        <f>F98+1</f>
        <v>99</v>
      </c>
      <c r="G99">
        <v>2068</v>
      </c>
      <c r="H99" s="22">
        <f>H98+I98-J98-K98</f>
        <v>44214945.395914085</v>
      </c>
      <c r="I99" s="22">
        <f>H99*$I$30</f>
        <v>3537195.6316731269</v>
      </c>
      <c r="J99" s="22">
        <f t="shared" si="11"/>
        <v>707439.12633462541</v>
      </c>
      <c r="K99">
        <f t="shared" si="13"/>
        <v>1131408.1932865896</v>
      </c>
      <c r="M99" s="22">
        <f>M98*(1+$L$31)</f>
        <v>1131408.1932865896</v>
      </c>
      <c r="O99">
        <f>O98+1</f>
        <v>99</v>
      </c>
      <c r="P99">
        <v>2068</v>
      </c>
      <c r="Q99" s="22">
        <f t="shared" si="12"/>
        <v>264272881.69266951</v>
      </c>
      <c r="R99" s="22">
        <f>Q99*$R$30+$R$26</f>
        <v>20320466.126950212</v>
      </c>
      <c r="S99" s="22">
        <f>R99*$S$30</f>
        <v>5080116.531737553</v>
      </c>
      <c r="T99">
        <f>M99</f>
        <v>1131408.1932865896</v>
      </c>
    </row>
    <row r="100" spans="6:20">
      <c r="F100">
        <f>F99+1</f>
        <v>100</v>
      </c>
      <c r="G100">
        <v>2069</v>
      </c>
      <c r="H100" s="22">
        <f>H99+I99-J99-K99</f>
        <v>45913293.707966</v>
      </c>
      <c r="I100" s="22">
        <f>H100*$I$30</f>
        <v>3673063.4966372801</v>
      </c>
      <c r="J100" s="22">
        <f t="shared" si="11"/>
        <v>734612.69932745607</v>
      </c>
      <c r="K100">
        <f t="shared" si="13"/>
        <v>1176664.5210180532</v>
      </c>
      <c r="M100" s="22">
        <f>M99*(1+$L$31)</f>
        <v>1176664.5210180532</v>
      </c>
      <c r="O100">
        <f>O99+1</f>
        <v>100</v>
      </c>
      <c r="P100">
        <v>2069</v>
      </c>
      <c r="Q100" s="22">
        <f t="shared" si="12"/>
        <v>278381823.09459555</v>
      </c>
      <c r="R100" s="22">
        <f>Q100*$R$30+$R$26</f>
        <v>21378636.732094664</v>
      </c>
      <c r="S100" s="22">
        <f>R100*$S$30</f>
        <v>5344659.183023666</v>
      </c>
      <c r="T100">
        <f>M100</f>
        <v>1176664.5210180532</v>
      </c>
    </row>
    <row r="101" spans="6:20">
      <c r="F101">
        <f>F100+1</f>
        <v>101</v>
      </c>
      <c r="G101">
        <v>2070</v>
      </c>
      <c r="H101" s="22">
        <f>H100+I100-J100-K100</f>
        <v>47675079.984257773</v>
      </c>
      <c r="I101" s="22">
        <f>H101*$I$30</f>
        <v>3814006.3987406217</v>
      </c>
      <c r="J101" s="22">
        <f t="shared" si="11"/>
        <v>762801.27974812442</v>
      </c>
      <c r="K101">
        <f t="shared" si="13"/>
        <v>1223731.1018587754</v>
      </c>
      <c r="M101" s="22">
        <f>M100*(1+$L$31)</f>
        <v>1223731.1018587754</v>
      </c>
      <c r="O101">
        <f>O100+1</f>
        <v>101</v>
      </c>
      <c r="P101">
        <v>2070</v>
      </c>
      <c r="Q101" s="22">
        <f t="shared" si="12"/>
        <v>293239136.12264848</v>
      </c>
      <c r="R101" s="22">
        <f>Q101*$R$30+$R$26</f>
        <v>22492935.209198635</v>
      </c>
      <c r="S101" s="22">
        <f>R101*$S$30</f>
        <v>5623233.8022996588</v>
      </c>
      <c r="T101">
        <f>M101</f>
        <v>1223731.1018587754</v>
      </c>
    </row>
    <row r="102" spans="6:20">
      <c r="F102">
        <f>F101+1</f>
        <v>102</v>
      </c>
      <c r="G102">
        <v>2071</v>
      </c>
      <c r="H102" s="22">
        <f>H101+I101-J101-K101</f>
        <v>49502554.001391493</v>
      </c>
      <c r="I102" s="22">
        <f>H102*$I$30</f>
        <v>3960204.3201113194</v>
      </c>
      <c r="J102" s="22">
        <f t="shared" si="11"/>
        <v>792040.86402226391</v>
      </c>
      <c r="K102">
        <f t="shared" si="13"/>
        <v>1272680.3459331265</v>
      </c>
      <c r="M102" s="22">
        <f>M101*(1+$L$31)</f>
        <v>1272680.3459331265</v>
      </c>
      <c r="O102">
        <f>O101+1</f>
        <v>102</v>
      </c>
      <c r="P102">
        <v>2071</v>
      </c>
      <c r="Q102" s="22">
        <f t="shared" si="12"/>
        <v>308885106.42768866</v>
      </c>
      <c r="R102" s="22">
        <f>Q102*$R$30+$R$26</f>
        <v>23666382.982076649</v>
      </c>
      <c r="S102" s="22">
        <f>R102*$S$30</f>
        <v>5916595.7455191622</v>
      </c>
      <c r="T102">
        <f>M102</f>
        <v>1272680.3459331265</v>
      </c>
    </row>
    <row r="103" spans="6:20">
      <c r="O103" s="22"/>
      <c r="P103" s="22"/>
      <c r="Q103" s="22"/>
    </row>
    <row r="104" spans="6:20">
      <c r="O104" s="22"/>
      <c r="P104" s="22"/>
      <c r="Q104" s="22"/>
    </row>
    <row r="105" spans="6:20">
      <c r="O105" s="22"/>
      <c r="P105" s="22"/>
      <c r="Q105" s="22"/>
    </row>
    <row r="106" spans="6:20">
      <c r="O106" s="22"/>
      <c r="P106" s="22"/>
      <c r="Q106" s="22"/>
    </row>
    <row r="107" spans="6:20">
      <c r="O107" s="22"/>
      <c r="P107" s="22"/>
      <c r="Q107" s="22"/>
    </row>
    <row r="108" spans="6:20">
      <c r="O108" s="22"/>
      <c r="P108" s="22"/>
      <c r="Q108" s="22"/>
    </row>
    <row r="109" spans="6:20">
      <c r="O109" s="22"/>
      <c r="P109" s="22"/>
      <c r="Q109" s="22"/>
    </row>
    <row r="110" spans="6:20">
      <c r="O110" s="22"/>
      <c r="P110" s="22"/>
      <c r="Q110" s="22"/>
    </row>
  </sheetData>
  <pageMargins left="0.75" right="0.75" top="1" bottom="1" header="0.5" footer="0.5"/>
  <pageSetup orientation="portrait" horizontalDpi="4294967292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Y219"/>
  <sheetViews>
    <sheetView tabSelected="1" defaultGridColor="0" topLeftCell="A125" colorId="22" zoomScale="87" workbookViewId="0">
      <selection activeCell="B135" sqref="B135"/>
    </sheetView>
  </sheetViews>
  <sheetFormatPr defaultColWidth="9.81640625" defaultRowHeight="15"/>
  <cols>
    <col min="1" max="1" width="7.90625" customWidth="1"/>
    <col min="2" max="2" width="14.81640625" customWidth="1"/>
    <col min="3" max="3" width="11.453125" customWidth="1"/>
    <col min="4" max="4" width="11.1796875" customWidth="1"/>
    <col min="5" max="5" width="13.90625" bestFit="1" customWidth="1"/>
    <col min="6" max="6" width="11.54296875" customWidth="1"/>
    <col min="7" max="7" width="14.81640625" customWidth="1"/>
    <col min="11" max="11" width="17.6328125" customWidth="1"/>
    <col min="12" max="12" width="12.36328125" bestFit="1" customWidth="1"/>
    <col min="13" max="13" width="13.90625" bestFit="1" customWidth="1"/>
    <col min="14" max="14" width="12.90625" bestFit="1" customWidth="1"/>
    <col min="15" max="15" width="10.90625" customWidth="1"/>
    <col min="16" max="16" width="13.90625" bestFit="1" customWidth="1"/>
    <col min="17" max="17" width="12.90625" bestFit="1" customWidth="1"/>
  </cols>
  <sheetData>
    <row r="1" spans="1:25">
      <c r="A1" t="s">
        <v>51</v>
      </c>
      <c r="B1" s="2" t="s">
        <v>45</v>
      </c>
      <c r="C1">
        <v>132</v>
      </c>
      <c r="D1" s="48">
        <f>K140</f>
        <v>6792165.4330000002</v>
      </c>
      <c r="E1" s="3">
        <v>36600</v>
      </c>
      <c r="F1" s="4"/>
      <c r="G1" t="s">
        <v>0</v>
      </c>
      <c r="K1" t="s">
        <v>341</v>
      </c>
      <c r="L1" t="s">
        <v>342</v>
      </c>
      <c r="M1" t="s">
        <v>343</v>
      </c>
      <c r="N1" s="52"/>
      <c r="O1" s="52"/>
      <c r="R1" s="52"/>
      <c r="S1" s="52"/>
      <c r="U1" s="52"/>
      <c r="V1" s="52"/>
    </row>
    <row r="2" spans="1:25">
      <c r="D2" s="42">
        <f>L140</f>
        <v>7147044.5002000006</v>
      </c>
      <c r="F2" s="1"/>
      <c r="K2" t="str">
        <f>B35</f>
        <v>Short Jan 02 $90 calls</v>
      </c>
      <c r="L2">
        <f>I35</f>
        <v>163200</v>
      </c>
      <c r="M2">
        <f>IF(-30000*(C1/2-90)&gt;C35*D35,C35*D35*-0.6,-30000*(C1/2-90)*0.6)</f>
        <v>163200</v>
      </c>
    </row>
    <row r="3" spans="1:25" ht="15.6">
      <c r="B3" s="8" t="s">
        <v>1</v>
      </c>
      <c r="C3" s="2"/>
      <c r="D3" s="43">
        <f>M140</f>
        <v>7724187.8602000009</v>
      </c>
      <c r="E3" s="2"/>
      <c r="F3" s="4"/>
      <c r="H3" s="9" t="s">
        <v>216</v>
      </c>
      <c r="I3" s="34" t="s">
        <v>217</v>
      </c>
      <c r="J3" s="35" t="s">
        <v>218</v>
      </c>
      <c r="P3" s="15"/>
      <c r="X3">
        <f>U3*80</f>
        <v>0</v>
      </c>
    </row>
    <row r="4" spans="1:25">
      <c r="A4" s="7" t="s">
        <v>57</v>
      </c>
      <c r="B4" s="2" t="s">
        <v>56</v>
      </c>
      <c r="C4" s="2"/>
      <c r="D4" s="2"/>
      <c r="E4" s="2">
        <v>15000</v>
      </c>
      <c r="F4" s="4"/>
      <c r="P4" s="15"/>
    </row>
    <row r="5" spans="1:25">
      <c r="B5" s="2" t="s">
        <v>2</v>
      </c>
      <c r="C5" s="2"/>
      <c r="D5" s="2"/>
      <c r="E5" s="5"/>
      <c r="F5" s="4"/>
      <c r="L5" t="s">
        <v>304</v>
      </c>
      <c r="N5" s="32"/>
      <c r="P5" s="32"/>
      <c r="S5" s="51"/>
      <c r="V5" s="51"/>
    </row>
    <row r="6" spans="1:25">
      <c r="B6" s="2" t="s">
        <v>3</v>
      </c>
      <c r="C6" s="2"/>
      <c r="D6" s="2"/>
      <c r="E6" s="2"/>
      <c r="F6" s="4">
        <f>SUM(E4:E5)</f>
        <v>15000</v>
      </c>
      <c r="G6" s="34">
        <f>F6</f>
        <v>15000</v>
      </c>
      <c r="I6">
        <f>G6</f>
        <v>15000</v>
      </c>
      <c r="M6">
        <v>100</v>
      </c>
      <c r="P6" s="33"/>
    </row>
    <row r="7" spans="1:25">
      <c r="F7" s="1"/>
      <c r="M7">
        <v>110</v>
      </c>
      <c r="P7" s="33"/>
    </row>
    <row r="8" spans="1:25">
      <c r="A8" t="s">
        <v>66</v>
      </c>
      <c r="B8" s="2" t="s">
        <v>58</v>
      </c>
      <c r="C8" s="2"/>
      <c r="D8" s="2"/>
      <c r="E8" s="2"/>
      <c r="F8" s="4">
        <v>2883</v>
      </c>
      <c r="G8" s="34">
        <f>F8</f>
        <v>2883</v>
      </c>
      <c r="I8">
        <f>G8</f>
        <v>2883</v>
      </c>
      <c r="M8">
        <v>120</v>
      </c>
      <c r="P8" s="33"/>
    </row>
    <row r="9" spans="1:25">
      <c r="F9" s="1"/>
      <c r="M9">
        <v>130</v>
      </c>
      <c r="N9" s="50"/>
      <c r="P9" s="33"/>
    </row>
    <row r="10" spans="1:25">
      <c r="B10" s="2" t="s">
        <v>4</v>
      </c>
      <c r="C10" s="2"/>
      <c r="D10" s="2"/>
      <c r="E10" s="2"/>
      <c r="F10" s="4">
        <v>240000</v>
      </c>
      <c r="M10">
        <v>140</v>
      </c>
      <c r="P10" s="33"/>
    </row>
    <row r="11" spans="1:25" ht="15.6">
      <c r="B11" s="2" t="s">
        <v>8</v>
      </c>
      <c r="C11" s="2"/>
      <c r="D11" s="2"/>
      <c r="E11" s="2"/>
      <c r="F11" s="4">
        <f>950*$C$1/2</f>
        <v>62700</v>
      </c>
      <c r="M11">
        <v>150</v>
      </c>
      <c r="P11" s="33"/>
      <c r="X11" s="64"/>
      <c r="Y11" s="64"/>
    </row>
    <row r="12" spans="1:25">
      <c r="B12" s="2" t="s">
        <v>96</v>
      </c>
      <c r="C12" s="2"/>
      <c r="D12" s="2"/>
      <c r="E12" s="2"/>
      <c r="F12" s="4">
        <v>28416</v>
      </c>
      <c r="M12">
        <v>160</v>
      </c>
      <c r="P12" s="33"/>
      <c r="X12" s="2"/>
      <c r="Y12" s="2"/>
    </row>
    <row r="13" spans="1:25">
      <c r="B13" s="2"/>
      <c r="C13" s="2"/>
      <c r="D13" s="2"/>
      <c r="E13" s="2"/>
      <c r="F13" s="4"/>
      <c r="M13">
        <v>170</v>
      </c>
      <c r="P13" s="33"/>
      <c r="X13" s="2"/>
      <c r="Y13" s="2"/>
    </row>
    <row r="14" spans="1:25">
      <c r="B14" s="2" t="s">
        <v>5</v>
      </c>
      <c r="C14" s="2"/>
      <c r="D14" s="2"/>
      <c r="E14" s="2"/>
      <c r="F14" s="4">
        <f>SUM(F10:F13)</f>
        <v>331116</v>
      </c>
      <c r="G14" s="9">
        <f>F14</f>
        <v>331116</v>
      </c>
      <c r="H14">
        <f>G14</f>
        <v>331116</v>
      </c>
      <c r="M14">
        <v>180</v>
      </c>
      <c r="P14" s="33"/>
      <c r="X14" s="2"/>
      <c r="Y14" s="2"/>
    </row>
    <row r="15" spans="1:25">
      <c r="B15" s="2"/>
      <c r="C15" s="2"/>
      <c r="D15" s="2"/>
      <c r="E15" s="2"/>
      <c r="F15" s="4"/>
      <c r="M15">
        <v>190</v>
      </c>
      <c r="P15" s="33"/>
    </row>
    <row r="16" spans="1:25">
      <c r="B16" s="2"/>
      <c r="C16" s="2"/>
      <c r="D16" s="2"/>
      <c r="E16" s="2"/>
      <c r="F16" s="4"/>
      <c r="M16">
        <v>200</v>
      </c>
      <c r="P16" s="33"/>
    </row>
    <row r="17" spans="1:13">
      <c r="B17" s="2"/>
      <c r="C17" s="2"/>
      <c r="D17" s="2"/>
      <c r="E17" s="2"/>
      <c r="F17" s="4"/>
      <c r="M17">
        <v>210</v>
      </c>
    </row>
    <row r="18" spans="1:13">
      <c r="M18">
        <v>220</v>
      </c>
    </row>
    <row r="19" spans="1:13">
      <c r="F19" s="1"/>
      <c r="L19">
        <f>SUM($M$135:$O$135)</f>
        <v>910800</v>
      </c>
      <c r="M19">
        <v>230</v>
      </c>
    </row>
    <row r="20" spans="1:13">
      <c r="B20" s="2"/>
      <c r="C20" s="2"/>
      <c r="D20" s="2" t="s">
        <v>6</v>
      </c>
      <c r="E20" s="2" t="s">
        <v>7</v>
      </c>
      <c r="F20" s="4"/>
      <c r="L20">
        <f>SUM($M$135:$O$135)</f>
        <v>910800</v>
      </c>
      <c r="M20">
        <v>240</v>
      </c>
    </row>
    <row r="21" spans="1:13">
      <c r="A21" s="7" t="s">
        <v>327</v>
      </c>
      <c r="B21" s="2" t="s">
        <v>202</v>
      </c>
      <c r="C21" s="2">
        <v>1680</v>
      </c>
      <c r="D21" s="2">
        <v>30.5</v>
      </c>
      <c r="E21" s="2">
        <v>162.125</v>
      </c>
      <c r="F21" s="4">
        <f t="shared" ref="F21:F28" si="0">C21*(E21-D21)</f>
        <v>221130</v>
      </c>
      <c r="G21" s="34">
        <f t="shared" ref="G21:G30" si="1">F21*0.6</f>
        <v>132678</v>
      </c>
      <c r="I21">
        <f t="shared" ref="I21:I28" si="2">G21</f>
        <v>132678</v>
      </c>
    </row>
    <row r="22" spans="1:13">
      <c r="A22" t="s">
        <v>331</v>
      </c>
      <c r="B22" s="2" t="s">
        <v>202</v>
      </c>
      <c r="C22" s="2">
        <v>4105</v>
      </c>
      <c r="D22" s="2">
        <v>36.75</v>
      </c>
      <c r="E22" s="2">
        <f>(75.5+82.5+86.5+87)/4*2</f>
        <v>165.75</v>
      </c>
      <c r="F22" s="4">
        <f t="shared" si="0"/>
        <v>529545</v>
      </c>
      <c r="G22" s="34">
        <f t="shared" si="1"/>
        <v>317727</v>
      </c>
      <c r="I22">
        <f t="shared" si="2"/>
        <v>317727</v>
      </c>
    </row>
    <row r="23" spans="1:13">
      <c r="A23" s="7" t="s">
        <v>332</v>
      </c>
      <c r="B23" s="2" t="s">
        <v>202</v>
      </c>
      <c r="C23" s="2">
        <v>4000</v>
      </c>
      <c r="D23" s="2">
        <v>44.5</v>
      </c>
      <c r="E23" s="2">
        <f>(80+81.25)/2*2</f>
        <v>161.25</v>
      </c>
      <c r="F23" s="4">
        <f t="shared" si="0"/>
        <v>467000</v>
      </c>
      <c r="G23" s="34">
        <f t="shared" si="1"/>
        <v>280200</v>
      </c>
      <c r="I23">
        <f t="shared" si="2"/>
        <v>280200</v>
      </c>
    </row>
    <row r="24" spans="1:13">
      <c r="B24" s="2" t="s">
        <v>202</v>
      </c>
      <c r="C24" s="2">
        <v>4375</v>
      </c>
      <c r="D24" s="2">
        <v>44.5</v>
      </c>
      <c r="E24" s="2">
        <f>(79.0625+80.9375)/2*2</f>
        <v>160</v>
      </c>
      <c r="F24" s="4">
        <f t="shared" si="0"/>
        <v>505312.5</v>
      </c>
      <c r="G24" s="34">
        <f t="shared" si="1"/>
        <v>303187.5</v>
      </c>
      <c r="I24">
        <f t="shared" si="2"/>
        <v>303187.5</v>
      </c>
    </row>
    <row r="25" spans="1:13">
      <c r="B25" s="2" t="s">
        <v>202</v>
      </c>
      <c r="C25">
        <f>1752/2</f>
        <v>876</v>
      </c>
      <c r="D25">
        <v>36.75</v>
      </c>
      <c r="E25">
        <f>73*2</f>
        <v>146</v>
      </c>
      <c r="F25" s="4">
        <f t="shared" si="0"/>
        <v>95703</v>
      </c>
      <c r="G25" s="34">
        <f t="shared" si="1"/>
        <v>57421.799999999996</v>
      </c>
      <c r="I25">
        <f t="shared" si="2"/>
        <v>57421.799999999996</v>
      </c>
    </row>
    <row r="26" spans="1:13">
      <c r="A26" s="7" t="s">
        <v>330</v>
      </c>
      <c r="B26" s="2" t="s">
        <v>202</v>
      </c>
      <c r="C26">
        <v>1000</v>
      </c>
      <c r="D26">
        <v>36.75</v>
      </c>
      <c r="E26">
        <v>150</v>
      </c>
      <c r="F26" s="4">
        <f t="shared" si="0"/>
        <v>113250</v>
      </c>
      <c r="G26" s="34">
        <f t="shared" si="1"/>
        <v>67950</v>
      </c>
      <c r="I26">
        <f t="shared" si="2"/>
        <v>67950</v>
      </c>
    </row>
    <row r="27" spans="1:13">
      <c r="A27" s="7" t="s">
        <v>330</v>
      </c>
      <c r="B27" s="2" t="s">
        <v>202</v>
      </c>
      <c r="C27">
        <v>1000</v>
      </c>
      <c r="D27">
        <v>36.75</v>
      </c>
      <c r="E27">
        <v>154</v>
      </c>
      <c r="F27" s="4">
        <f t="shared" si="0"/>
        <v>117250</v>
      </c>
      <c r="G27" s="34">
        <f t="shared" si="1"/>
        <v>70350</v>
      </c>
      <c r="I27">
        <f t="shared" si="2"/>
        <v>70350</v>
      </c>
    </row>
    <row r="28" spans="1:13">
      <c r="A28" s="7" t="s">
        <v>330</v>
      </c>
      <c r="B28" s="2" t="s">
        <v>202</v>
      </c>
      <c r="C28">
        <v>1000</v>
      </c>
      <c r="D28">
        <v>36.75</v>
      </c>
      <c r="E28">
        <v>153</v>
      </c>
      <c r="F28" s="4">
        <f t="shared" si="0"/>
        <v>116250</v>
      </c>
      <c r="G28" s="34">
        <f t="shared" si="1"/>
        <v>69750</v>
      </c>
      <c r="I28">
        <f t="shared" si="2"/>
        <v>69750</v>
      </c>
    </row>
    <row r="29" spans="1:13">
      <c r="A29" s="53" t="s">
        <v>329</v>
      </c>
      <c r="B29" s="2" t="s">
        <v>202</v>
      </c>
      <c r="C29">
        <v>3000</v>
      </c>
      <c r="D29">
        <v>36.75</v>
      </c>
      <c r="E29">
        <f>75.6875*2</f>
        <v>151.375</v>
      </c>
      <c r="F29" s="4">
        <f>C29*(E29-D29)</f>
        <v>343875</v>
      </c>
      <c r="G29" s="34">
        <f t="shared" si="1"/>
        <v>206325</v>
      </c>
      <c r="I29">
        <f t="shared" ref="I29:I36" si="3">G29</f>
        <v>206325</v>
      </c>
    </row>
    <row r="30" spans="1:13">
      <c r="A30" s="53" t="s">
        <v>329</v>
      </c>
      <c r="B30" s="2" t="s">
        <v>202</v>
      </c>
      <c r="C30">
        <v>1600</v>
      </c>
      <c r="D30">
        <v>40.125</v>
      </c>
      <c r="E30">
        <v>154.25</v>
      </c>
      <c r="F30" s="4">
        <f>C30*(E30-D30)</f>
        <v>182600</v>
      </c>
      <c r="G30" s="34">
        <f t="shared" si="1"/>
        <v>109560</v>
      </c>
      <c r="I30">
        <f t="shared" si="3"/>
        <v>109560</v>
      </c>
    </row>
    <row r="31" spans="1:13">
      <c r="A31" s="7" t="s">
        <v>328</v>
      </c>
      <c r="B31" s="2" t="s">
        <v>202</v>
      </c>
      <c r="C31">
        <v>2578</v>
      </c>
      <c r="D31" s="20">
        <v>55.5</v>
      </c>
      <c r="E31">
        <f>79.8125</f>
        <v>79.8125</v>
      </c>
      <c r="F31" s="4">
        <f t="shared" ref="F31:F36" si="4">C31*(E31-D31)</f>
        <v>62677.625</v>
      </c>
      <c r="G31" s="34">
        <f t="shared" ref="G31:G39" si="5">F31*0.6</f>
        <v>37606.574999999997</v>
      </c>
      <c r="I31">
        <f t="shared" si="3"/>
        <v>37606.574999999997</v>
      </c>
    </row>
    <row r="32" spans="1:13">
      <c r="A32" s="7" t="s">
        <v>274</v>
      </c>
      <c r="B32" s="2" t="s">
        <v>202</v>
      </c>
      <c r="C32" s="2">
        <v>2292</v>
      </c>
      <c r="D32" s="2">
        <v>36.75</v>
      </c>
      <c r="E32" s="2">
        <f>76.875*2</f>
        <v>153.75</v>
      </c>
      <c r="F32" s="4">
        <f t="shared" si="4"/>
        <v>268164</v>
      </c>
      <c r="G32" s="34">
        <f t="shared" si="5"/>
        <v>160898.4</v>
      </c>
      <c r="I32">
        <f t="shared" si="3"/>
        <v>160898.4</v>
      </c>
    </row>
    <row r="33" spans="1:9">
      <c r="A33" s="7" t="s">
        <v>274</v>
      </c>
      <c r="B33" s="2" t="s">
        <v>202</v>
      </c>
      <c r="C33" s="50">
        <v>1600</v>
      </c>
      <c r="D33">
        <f>40.125/2</f>
        <v>20.0625</v>
      </c>
      <c r="E33" s="2">
        <f>76.875</f>
        <v>76.875</v>
      </c>
      <c r="F33" s="4">
        <f t="shared" si="4"/>
        <v>90900</v>
      </c>
      <c r="G33" s="34">
        <f t="shared" si="5"/>
        <v>54540</v>
      </c>
      <c r="I33">
        <f t="shared" si="3"/>
        <v>54540</v>
      </c>
    </row>
    <row r="34" spans="1:9">
      <c r="A34" s="7" t="s">
        <v>274</v>
      </c>
      <c r="B34" s="2" t="s">
        <v>202</v>
      </c>
      <c r="C34" s="50">
        <f>0.4*7808*2</f>
        <v>6246.4000000000005</v>
      </c>
      <c r="D34" s="6">
        <v>31.47</v>
      </c>
      <c r="E34" s="6">
        <f>76.9375</f>
        <v>76.9375</v>
      </c>
      <c r="F34" s="4">
        <f t="shared" si="4"/>
        <v>284008.19200000004</v>
      </c>
      <c r="G34" s="34">
        <f t="shared" si="5"/>
        <v>170404.91520000002</v>
      </c>
      <c r="I34">
        <f t="shared" si="3"/>
        <v>170404.91520000002</v>
      </c>
    </row>
    <row r="35" spans="1:9">
      <c r="A35" s="7" t="s">
        <v>274</v>
      </c>
      <c r="B35" s="2" t="s">
        <v>344</v>
      </c>
      <c r="C35" s="50">
        <v>-30000</v>
      </c>
      <c r="D35" s="6">
        <f>(10.25*2+6.7)/3</f>
        <v>9.0666666666666664</v>
      </c>
      <c r="E35" s="6">
        <v>0</v>
      </c>
      <c r="F35" s="4">
        <f t="shared" si="4"/>
        <v>272000</v>
      </c>
      <c r="G35" s="34">
        <f t="shared" si="5"/>
        <v>163200</v>
      </c>
      <c r="I35">
        <f t="shared" si="3"/>
        <v>163200</v>
      </c>
    </row>
    <row r="36" spans="1:9">
      <c r="A36" s="7" t="s">
        <v>275</v>
      </c>
      <c r="B36" s="2" t="s">
        <v>276</v>
      </c>
      <c r="C36" s="50">
        <v>-9000</v>
      </c>
      <c r="D36" s="6">
        <f>(79.75+76.5*2+73.7+69.5*5)/9</f>
        <v>72.661111111111111</v>
      </c>
      <c r="E36" s="6">
        <f>C1/2</f>
        <v>66</v>
      </c>
      <c r="F36" s="4">
        <f t="shared" si="4"/>
        <v>59950</v>
      </c>
      <c r="G36" s="34">
        <f t="shared" si="5"/>
        <v>35970</v>
      </c>
      <c r="I36">
        <f t="shared" si="3"/>
        <v>35970</v>
      </c>
    </row>
    <row r="37" spans="1:9">
      <c r="A37" s="7" t="s">
        <v>274</v>
      </c>
      <c r="B37" s="2" t="s">
        <v>202</v>
      </c>
      <c r="C37" s="50">
        <v>2500</v>
      </c>
      <c r="D37">
        <v>111</v>
      </c>
      <c r="E37" s="2">
        <f>76.75*2</f>
        <v>153.5</v>
      </c>
      <c r="F37" s="4">
        <f>C37*(E37-D37)</f>
        <v>106250</v>
      </c>
      <c r="G37" s="34">
        <f>F37*0.6</f>
        <v>63750</v>
      </c>
      <c r="I37">
        <f>G37</f>
        <v>63750</v>
      </c>
    </row>
    <row r="38" spans="1:9">
      <c r="A38" s="7" t="s">
        <v>370</v>
      </c>
      <c r="B38" s="2" t="s">
        <v>368</v>
      </c>
      <c r="C38" s="50">
        <v>10000</v>
      </c>
      <c r="D38" s="6">
        <v>69.900000000000006</v>
      </c>
      <c r="E38" s="6">
        <f>$C$1/2</f>
        <v>66</v>
      </c>
      <c r="F38" s="4">
        <f>C38*(E38-D38)</f>
        <v>-39000.000000000058</v>
      </c>
      <c r="G38" s="34">
        <f t="shared" si="5"/>
        <v>-23400.000000000033</v>
      </c>
      <c r="I38">
        <f>G38</f>
        <v>-23400.000000000033</v>
      </c>
    </row>
    <row r="39" spans="1:9">
      <c r="A39" s="7" t="s">
        <v>369</v>
      </c>
      <c r="B39" s="2" t="s">
        <v>371</v>
      </c>
      <c r="C39" s="50">
        <v>-5000</v>
      </c>
      <c r="D39" s="6">
        <v>12.2</v>
      </c>
      <c r="E39" s="6">
        <f>IF($C$1/2&lt;60,0,$C$1/2-60)</f>
        <v>6</v>
      </c>
      <c r="F39" s="4">
        <f>C39*(E39-D39)</f>
        <v>30999.999999999996</v>
      </c>
      <c r="G39" s="34">
        <f t="shared" si="5"/>
        <v>18599.999999999996</v>
      </c>
      <c r="I39">
        <f>G39</f>
        <v>18599.999999999996</v>
      </c>
    </row>
    <row r="40" spans="1:9">
      <c r="A40" s="7"/>
      <c r="B40" s="2"/>
      <c r="C40" s="50"/>
      <c r="D40" s="6"/>
      <c r="E40" s="6"/>
      <c r="F40" s="4"/>
      <c r="G40" s="34"/>
    </row>
    <row r="41" spans="1:9">
      <c r="B41" s="2"/>
      <c r="F41" s="4"/>
      <c r="G41" s="34"/>
    </row>
    <row r="42" spans="1:9">
      <c r="B42" s="2"/>
      <c r="C42" s="22">
        <f>SUM(I20:I41)</f>
        <v>2296719.1902000001</v>
      </c>
      <c r="D42" t="s">
        <v>335</v>
      </c>
      <c r="F42" s="4"/>
      <c r="G42" s="34"/>
    </row>
    <row r="43" spans="1:9" ht="15.6">
      <c r="B43" s="8" t="s">
        <v>9</v>
      </c>
      <c r="C43" s="2"/>
      <c r="D43" s="2"/>
      <c r="E43" s="2"/>
      <c r="F43" s="4"/>
    </row>
    <row r="44" spans="1:9">
      <c r="A44" t="s">
        <v>66</v>
      </c>
      <c r="B44" s="2">
        <v>4504795869998</v>
      </c>
      <c r="C44" s="2"/>
      <c r="D44" s="2"/>
      <c r="E44" s="2">
        <v>16017.91</v>
      </c>
      <c r="F44" s="4"/>
    </row>
    <row r="45" spans="1:9">
      <c r="B45" s="2"/>
      <c r="C45" s="2"/>
      <c r="D45" s="2"/>
      <c r="E45" s="5"/>
      <c r="F45" s="4"/>
    </row>
    <row r="46" spans="1:9">
      <c r="B46" s="2"/>
      <c r="C46" s="2"/>
      <c r="D46" s="2"/>
      <c r="E46" s="2"/>
      <c r="F46" s="4">
        <f>SUM(E44:E45)</f>
        <v>16017.91</v>
      </c>
      <c r="G46" s="9">
        <f>F46</f>
        <v>16017.91</v>
      </c>
      <c r="H46">
        <f>G46</f>
        <v>16017.91</v>
      </c>
    </row>
    <row r="47" spans="1:9">
      <c r="F47" s="1"/>
    </row>
    <row r="48" spans="1:9" ht="15.6">
      <c r="A48" t="s">
        <v>66</v>
      </c>
      <c r="B48" s="8" t="s">
        <v>60</v>
      </c>
      <c r="C48" s="2"/>
      <c r="D48" s="2"/>
      <c r="E48" s="2"/>
      <c r="F48" s="4"/>
    </row>
    <row r="49" spans="1:10">
      <c r="B49" s="2"/>
      <c r="C49" s="2"/>
      <c r="D49" s="2"/>
      <c r="E49" s="2"/>
      <c r="F49" s="4"/>
    </row>
    <row r="50" spans="1:10">
      <c r="B50" s="2"/>
      <c r="C50" s="2"/>
      <c r="D50" s="2"/>
      <c r="E50" s="2"/>
      <c r="F50" s="4"/>
    </row>
    <row r="51" spans="1:10">
      <c r="B51" s="2" t="s">
        <v>10</v>
      </c>
      <c r="C51" s="2"/>
      <c r="D51" s="2"/>
      <c r="E51" s="2">
        <v>0</v>
      </c>
      <c r="F51" s="4"/>
    </row>
    <row r="52" spans="1:10">
      <c r="B52" s="2"/>
      <c r="C52" s="2"/>
      <c r="D52" s="2"/>
      <c r="E52" s="2"/>
      <c r="F52" s="4"/>
    </row>
    <row r="53" spans="1:10">
      <c r="B53" s="2"/>
      <c r="C53" s="2"/>
      <c r="D53" s="2"/>
      <c r="E53" s="5"/>
      <c r="F53" s="4"/>
    </row>
    <row r="54" spans="1:10">
      <c r="B54" s="2" t="s">
        <v>11</v>
      </c>
      <c r="C54" s="2"/>
      <c r="D54" s="2"/>
      <c r="E54" s="2"/>
      <c r="F54" s="4">
        <f>SUM(E49:E53)</f>
        <v>0</v>
      </c>
      <c r="G54">
        <f>F54</f>
        <v>0</v>
      </c>
    </row>
    <row r="55" spans="1:10">
      <c r="F55" s="1"/>
    </row>
    <row r="56" spans="1:10" ht="15.6">
      <c r="A56" t="s">
        <v>66</v>
      </c>
      <c r="B56" s="8" t="s">
        <v>54</v>
      </c>
      <c r="C56" s="2"/>
      <c r="D56" s="2"/>
      <c r="E56" s="2"/>
      <c r="F56" s="4"/>
    </row>
    <row r="57" spans="1:10" ht="15.6">
      <c r="A57" s="8" t="s">
        <v>71</v>
      </c>
      <c r="B57" s="8"/>
      <c r="C57" s="2"/>
      <c r="D57" s="2"/>
      <c r="E57" s="2">
        <v>350000</v>
      </c>
      <c r="F57" s="4"/>
    </row>
    <row r="58" spans="1:10">
      <c r="A58" s="2" t="s">
        <v>45</v>
      </c>
      <c r="B58" s="2">
        <v>0</v>
      </c>
      <c r="C58" s="2">
        <v>80</v>
      </c>
      <c r="D58">
        <f>C1/2</f>
        <v>66</v>
      </c>
      <c r="E58" s="2">
        <f>B58*(D58-C58)</f>
        <v>0</v>
      </c>
      <c r="F58" s="4"/>
    </row>
    <row r="59" spans="1:10">
      <c r="A59" s="2" t="s">
        <v>340</v>
      </c>
      <c r="B59" s="50">
        <v>-5000</v>
      </c>
      <c r="C59" s="6">
        <v>24</v>
      </c>
      <c r="D59" s="6">
        <f>IF($C$1/2&lt;50,0,$C$1/2-50)</f>
        <v>16</v>
      </c>
      <c r="E59" s="4">
        <f>B59*(D59-C59)</f>
        <v>40000</v>
      </c>
    </row>
    <row r="60" spans="1:10">
      <c r="A60" s="2" t="s">
        <v>339</v>
      </c>
      <c r="B60" s="50">
        <v>-5000</v>
      </c>
      <c r="C60" s="6">
        <v>12.4</v>
      </c>
      <c r="D60" s="6">
        <f>IF($C$1/2&lt;70,0,$C$1/2-70)</f>
        <v>0</v>
      </c>
      <c r="E60" s="4">
        <f>B60*(D60-C60)</f>
        <v>62000</v>
      </c>
      <c r="F60" s="4"/>
    </row>
    <row r="61" spans="1:10">
      <c r="B61" s="2" t="s">
        <v>15</v>
      </c>
      <c r="C61" s="2"/>
      <c r="D61" s="2"/>
      <c r="E61" s="2"/>
      <c r="F61" s="4">
        <f>SUM(E57:E59)</f>
        <v>390000</v>
      </c>
      <c r="G61" s="35">
        <f>F61</f>
        <v>390000</v>
      </c>
      <c r="J61">
        <f>G61</f>
        <v>390000</v>
      </c>
    </row>
    <row r="62" spans="1:10">
      <c r="F62" s="1"/>
    </row>
    <row r="63" spans="1:10">
      <c r="B63" s="2" t="s">
        <v>16</v>
      </c>
      <c r="C63" s="2"/>
      <c r="D63" s="2"/>
      <c r="E63" s="2"/>
      <c r="F63" s="4"/>
    </row>
    <row r="64" spans="1:10">
      <c r="A64" t="s">
        <v>66</v>
      </c>
      <c r="B64" s="2" t="s">
        <v>17</v>
      </c>
      <c r="C64" s="2"/>
      <c r="D64" s="2"/>
      <c r="E64" s="2"/>
      <c r="F64" s="4"/>
    </row>
    <row r="65" spans="1:10">
      <c r="B65" s="2" t="s">
        <v>214</v>
      </c>
      <c r="C65" s="2"/>
      <c r="D65" s="2">
        <v>400</v>
      </c>
      <c r="E65" s="5">
        <f>D65*D148</f>
        <v>18000</v>
      </c>
      <c r="F65" s="4"/>
    </row>
    <row r="66" spans="1:10">
      <c r="B66" s="2" t="s">
        <v>215</v>
      </c>
      <c r="C66" s="2"/>
      <c r="D66" s="2">
        <v>210</v>
      </c>
      <c r="E66" s="5">
        <f>D66*D146</f>
        <v>27930</v>
      </c>
      <c r="F66" s="4"/>
    </row>
    <row r="67" spans="1:10">
      <c r="B67" s="2" t="s">
        <v>213</v>
      </c>
      <c r="C67" s="2"/>
      <c r="D67" s="2"/>
      <c r="E67" s="2">
        <v>2000</v>
      </c>
      <c r="F67" s="4"/>
    </row>
    <row r="68" spans="1:10">
      <c r="B68" s="2" t="s">
        <v>18</v>
      </c>
      <c r="C68" s="2"/>
      <c r="D68" s="2"/>
      <c r="E68" s="2"/>
      <c r="F68" s="4"/>
    </row>
    <row r="69" spans="1:10">
      <c r="A69" t="s">
        <v>67</v>
      </c>
      <c r="B69" s="2" t="s">
        <v>154</v>
      </c>
      <c r="C69" s="2"/>
      <c r="D69" s="2">
        <v>284</v>
      </c>
      <c r="E69" s="5">
        <f>D69*D147</f>
        <v>18460</v>
      </c>
      <c r="F69" s="4"/>
    </row>
    <row r="70" spans="1:10">
      <c r="B70" s="2"/>
      <c r="C70" s="2"/>
      <c r="D70" s="2"/>
      <c r="E70" s="2">
        <v>3000</v>
      </c>
      <c r="F70" s="4">
        <f>SUM(E65:E70)</f>
        <v>69390</v>
      </c>
      <c r="G70" s="9">
        <f>F70</f>
        <v>69390</v>
      </c>
      <c r="H70">
        <f>G70</f>
        <v>69390</v>
      </c>
    </row>
    <row r="71" spans="1:10">
      <c r="C71" s="2"/>
      <c r="D71" s="2"/>
      <c r="E71" s="2"/>
      <c r="F71" s="4"/>
    </row>
    <row r="72" spans="1:10">
      <c r="B72" s="2"/>
      <c r="C72" s="2"/>
      <c r="D72" s="2"/>
      <c r="E72" s="2"/>
      <c r="F72" s="4"/>
    </row>
    <row r="73" spans="1:10">
      <c r="F73" s="1"/>
    </row>
    <row r="74" spans="1:10">
      <c r="B74" s="2" t="s">
        <v>48</v>
      </c>
      <c r="C74" s="2"/>
      <c r="D74" s="2"/>
      <c r="E74" s="2"/>
      <c r="F74" s="4"/>
    </row>
    <row r="75" spans="1:10">
      <c r="A75" s="7" t="s">
        <v>52</v>
      </c>
      <c r="B75" s="2" t="s">
        <v>49</v>
      </c>
      <c r="C75" s="2"/>
      <c r="D75" s="2"/>
      <c r="E75" s="2">
        <v>36730</v>
      </c>
      <c r="F75" s="4"/>
    </row>
    <row r="76" spans="1:10">
      <c r="A76" s="7" t="s">
        <v>52</v>
      </c>
      <c r="B76" s="2" t="s">
        <v>50</v>
      </c>
      <c r="C76" s="2"/>
      <c r="D76" s="2"/>
      <c r="E76" s="5">
        <v>32306</v>
      </c>
      <c r="F76" s="4"/>
    </row>
    <row r="77" spans="1:10">
      <c r="B77" s="2" t="s">
        <v>19</v>
      </c>
      <c r="C77" s="2"/>
      <c r="D77" s="2"/>
      <c r="E77" s="2"/>
      <c r="F77" s="4">
        <f>SUM(E75:E76)</f>
        <v>69036</v>
      </c>
      <c r="G77" s="35">
        <f>F77</f>
        <v>69036</v>
      </c>
      <c r="J77">
        <f>G77</f>
        <v>69036</v>
      </c>
    </row>
    <row r="78" spans="1:10">
      <c r="F78" s="1"/>
    </row>
    <row r="79" spans="1:10">
      <c r="A79" t="s">
        <v>66</v>
      </c>
      <c r="B79" s="2" t="s">
        <v>55</v>
      </c>
      <c r="C79" s="2"/>
      <c r="D79" s="2"/>
      <c r="E79" s="2"/>
      <c r="F79" s="4">
        <v>12068.73</v>
      </c>
      <c r="G79" s="9">
        <f>F79</f>
        <v>12068.73</v>
      </c>
      <c r="H79">
        <f>G79</f>
        <v>12068.73</v>
      </c>
    </row>
    <row r="80" spans="1:10">
      <c r="F80" s="1"/>
    </row>
    <row r="81" spans="1:8">
      <c r="A81" t="s">
        <v>66</v>
      </c>
      <c r="B81" s="2" t="s">
        <v>20</v>
      </c>
      <c r="C81" s="2"/>
      <c r="D81" s="2"/>
      <c r="E81" s="2"/>
      <c r="F81" s="4"/>
    </row>
    <row r="82" spans="1:8">
      <c r="B82" s="2" t="s">
        <v>21</v>
      </c>
      <c r="C82" s="2"/>
      <c r="D82" s="2"/>
      <c r="E82" s="2">
        <v>13500</v>
      </c>
      <c r="F82" s="4"/>
    </row>
    <row r="83" spans="1:8">
      <c r="B83" s="2" t="s">
        <v>22</v>
      </c>
      <c r="C83" s="2"/>
      <c r="D83" s="2"/>
      <c r="E83" s="2">
        <v>11611.05</v>
      </c>
      <c r="F83" s="4"/>
    </row>
    <row r="84" spans="1:8">
      <c r="B84" s="2" t="s">
        <v>23</v>
      </c>
      <c r="C84" s="2"/>
      <c r="D84" s="2"/>
      <c r="E84" s="5">
        <v>10362.18</v>
      </c>
      <c r="F84" s="4"/>
    </row>
    <row r="85" spans="1:8">
      <c r="B85" s="2" t="s">
        <v>24</v>
      </c>
      <c r="C85" s="2"/>
      <c r="D85" s="2"/>
      <c r="E85" s="2"/>
      <c r="F85" s="4">
        <f>SUM(E82:E84)</f>
        <v>35473.229999999996</v>
      </c>
      <c r="G85" s="9">
        <f>F85</f>
        <v>35473.229999999996</v>
      </c>
      <c r="H85">
        <f>G85</f>
        <v>35473.229999999996</v>
      </c>
    </row>
    <row r="86" spans="1:8">
      <c r="F86" s="1"/>
    </row>
    <row r="87" spans="1:8">
      <c r="F87" s="1"/>
    </row>
    <row r="88" spans="1:8">
      <c r="B88" s="2"/>
      <c r="C88" s="2"/>
      <c r="D88" s="2"/>
      <c r="E88" s="2"/>
      <c r="F88" s="4"/>
    </row>
    <row r="89" spans="1:8">
      <c r="B89" s="2"/>
      <c r="C89" s="2"/>
      <c r="D89" s="2"/>
      <c r="E89" s="5"/>
      <c r="F89" s="4"/>
    </row>
    <row r="90" spans="1:8">
      <c r="B90" s="2"/>
      <c r="C90" s="2"/>
      <c r="D90" s="2"/>
      <c r="E90" s="2"/>
      <c r="F90" s="4"/>
    </row>
    <row r="91" spans="1:8">
      <c r="F91" s="1"/>
    </row>
    <row r="92" spans="1:8">
      <c r="B92" s="2" t="s">
        <v>25</v>
      </c>
      <c r="C92" s="2"/>
      <c r="D92" s="2"/>
      <c r="E92" s="2"/>
      <c r="F92" s="4"/>
    </row>
    <row r="93" spans="1:8">
      <c r="B93" s="2" t="s">
        <v>26</v>
      </c>
      <c r="C93" s="2"/>
      <c r="D93" s="2"/>
      <c r="E93" s="2">
        <v>541.79999999999995</v>
      </c>
      <c r="F93" s="4"/>
    </row>
    <row r="94" spans="1:8">
      <c r="B94" s="2" t="s">
        <v>27</v>
      </c>
      <c r="C94" s="2"/>
      <c r="D94" s="2"/>
      <c r="E94" s="2">
        <v>653.79999999999995</v>
      </c>
      <c r="F94" s="4"/>
    </row>
    <row r="95" spans="1:8">
      <c r="B95" s="2" t="s">
        <v>28</v>
      </c>
      <c r="C95" s="2"/>
      <c r="D95" s="2"/>
      <c r="E95" s="5">
        <v>44.08</v>
      </c>
      <c r="F95" s="4"/>
    </row>
    <row r="96" spans="1:8">
      <c r="B96" s="2" t="s">
        <v>29</v>
      </c>
      <c r="C96" s="2"/>
      <c r="D96" s="2"/>
      <c r="E96" s="2"/>
      <c r="F96" s="4">
        <f>SUM(E93:E95)</f>
        <v>1239.6799999999998</v>
      </c>
      <c r="G96" s="9">
        <f>F96</f>
        <v>1239.6799999999998</v>
      </c>
      <c r="H96">
        <f>G96</f>
        <v>1239.6799999999998</v>
      </c>
    </row>
    <row r="97" spans="1:9">
      <c r="F97" s="1"/>
    </row>
    <row r="98" spans="1:9">
      <c r="B98" s="2" t="s">
        <v>30</v>
      </c>
      <c r="C98" s="2"/>
      <c r="D98" s="2"/>
      <c r="E98" s="2"/>
      <c r="F98" s="4"/>
    </row>
    <row r="99" spans="1:9">
      <c r="B99" s="2" t="s">
        <v>31</v>
      </c>
      <c r="C99" s="2">
        <v>4340</v>
      </c>
      <c r="D99" s="6">
        <v>1</v>
      </c>
      <c r="E99" s="6">
        <f>C1</f>
        <v>132</v>
      </c>
      <c r="F99" s="4">
        <f>C99*D99*E99</f>
        <v>572880</v>
      </c>
      <c r="G99" s="9">
        <f>F99*0.6</f>
        <v>343728</v>
      </c>
      <c r="H99">
        <f>G99</f>
        <v>343728</v>
      </c>
    </row>
    <row r="100" spans="1:9">
      <c r="B100" s="2" t="s">
        <v>32</v>
      </c>
      <c r="C100" s="2">
        <v>1738</v>
      </c>
      <c r="D100" s="6">
        <v>0.66669999999999996</v>
      </c>
      <c r="E100" s="6">
        <f>C1</f>
        <v>132</v>
      </c>
      <c r="F100" s="4">
        <f>C100*D100*E100</f>
        <v>152951.64720000001</v>
      </c>
      <c r="G100" s="9">
        <f>F100*0.6</f>
        <v>91770.988320000004</v>
      </c>
      <c r="H100">
        <f>G100</f>
        <v>91770.988320000004</v>
      </c>
    </row>
    <row r="101" spans="1:9">
      <c r="B101" s="2" t="s">
        <v>95</v>
      </c>
      <c r="C101" s="2">
        <v>2960</v>
      </c>
      <c r="D101" s="6">
        <v>0.33329999999999999</v>
      </c>
      <c r="E101" s="6">
        <f>E100</f>
        <v>132</v>
      </c>
      <c r="F101" s="4">
        <f>C101*D101*E101</f>
        <v>130226.976</v>
      </c>
      <c r="G101" s="9">
        <f>F101*0.6</f>
        <v>78136.185599999997</v>
      </c>
      <c r="H101">
        <f>G101</f>
        <v>78136.185599999997</v>
      </c>
    </row>
    <row r="105" spans="1:9">
      <c r="C105" s="2"/>
      <c r="F105" s="1"/>
    </row>
    <row r="106" spans="1:9">
      <c r="B106" s="2"/>
      <c r="C106" s="2"/>
      <c r="D106" s="2"/>
      <c r="E106" s="2"/>
      <c r="F106" s="4"/>
    </row>
    <row r="107" spans="1:9">
      <c r="F107" s="1"/>
    </row>
    <row r="108" spans="1:9">
      <c r="F108" s="1"/>
    </row>
    <row r="109" spans="1:9">
      <c r="A109" s="7" t="s">
        <v>52</v>
      </c>
      <c r="B109" t="s">
        <v>59</v>
      </c>
      <c r="F109" s="1">
        <f>400000+250000</f>
        <v>650000</v>
      </c>
      <c r="G109" s="9">
        <f>F109*0.7</f>
        <v>455000.00000000006</v>
      </c>
      <c r="H109">
        <f>G109</f>
        <v>455000.00000000006</v>
      </c>
    </row>
    <row r="110" spans="1:9">
      <c r="A110" t="s">
        <v>61</v>
      </c>
      <c r="F110" s="1">
        <v>200000</v>
      </c>
      <c r="G110" s="34">
        <v>200000</v>
      </c>
      <c r="I110">
        <f>G110</f>
        <v>200000</v>
      </c>
    </row>
    <row r="111" spans="1:9">
      <c r="F111" s="1"/>
    </row>
    <row r="112" spans="1:9">
      <c r="F112" s="1"/>
    </row>
    <row r="113" spans="1:13">
      <c r="F113" s="1"/>
    </row>
    <row r="114" spans="1:13">
      <c r="B114" s="2" t="s">
        <v>33</v>
      </c>
      <c r="C114" s="2"/>
      <c r="D114" s="2"/>
      <c r="E114" s="2"/>
      <c r="F114" s="19">
        <f>SUM(F2:F113)</f>
        <v>6807264.4901999999</v>
      </c>
      <c r="G114" s="21">
        <f>SUM(G2:G113)</f>
        <v>4407578.9141200008</v>
      </c>
      <c r="H114" s="37">
        <f>SUM(H2:H113)</f>
        <v>1433940.72392</v>
      </c>
      <c r="I114" s="38">
        <f>SUM(I2:I113)</f>
        <v>2514602.1902000001</v>
      </c>
      <c r="J114" s="39">
        <f>SUM(J2:J113)</f>
        <v>459036</v>
      </c>
    </row>
    <row r="115" spans="1:13">
      <c r="B115" s="2"/>
      <c r="C115" s="2"/>
      <c r="D115" s="2"/>
      <c r="E115" s="2"/>
      <c r="F115" s="19"/>
      <c r="G115" s="21" t="s">
        <v>223</v>
      </c>
      <c r="H115" s="37">
        <f>K137*0.4</f>
        <v>953834.60755199997</v>
      </c>
      <c r="I115" s="38">
        <f>K137*0.6</f>
        <v>1430751.9113279998</v>
      </c>
      <c r="J115" s="39"/>
    </row>
    <row r="116" spans="1:13">
      <c r="B116" s="2"/>
      <c r="C116" s="2"/>
      <c r="D116" s="2"/>
      <c r="E116" s="2"/>
      <c r="F116" s="19"/>
      <c r="G116" s="21" t="s">
        <v>224</v>
      </c>
      <c r="H116" s="37"/>
      <c r="I116" s="38">
        <f>L137</f>
        <v>354879.06719999999</v>
      </c>
      <c r="J116" s="39"/>
    </row>
    <row r="117" spans="1:13">
      <c r="B117" s="2"/>
      <c r="C117" s="2"/>
      <c r="D117" s="2"/>
      <c r="E117" s="2"/>
      <c r="F117" s="19"/>
      <c r="G117" s="21" t="s">
        <v>225</v>
      </c>
      <c r="H117" s="37">
        <f>SUM(H114:H116)</f>
        <v>2387775.3314720001</v>
      </c>
      <c r="I117" s="38">
        <f>SUM(I114:I116)</f>
        <v>4300233.1687280005</v>
      </c>
      <c r="J117" s="39">
        <f>SUM(J114:J116)</f>
        <v>459036</v>
      </c>
    </row>
    <row r="118" spans="1:13">
      <c r="F118" s="1"/>
      <c r="G118">
        <f>G114-H114-I114-J114</f>
        <v>9.3132257461547852E-10</v>
      </c>
    </row>
    <row r="119" spans="1:13">
      <c r="F119" s="1"/>
      <c r="H119" s="18"/>
      <c r="I119" s="18"/>
      <c r="J119" s="18"/>
      <c r="K119" s="17" t="s">
        <v>72</v>
      </c>
      <c r="L119" s="17" t="s">
        <v>73</v>
      </c>
      <c r="M119" s="17" t="s">
        <v>208</v>
      </c>
    </row>
    <row r="120" spans="1:13">
      <c r="B120" s="2"/>
      <c r="C120" s="2"/>
      <c r="D120" s="2"/>
      <c r="E120" s="2"/>
      <c r="F120" s="4"/>
    </row>
    <row r="121" spans="1:13">
      <c r="B121" s="2" t="s">
        <v>226</v>
      </c>
      <c r="C121" s="2"/>
      <c r="D121" s="2"/>
      <c r="E121" s="2"/>
      <c r="F121" s="4">
        <f>150000*0.2</f>
        <v>30000</v>
      </c>
      <c r="K121">
        <v>18000</v>
      </c>
    </row>
    <row r="122" spans="1:13">
      <c r="B122" s="2" t="s">
        <v>199</v>
      </c>
      <c r="C122" s="2"/>
      <c r="D122" s="2"/>
      <c r="E122" s="2"/>
      <c r="F122" s="4">
        <v>3500000</v>
      </c>
      <c r="K122">
        <f>F122*0.6</f>
        <v>2100000</v>
      </c>
    </row>
    <row r="123" spans="1:13">
      <c r="B123" s="2" t="s">
        <v>324</v>
      </c>
      <c r="C123" s="2"/>
      <c r="D123" s="2"/>
      <c r="E123" s="2"/>
      <c r="F123" s="4">
        <v>40000</v>
      </c>
      <c r="L123">
        <f>F123*0.6</f>
        <v>24000</v>
      </c>
    </row>
    <row r="124" spans="1:13">
      <c r="B124" s="2" t="s">
        <v>231</v>
      </c>
      <c r="C124" s="2"/>
      <c r="D124" s="2"/>
      <c r="E124" s="2"/>
      <c r="F124" s="4">
        <v>0</v>
      </c>
      <c r="M124">
        <f>F124*0.6</f>
        <v>0</v>
      </c>
    </row>
    <row r="125" spans="1:13">
      <c r="B125" s="2"/>
      <c r="C125" s="2"/>
      <c r="D125" s="6"/>
      <c r="E125" s="6"/>
      <c r="F125" s="4"/>
    </row>
    <row r="126" spans="1:13">
      <c r="A126" t="s">
        <v>222</v>
      </c>
      <c r="B126" s="2" t="s">
        <v>34</v>
      </c>
      <c r="C126" s="49">
        <v>11460</v>
      </c>
      <c r="D126" s="6">
        <v>0.2</v>
      </c>
      <c r="E126" s="6">
        <f>C1-36.75</f>
        <v>95.25</v>
      </c>
      <c r="F126" s="4">
        <f t="shared" ref="F126:F132" si="6">C126*D126*E126</f>
        <v>218313</v>
      </c>
      <c r="L126">
        <f>$C$126*0.2*$E$126*0.6</f>
        <v>130987.79999999999</v>
      </c>
    </row>
    <row r="127" spans="1:13">
      <c r="B127" s="2" t="s">
        <v>35</v>
      </c>
      <c r="C127" s="2">
        <v>1738</v>
      </c>
      <c r="D127" s="6">
        <f>1-D100</f>
        <v>0.33330000000000004</v>
      </c>
      <c r="E127" s="6">
        <f>C1</f>
        <v>132</v>
      </c>
      <c r="F127" s="4">
        <f t="shared" si="6"/>
        <v>76464.352800000008</v>
      </c>
      <c r="K127">
        <f>$C$127*$E$127*0.3333*0.6</f>
        <v>45878.611679999995</v>
      </c>
    </row>
    <row r="128" spans="1:13">
      <c r="A128" t="s">
        <v>222</v>
      </c>
      <c r="B128" s="2" t="s">
        <v>36</v>
      </c>
      <c r="C128" s="49">
        <v>4000</v>
      </c>
      <c r="D128" s="6">
        <v>0.4</v>
      </c>
      <c r="E128" s="6">
        <f>C1-40.125</f>
        <v>91.875</v>
      </c>
      <c r="F128" s="4">
        <f t="shared" si="6"/>
        <v>147000</v>
      </c>
      <c r="L128">
        <f>$C$128*0.2*$E$128*0.6</f>
        <v>44100</v>
      </c>
      <c r="M128">
        <f>$C$128*0.2*$E$128*0.6</f>
        <v>44100</v>
      </c>
    </row>
    <row r="129" spans="1:21">
      <c r="B129" s="2" t="s">
        <v>46</v>
      </c>
      <c r="C129" s="2">
        <v>2960</v>
      </c>
      <c r="D129" s="6">
        <f>1-D101</f>
        <v>0.66670000000000007</v>
      </c>
      <c r="E129" s="6">
        <f>E127</f>
        <v>132</v>
      </c>
      <c r="F129" s="4">
        <f t="shared" si="6"/>
        <v>260493.02400000003</v>
      </c>
      <c r="K129">
        <f>$F$129*0.5*0.6</f>
        <v>78147.907200000001</v>
      </c>
      <c r="L129">
        <f>$F$129*0.5*0.6</f>
        <v>78147.907200000001</v>
      </c>
    </row>
    <row r="130" spans="1:21">
      <c r="A130" t="s">
        <v>222</v>
      </c>
      <c r="B130" s="2" t="s">
        <v>47</v>
      </c>
      <c r="C130" s="49">
        <v>7808</v>
      </c>
      <c r="D130" s="6">
        <v>0.6</v>
      </c>
      <c r="E130" s="6">
        <f>C1-63</f>
        <v>69</v>
      </c>
      <c r="F130" s="4">
        <f t="shared" si="6"/>
        <v>323251.20000000001</v>
      </c>
      <c r="L130">
        <f>$C$130*0.2*$E$130*0.6</f>
        <v>64650.240000000005</v>
      </c>
      <c r="M130">
        <f>$C$130*0.2*$E$130*0.6</f>
        <v>64650.240000000005</v>
      </c>
      <c r="N130">
        <f>$C$130*0.2*$E$130*0.6</f>
        <v>64650.240000000005</v>
      </c>
    </row>
    <row r="131" spans="1:21">
      <c r="B131" s="2" t="s">
        <v>93</v>
      </c>
      <c r="C131" s="2">
        <v>1800</v>
      </c>
      <c r="D131" s="6">
        <v>1</v>
      </c>
      <c r="E131" s="6">
        <f>C1</f>
        <v>132</v>
      </c>
      <c r="F131" s="4">
        <f>C131*D131*E131</f>
        <v>237600</v>
      </c>
      <c r="K131">
        <f>F131*0.6</f>
        <v>142560</v>
      </c>
    </row>
    <row r="132" spans="1:21" ht="15.75" customHeight="1">
      <c r="A132" t="s">
        <v>222</v>
      </c>
      <c r="B132" s="2" t="s">
        <v>94</v>
      </c>
      <c r="C132" s="48">
        <v>5156</v>
      </c>
      <c r="D132" s="20">
        <v>0.5</v>
      </c>
      <c r="E132">
        <f>IF(C1-111&lt;0,0,C1-111)</f>
        <v>21</v>
      </c>
      <c r="F132" s="4">
        <f t="shared" si="6"/>
        <v>54138</v>
      </c>
      <c r="L132">
        <f>$C$132*0.2*$E$132*0.6</f>
        <v>12993.12</v>
      </c>
      <c r="M132">
        <f>$C$132*0.2*$E$132*0.6</f>
        <v>12993.12</v>
      </c>
    </row>
    <row r="133" spans="1:21" ht="15.75" customHeight="1">
      <c r="A133" t="s">
        <v>222</v>
      </c>
      <c r="B133" s="2" t="s">
        <v>201</v>
      </c>
      <c r="C133" s="48">
        <v>7143</v>
      </c>
      <c r="D133">
        <v>1</v>
      </c>
      <c r="E133">
        <f>IF(((C1/2)-76)&lt;0,0,(C1/2-76))</f>
        <v>0</v>
      </c>
      <c r="F133" s="4">
        <f>C133*D133*E133</f>
        <v>0</v>
      </c>
      <c r="L133">
        <f>$F$133*0.33*0.6</f>
        <v>0</v>
      </c>
      <c r="M133">
        <f>$F$133*0.33*0.6</f>
        <v>0</v>
      </c>
      <c r="N133">
        <f>$F$133*0.33*0.6</f>
        <v>0</v>
      </c>
    </row>
    <row r="134" spans="1:21" ht="15.75" customHeight="1">
      <c r="B134" s="2" t="s">
        <v>295</v>
      </c>
      <c r="C134" s="48">
        <f>1750000/25</f>
        <v>70000</v>
      </c>
      <c r="D134">
        <v>1</v>
      </c>
      <c r="E134">
        <f>IF(((C1/2)-75)&lt;0,0,(C1/2-75))</f>
        <v>0</v>
      </c>
      <c r="F134" s="4">
        <f>C134*D134*E134</f>
        <v>0</v>
      </c>
      <c r="K134">
        <f>$F$134*0.3*0.6</f>
        <v>0</v>
      </c>
      <c r="L134">
        <f>$F$134*0.15*0.6</f>
        <v>0</v>
      </c>
      <c r="M134">
        <f>$F$134*0.3*0.6</f>
        <v>0</v>
      </c>
      <c r="N134">
        <f>$F$134*0.25*0.6</f>
        <v>0</v>
      </c>
    </row>
    <row r="135" spans="1:21" ht="15.75" customHeight="1">
      <c r="B135" s="2" t="s">
        <v>296</v>
      </c>
      <c r="C135" s="48">
        <v>23000</v>
      </c>
      <c r="D135">
        <v>1</v>
      </c>
      <c r="E135">
        <f>C1/2</f>
        <v>66</v>
      </c>
      <c r="F135" s="4">
        <f>C135*D135*E135</f>
        <v>1518000</v>
      </c>
      <c r="M135">
        <f>$F$135*0.5*0.6</f>
        <v>455400</v>
      </c>
      <c r="N135">
        <f>$F$135*0.25*0.6</f>
        <v>227700</v>
      </c>
      <c r="O135">
        <f>$F$135*0.25*0.6</f>
        <v>227700</v>
      </c>
    </row>
    <row r="136" spans="1:21">
      <c r="B136" s="2"/>
      <c r="C136" s="2"/>
      <c r="D136" s="6"/>
      <c r="E136" s="6"/>
      <c r="F136" s="4"/>
    </row>
    <row r="137" spans="1:21">
      <c r="A137">
        <f>2381*3</f>
        <v>7143</v>
      </c>
      <c r="B137" s="2"/>
      <c r="D137" s="2" t="s">
        <v>37</v>
      </c>
      <c r="E137" s="2"/>
      <c r="F137" s="4">
        <f>SUM(F120:F131)</f>
        <v>4833121.5767999999</v>
      </c>
      <c r="G137">
        <f>F137*0.6</f>
        <v>2899872.9460799997</v>
      </c>
      <c r="H137" s="4">
        <f>SUM(H120:H132)</f>
        <v>0</v>
      </c>
      <c r="I137" s="4"/>
      <c r="J137" s="4"/>
      <c r="K137" s="4">
        <f>SUM(K120:K136)</f>
        <v>2384586.5188799999</v>
      </c>
      <c r="L137" s="4">
        <f>SUM(L120:L136)</f>
        <v>354879.06719999999</v>
      </c>
      <c r="M137" s="4">
        <f>SUM(M120:M136)</f>
        <v>577143.36</v>
      </c>
      <c r="N137" s="4">
        <f>SUM(N120:N136)</f>
        <v>292350.24</v>
      </c>
      <c r="O137" s="4">
        <f>SUM(O120:O136)</f>
        <v>227700</v>
      </c>
    </row>
    <row r="138" spans="1:21">
      <c r="B138" s="2"/>
      <c r="C138" s="2">
        <f>C125*D125+C126*D126+C127*D127+C128*D128+C129+C130</f>
        <v>15239.2754</v>
      </c>
      <c r="D138" s="2"/>
      <c r="E138" s="2"/>
      <c r="F138" s="4"/>
    </row>
    <row r="139" spans="1:21">
      <c r="F139" s="1"/>
    </row>
    <row r="140" spans="1:21">
      <c r="B140" s="2" t="s">
        <v>38</v>
      </c>
      <c r="C140" s="2"/>
      <c r="D140" s="2"/>
      <c r="E140" s="2"/>
      <c r="F140" s="4">
        <f>F114+F137</f>
        <v>11640386.067</v>
      </c>
      <c r="G140" s="4">
        <f>G114+G137</f>
        <v>7307451.8602000009</v>
      </c>
      <c r="H140" s="10">
        <f>H137+G114</f>
        <v>4407578.9141200008</v>
      </c>
      <c r="I140" s="10"/>
      <c r="J140" s="10"/>
      <c r="K140" s="48">
        <f>H140+K137</f>
        <v>6792165.4330000002</v>
      </c>
      <c r="L140" s="9">
        <f>K140+L137</f>
        <v>7147044.5002000006</v>
      </c>
      <c r="M140" s="43">
        <f>L140+M137</f>
        <v>7724187.8602000009</v>
      </c>
    </row>
    <row r="141" spans="1:21">
      <c r="A141" t="s">
        <v>271</v>
      </c>
      <c r="C141" t="s">
        <v>39</v>
      </c>
      <c r="F141" s="1"/>
    </row>
    <row r="142" spans="1:21">
      <c r="F142" s="1"/>
    </row>
    <row r="143" spans="1:21">
      <c r="F143" s="1"/>
      <c r="G143" s="7"/>
    </row>
    <row r="144" spans="1:21">
      <c r="F144" s="2"/>
      <c r="G144" s="2"/>
      <c r="Q144" s="16"/>
      <c r="R144" s="16"/>
      <c r="U144" s="16"/>
    </row>
    <row r="145" spans="1:20">
      <c r="F145" s="2"/>
      <c r="G145" s="2"/>
      <c r="T145" s="7"/>
    </row>
    <row r="146" spans="1:20">
      <c r="B146" t="s">
        <v>215</v>
      </c>
      <c r="D146">
        <v>133</v>
      </c>
      <c r="F146" s="2"/>
      <c r="G146" s="2"/>
    </row>
    <row r="147" spans="1:20">
      <c r="B147" s="2" t="s">
        <v>212</v>
      </c>
      <c r="C147" s="2"/>
      <c r="D147" s="2">
        <v>65</v>
      </c>
      <c r="F147" s="2"/>
      <c r="G147" s="2"/>
      <c r="H147" s="6"/>
      <c r="I147" s="6"/>
      <c r="J147" s="6"/>
    </row>
    <row r="148" spans="1:20">
      <c r="B148" s="2" t="s">
        <v>40</v>
      </c>
      <c r="C148" s="2"/>
      <c r="D148" s="2">
        <v>45</v>
      </c>
      <c r="F148" s="2"/>
      <c r="G148" s="2"/>
      <c r="H148" s="2"/>
      <c r="I148" s="2"/>
      <c r="J148" s="2"/>
      <c r="K148" s="2"/>
    </row>
    <row r="149" spans="1:20">
      <c r="B149" s="2" t="s">
        <v>12</v>
      </c>
      <c r="C149" s="2"/>
      <c r="D149" s="2">
        <v>54</v>
      </c>
      <c r="F149" s="2"/>
      <c r="G149" s="2"/>
      <c r="H149" s="2"/>
      <c r="I149" s="2"/>
      <c r="J149" s="2"/>
      <c r="K149" s="2"/>
    </row>
    <row r="150" spans="1:20">
      <c r="B150" s="2" t="s">
        <v>204</v>
      </c>
      <c r="C150" s="2"/>
      <c r="D150" s="2">
        <v>64</v>
      </c>
      <c r="F150" s="2"/>
      <c r="G150" s="2"/>
      <c r="H150" s="2"/>
      <c r="I150" s="2"/>
      <c r="J150" s="2"/>
      <c r="K150" s="2"/>
      <c r="L150" s="2"/>
    </row>
    <row r="151" spans="1:20">
      <c r="B151" s="2" t="s">
        <v>53</v>
      </c>
      <c r="C151" s="2"/>
      <c r="D151" s="2">
        <v>49</v>
      </c>
      <c r="F151" s="2"/>
      <c r="G151" s="2"/>
      <c r="H151" s="2"/>
      <c r="I151" s="2"/>
      <c r="J151" s="2"/>
      <c r="K151" s="2"/>
      <c r="L151" s="2"/>
    </row>
    <row r="152" spans="1:20">
      <c r="B152" s="2" t="s">
        <v>206</v>
      </c>
      <c r="C152" s="2"/>
      <c r="D152" s="2">
        <v>22.25</v>
      </c>
      <c r="F152" s="2"/>
      <c r="G152" s="2"/>
      <c r="H152" s="2"/>
      <c r="I152" s="2"/>
      <c r="J152" s="2"/>
    </row>
    <row r="153" spans="1:20">
      <c r="A153" t="s">
        <v>99</v>
      </c>
      <c r="B153" s="2" t="s">
        <v>207</v>
      </c>
      <c r="C153" s="2"/>
      <c r="D153" s="2">
        <v>64</v>
      </c>
      <c r="F153" s="2"/>
      <c r="G153" s="2"/>
      <c r="H153" s="2"/>
      <c r="I153" s="2"/>
      <c r="J153" s="2"/>
    </row>
    <row r="154" spans="1:20">
      <c r="B154" s="2" t="s">
        <v>41</v>
      </c>
      <c r="C154" s="2"/>
      <c r="D154" s="2">
        <v>25</v>
      </c>
      <c r="F154" s="2"/>
      <c r="G154" s="2"/>
      <c r="H154" s="2"/>
      <c r="I154" s="2"/>
      <c r="J154" s="2"/>
      <c r="K154" s="2"/>
      <c r="L154" s="2"/>
      <c r="M154" s="2"/>
    </row>
    <row r="155" spans="1:20">
      <c r="B155" s="2" t="s">
        <v>13</v>
      </c>
      <c r="C155" s="2"/>
      <c r="D155" s="2">
        <v>57</v>
      </c>
    </row>
    <row r="156" spans="1:20">
      <c r="B156" s="2" t="s">
        <v>205</v>
      </c>
      <c r="C156" s="2"/>
      <c r="D156" s="2">
        <v>91</v>
      </c>
    </row>
    <row r="157" spans="1:20">
      <c r="B157" s="2" t="s">
        <v>14</v>
      </c>
      <c r="C157" s="2"/>
      <c r="D157" s="2">
        <v>57</v>
      </c>
      <c r="J157">
        <v>61</v>
      </c>
      <c r="K157">
        <v>1216</v>
      </c>
      <c r="L157">
        <f>K157*J157</f>
        <v>74176</v>
      </c>
    </row>
    <row r="158" spans="1:20">
      <c r="B158" s="2"/>
      <c r="C158" s="2"/>
      <c r="D158" s="2"/>
      <c r="J158">
        <v>72</v>
      </c>
      <c r="K158">
        <v>1019</v>
      </c>
      <c r="L158">
        <f>K158*J158</f>
        <v>73368</v>
      </c>
    </row>
    <row r="159" spans="1:20">
      <c r="B159" s="2"/>
      <c r="C159" s="2"/>
      <c r="D159" s="2"/>
      <c r="L159">
        <f>SUM(L157:L158)</f>
        <v>147544</v>
      </c>
      <c r="M159">
        <v>44</v>
      </c>
    </row>
    <row r="160" spans="1:20">
      <c r="B160" s="2"/>
      <c r="C160" s="2"/>
      <c r="D160" s="2"/>
    </row>
    <row r="161" spans="2:13">
      <c r="B161" s="2"/>
      <c r="C161" s="2"/>
      <c r="D161" s="2"/>
      <c r="J161">
        <v>61</v>
      </c>
      <c r="K161">
        <v>1100</v>
      </c>
      <c r="L161">
        <f>K161*J161</f>
        <v>67100</v>
      </c>
    </row>
    <row r="162" spans="2:13">
      <c r="B162" s="2"/>
      <c r="C162" s="2"/>
      <c r="D162" s="2"/>
      <c r="J162">
        <v>72</v>
      </c>
      <c r="K162">
        <v>900</v>
      </c>
      <c r="L162">
        <f>K162*J162</f>
        <v>64800</v>
      </c>
    </row>
    <row r="163" spans="2:13">
      <c r="B163" s="2"/>
      <c r="C163" s="2"/>
      <c r="D163" s="2"/>
      <c r="L163">
        <f>SUM(L161:L162)</f>
        <v>131900</v>
      </c>
      <c r="M163">
        <v>44</v>
      </c>
    </row>
    <row r="164" spans="2:13">
      <c r="B164" s="2"/>
      <c r="C164" s="2"/>
      <c r="D164" s="2"/>
    </row>
    <row r="165" spans="2:13">
      <c r="B165" s="2"/>
      <c r="C165" s="2"/>
      <c r="D165" s="2"/>
    </row>
    <row r="166" spans="2:13">
      <c r="B166" s="2"/>
      <c r="C166" s="2"/>
      <c r="D166" s="2"/>
      <c r="L166" s="28" t="s">
        <v>346</v>
      </c>
      <c r="M166" s="28" t="s">
        <v>347</v>
      </c>
    </row>
    <row r="167" spans="2:13">
      <c r="B167" s="2"/>
      <c r="C167" s="2"/>
      <c r="D167" s="2"/>
      <c r="K167" t="s">
        <v>345</v>
      </c>
      <c r="L167">
        <v>1150000</v>
      </c>
      <c r="M167">
        <f>L167</f>
        <v>1150000</v>
      </c>
    </row>
    <row r="168" spans="2:13">
      <c r="B168" s="2"/>
      <c r="C168" s="2"/>
      <c r="D168" s="2"/>
      <c r="K168" t="s">
        <v>348</v>
      </c>
      <c r="L168">
        <v>600000</v>
      </c>
      <c r="M168">
        <f>L168</f>
        <v>600000</v>
      </c>
    </row>
    <row r="169" spans="2:13">
      <c r="B169" s="2"/>
      <c r="C169" s="2"/>
      <c r="D169" s="2"/>
      <c r="K169" t="s">
        <v>349</v>
      </c>
      <c r="L169">
        <v>500000</v>
      </c>
      <c r="M169">
        <f>L169</f>
        <v>500000</v>
      </c>
    </row>
    <row r="170" spans="2:13">
      <c r="K170" t="s">
        <v>350</v>
      </c>
      <c r="L170">
        <v>700000</v>
      </c>
      <c r="M170">
        <f>L170</f>
        <v>700000</v>
      </c>
    </row>
    <row r="171" spans="2:13">
      <c r="K171" t="s">
        <v>351</v>
      </c>
      <c r="L171">
        <f>L159*M159</f>
        <v>6491936</v>
      </c>
      <c r="M171">
        <f>L163*M163</f>
        <v>5803600</v>
      </c>
    </row>
    <row r="172" spans="2:13" ht="15.6">
      <c r="C172" s="13"/>
      <c r="D172" s="12"/>
      <c r="E172" s="12"/>
      <c r="F172" s="12"/>
      <c r="K172" t="s">
        <v>354</v>
      </c>
      <c r="L172">
        <f>L171*0.15</f>
        <v>973790.39999999991</v>
      </c>
      <c r="M172">
        <f>M171*0.15</f>
        <v>870540</v>
      </c>
    </row>
    <row r="173" spans="2:13">
      <c r="D173" s="11"/>
      <c r="E173" s="11"/>
      <c r="F173" s="11"/>
    </row>
    <row r="174" spans="2:13">
      <c r="K174" t="s">
        <v>68</v>
      </c>
      <c r="L174">
        <f>SUM(L167:L172)</f>
        <v>10415726.4</v>
      </c>
      <c r="M174">
        <f>SUM(M167:M172)</f>
        <v>9624140</v>
      </c>
    </row>
    <row r="175" spans="2:13">
      <c r="D175" s="1"/>
      <c r="F175" s="22"/>
      <c r="K175" t="s">
        <v>352</v>
      </c>
      <c r="L175">
        <f>L174/134</f>
        <v>77729.301492537314</v>
      </c>
      <c r="M175">
        <f>M174/134</f>
        <v>71821.940298507456</v>
      </c>
    </row>
    <row r="176" spans="2:13">
      <c r="E176" s="1"/>
      <c r="F176" s="1"/>
    </row>
    <row r="177" spans="1:13">
      <c r="D177" s="1"/>
      <c r="E177" s="1"/>
      <c r="F177" s="1"/>
      <c r="K177" t="s">
        <v>353</v>
      </c>
      <c r="L177">
        <f>L174*0.8</f>
        <v>8332581.120000001</v>
      </c>
      <c r="M177">
        <f>M174*0.8</f>
        <v>7699312</v>
      </c>
    </row>
    <row r="178" spans="1:13">
      <c r="D178" s="1"/>
      <c r="E178" s="1"/>
      <c r="F178" s="1"/>
    </row>
    <row r="179" spans="1:13">
      <c r="K179" t="s">
        <v>355</v>
      </c>
      <c r="L179">
        <v>1000000</v>
      </c>
      <c r="M179">
        <f>L179</f>
        <v>1000000</v>
      </c>
    </row>
    <row r="180" spans="1:13">
      <c r="K180" t="s">
        <v>356</v>
      </c>
      <c r="L180">
        <f>L179/0.1</f>
        <v>10000000</v>
      </c>
      <c r="M180">
        <f>L180</f>
        <v>10000000</v>
      </c>
    </row>
    <row r="181" spans="1:13">
      <c r="K181" t="s">
        <v>357</v>
      </c>
      <c r="L181">
        <f>L180*0.8</f>
        <v>8000000</v>
      </c>
      <c r="M181">
        <f>L181</f>
        <v>8000000</v>
      </c>
    </row>
    <row r="182" spans="1:13">
      <c r="A182" s="15"/>
      <c r="C182" s="10"/>
      <c r="D182" s="10"/>
      <c r="E182" s="10"/>
      <c r="F182" s="10"/>
    </row>
    <row r="183" spans="1:13">
      <c r="K183" t="s">
        <v>358</v>
      </c>
      <c r="L183">
        <f>(PMT(0.075/12,360,L181))*12</f>
        <v>-671245.92821066652</v>
      </c>
      <c r="M183">
        <f>(PMT(0.075/12,360,M181))*12</f>
        <v>-671245.92821066652</v>
      </c>
    </row>
    <row r="184" spans="1:13">
      <c r="C184" s="9"/>
      <c r="D184" s="9"/>
      <c r="E184" s="9"/>
      <c r="F184" s="9"/>
      <c r="K184" t="s">
        <v>359</v>
      </c>
      <c r="L184">
        <f>L179+L183</f>
        <v>328754.07178933348</v>
      </c>
      <c r="M184">
        <f>M179+M183</f>
        <v>328754.07178933348</v>
      </c>
    </row>
    <row r="186" spans="1:13">
      <c r="K186" t="s">
        <v>360</v>
      </c>
      <c r="L186">
        <f>L177-L181</f>
        <v>332581.12000000104</v>
      </c>
      <c r="M186">
        <f>M177-M181</f>
        <v>-300688</v>
      </c>
    </row>
    <row r="188" spans="1:13" ht="15.6">
      <c r="B188" s="14" t="s">
        <v>63</v>
      </c>
      <c r="C188" t="s">
        <v>254</v>
      </c>
      <c r="E188" s="28" t="s">
        <v>255</v>
      </c>
      <c r="G188" s="27" t="s">
        <v>143</v>
      </c>
    </row>
    <row r="189" spans="1:13">
      <c r="B189" t="s">
        <v>42</v>
      </c>
      <c r="C189">
        <v>250</v>
      </c>
      <c r="E189">
        <v>350</v>
      </c>
      <c r="G189" s="27">
        <v>300000</v>
      </c>
    </row>
    <row r="190" spans="1:13">
      <c r="B190" t="s">
        <v>64</v>
      </c>
      <c r="C190">
        <v>300</v>
      </c>
      <c r="E190">
        <v>300</v>
      </c>
      <c r="G190" s="27">
        <v>300000</v>
      </c>
    </row>
    <row r="191" spans="1:13">
      <c r="B191" t="s">
        <v>209</v>
      </c>
      <c r="C191">
        <v>1500</v>
      </c>
      <c r="E191">
        <v>2000</v>
      </c>
      <c r="G191" s="29">
        <f>G197-SUM(G192:G195)-G190-G189</f>
        <v>2000000</v>
      </c>
    </row>
    <row r="192" spans="1:13">
      <c r="G192" s="27">
        <v>0</v>
      </c>
    </row>
    <row r="193" spans="2:18">
      <c r="B193" t="s">
        <v>210</v>
      </c>
      <c r="C193">
        <v>50</v>
      </c>
      <c r="E193">
        <v>50</v>
      </c>
      <c r="G193" s="27">
        <v>50000</v>
      </c>
    </row>
    <row r="194" spans="2:18">
      <c r="B194" t="s">
        <v>230</v>
      </c>
      <c r="C194">
        <v>2500</v>
      </c>
      <c r="E194">
        <v>3500</v>
      </c>
      <c r="G194" s="27">
        <v>4350000</v>
      </c>
    </row>
    <row r="195" spans="2:18">
      <c r="G195" s="27">
        <v>0</v>
      </c>
    </row>
    <row r="196" spans="2:18">
      <c r="G196" s="27"/>
    </row>
    <row r="197" spans="2:18">
      <c r="B197" t="s">
        <v>62</v>
      </c>
      <c r="C197">
        <f>SUM(C189:C195)</f>
        <v>4600</v>
      </c>
      <c r="E197">
        <f>SUM(E189:E195)</f>
        <v>6200</v>
      </c>
      <c r="G197" s="27">
        <v>7000000</v>
      </c>
    </row>
    <row r="198" spans="2:18">
      <c r="B198" t="s">
        <v>69</v>
      </c>
      <c r="C198">
        <f>(C194+C192+C195)*0.09</f>
        <v>225</v>
      </c>
      <c r="E198">
        <f>E194*0.09</f>
        <v>315</v>
      </c>
      <c r="G198" s="27">
        <f>G194*0.09</f>
        <v>391500</v>
      </c>
    </row>
    <row r="200" spans="2:18" ht="19.2">
      <c r="B200" t="s">
        <v>192</v>
      </c>
      <c r="C200" s="22">
        <f>FV(0.1/12,18*12,0,-C191,0)</f>
        <v>9007.0402008588935</v>
      </c>
      <c r="D200" s="22"/>
      <c r="E200" s="22">
        <f>FV(0.1/12,18*12,0,-E191,0)</f>
        <v>12009.386934478523</v>
      </c>
      <c r="F200" s="22"/>
      <c r="G200" s="22">
        <f>FV(0.1/12,18*12,0,-G191,0)</f>
        <v>12009386.934478523</v>
      </c>
      <c r="L200" t="s">
        <v>43</v>
      </c>
      <c r="M200" t="s">
        <v>69</v>
      </c>
      <c r="N200" s="13" t="s">
        <v>44</v>
      </c>
      <c r="O200" s="28" t="s">
        <v>62</v>
      </c>
      <c r="Q200" s="23"/>
    </row>
    <row r="201" spans="2:18">
      <c r="B201" t="s">
        <v>193</v>
      </c>
      <c r="K201" t="s">
        <v>65</v>
      </c>
      <c r="L201" s="33">
        <v>0.15</v>
      </c>
      <c r="M201" s="33">
        <f>$I$117*0.7</f>
        <v>3010163.2181096002</v>
      </c>
      <c r="N201" s="22"/>
      <c r="O201" s="22">
        <f>SUM(L201:N201)</f>
        <v>3010163.3681096002</v>
      </c>
      <c r="R201" s="22"/>
    </row>
    <row r="202" spans="2:18">
      <c r="K202" t="s">
        <v>74</v>
      </c>
      <c r="L202" s="33">
        <f>J117</f>
        <v>459036</v>
      </c>
      <c r="M202" s="33">
        <f>$I$117*0.05</f>
        <v>215011.65843640003</v>
      </c>
      <c r="N202" s="22">
        <f>$H$117</f>
        <v>2387775.3314720001</v>
      </c>
      <c r="O202" s="22">
        <f>SUM(L202:N202)</f>
        <v>3061822.9899084</v>
      </c>
      <c r="R202" s="22"/>
    </row>
    <row r="203" spans="2:18">
      <c r="K203" t="s">
        <v>266</v>
      </c>
      <c r="L203" s="33">
        <v>0.1</v>
      </c>
      <c r="M203" s="33">
        <f>$I$117*0.05</f>
        <v>215011.65843640003</v>
      </c>
      <c r="N203" s="22"/>
      <c r="O203" s="22">
        <f>SUM(L203:N203)</f>
        <v>215011.75843640004</v>
      </c>
      <c r="R203" s="22"/>
    </row>
    <row r="204" spans="2:18">
      <c r="K204" t="s">
        <v>70</v>
      </c>
      <c r="L204" s="33">
        <v>0.15</v>
      </c>
      <c r="M204" s="33">
        <f>$I$117*0.15</f>
        <v>645034.9753092</v>
      </c>
      <c r="N204" s="22"/>
      <c r="O204" s="22">
        <f>SUM(L204:N204)</f>
        <v>645035.12530920003</v>
      </c>
    </row>
    <row r="205" spans="2:18">
      <c r="K205" t="s">
        <v>71</v>
      </c>
      <c r="L205" s="33">
        <v>0.05</v>
      </c>
      <c r="M205" s="33">
        <f>$I$117*0.05</f>
        <v>215011.65843640003</v>
      </c>
      <c r="N205" s="22"/>
      <c r="O205" s="22">
        <f>SUM(L205:N205)</f>
        <v>215011.70843640002</v>
      </c>
    </row>
    <row r="206" spans="2:18">
      <c r="L206" s="33"/>
      <c r="N206" s="22"/>
      <c r="Q206" s="22"/>
      <c r="R206" s="22"/>
    </row>
    <row r="207" spans="2:18">
      <c r="K207" t="s">
        <v>68</v>
      </c>
      <c r="L207" s="33">
        <f>SUM(L201:L205)</f>
        <v>459036.45</v>
      </c>
      <c r="M207" s="22">
        <f>SUM(M201:M205)</f>
        <v>4300233.1687280005</v>
      </c>
      <c r="N207" s="22">
        <f>SUM(N201:N205)</f>
        <v>2387775.3314720001</v>
      </c>
      <c r="O207" s="22">
        <f>SUM(O201:O205)</f>
        <v>7147044.9501999998</v>
      </c>
    </row>
    <row r="210" spans="11:14">
      <c r="K210" t="s">
        <v>65</v>
      </c>
      <c r="N210" s="16"/>
    </row>
    <row r="211" spans="11:14">
      <c r="K211" t="s">
        <v>149</v>
      </c>
      <c r="M211" s="22"/>
    </row>
    <row r="212" spans="11:14">
      <c r="K212" t="s">
        <v>150</v>
      </c>
      <c r="M212" s="22"/>
    </row>
    <row r="213" spans="11:14">
      <c r="K213" t="s">
        <v>151</v>
      </c>
      <c r="M213" s="22">
        <v>1000000</v>
      </c>
    </row>
    <row r="214" spans="11:14">
      <c r="K214" t="s">
        <v>152</v>
      </c>
      <c r="M214" s="22">
        <v>1500000</v>
      </c>
    </row>
    <row r="215" spans="11:14">
      <c r="K215" t="s">
        <v>153</v>
      </c>
      <c r="M215" s="22"/>
    </row>
    <row r="216" spans="11:14">
      <c r="K216" t="s">
        <v>190</v>
      </c>
      <c r="M216" s="22"/>
    </row>
    <row r="217" spans="11:14">
      <c r="L217" t="s">
        <v>68</v>
      </c>
      <c r="M217" s="22">
        <f>SUM(M211:M216)</f>
        <v>2500000</v>
      </c>
    </row>
    <row r="218" spans="11:14">
      <c r="M218" s="22"/>
    </row>
    <row r="219" spans="11:14">
      <c r="M219" s="22"/>
    </row>
  </sheetData>
  <mergeCells count="1">
    <mergeCell ref="X11:Y11"/>
  </mergeCells>
  <pageMargins left="0.5" right="0.5" top="0.5" bottom="0.5" header="0.5" footer="0.5"/>
  <pageSetup orientation="portrait" horizontalDpi="200" verticalDpi="200" r:id="rId1"/>
  <headerFooter alignWithMargins="0"/>
  <rowBreaks count="1" manualBreakCount="1">
    <brk id="105" max="16383" man="1"/>
  </rowBreaks>
  <colBreaks count="2" manualBreakCount="2">
    <brk id="11" max="1048575" man="1"/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5"/>
  <cols>
    <col min="1" max="1" width="13.453125" customWidth="1"/>
    <col min="2" max="3" width="13.453125" style="44" customWidth="1"/>
    <col min="4" max="4" width="11" style="44" bestFit="1" customWidth="1"/>
    <col min="6" max="6" width="10.54296875" customWidth="1"/>
  </cols>
  <sheetData>
    <row r="1" spans="1:10" ht="16.8">
      <c r="B1" s="46" t="s">
        <v>267</v>
      </c>
      <c r="C1" s="46" t="s">
        <v>262</v>
      </c>
      <c r="D1" s="45" t="s">
        <v>268</v>
      </c>
      <c r="E1" s="16"/>
      <c r="F1" t="s">
        <v>272</v>
      </c>
      <c r="G1" t="s">
        <v>270</v>
      </c>
    </row>
    <row r="2" spans="1:10">
      <c r="A2" t="s">
        <v>75</v>
      </c>
      <c r="B2" s="44">
        <v>3000</v>
      </c>
      <c r="C2" s="44">
        <v>6</v>
      </c>
      <c r="D2" s="44">
        <f>B2*C2</f>
        <v>18000</v>
      </c>
      <c r="F2">
        <f>D2</f>
        <v>18000</v>
      </c>
      <c r="G2">
        <v>18000</v>
      </c>
    </row>
    <row r="3" spans="1:10">
      <c r="A3" t="s">
        <v>76</v>
      </c>
      <c r="B3" s="44">
        <v>5000</v>
      </c>
      <c r="C3" s="44">
        <v>12</v>
      </c>
      <c r="D3" s="44">
        <f>B3*C3</f>
        <v>60000</v>
      </c>
      <c r="F3">
        <f>D3</f>
        <v>60000</v>
      </c>
      <c r="G3">
        <v>90000</v>
      </c>
    </row>
    <row r="4" spans="1:10">
      <c r="A4" t="s">
        <v>77</v>
      </c>
      <c r="B4" s="44">
        <v>40</v>
      </c>
      <c r="C4" s="44">
        <v>150</v>
      </c>
      <c r="D4" s="44">
        <f>B4*C4</f>
        <v>6000</v>
      </c>
      <c r="F4">
        <f>D4</f>
        <v>6000</v>
      </c>
      <c r="G4">
        <v>8000</v>
      </c>
    </row>
    <row r="5" spans="1:10">
      <c r="A5" t="s">
        <v>78</v>
      </c>
      <c r="B5" s="44">
        <v>4000</v>
      </c>
      <c r="C5" s="44">
        <v>3</v>
      </c>
      <c r="D5" s="44">
        <f>B5*C5</f>
        <v>12000</v>
      </c>
      <c r="F5">
        <f>D5</f>
        <v>12000</v>
      </c>
      <c r="G5">
        <v>29000</v>
      </c>
      <c r="I5" t="s">
        <v>305</v>
      </c>
      <c r="J5">
        <f>50*20*2</f>
        <v>2000</v>
      </c>
    </row>
    <row r="6" spans="1:10">
      <c r="A6" t="s">
        <v>79</v>
      </c>
      <c r="B6" s="44">
        <f>1000+1000+1400+1400+200+200+200+200</f>
        <v>5600</v>
      </c>
      <c r="C6" s="44">
        <v>6</v>
      </c>
      <c r="D6" s="44">
        <f>B6*C6</f>
        <v>33600</v>
      </c>
      <c r="F6">
        <f>D6</f>
        <v>33600</v>
      </c>
      <c r="G6">
        <v>0</v>
      </c>
      <c r="I6" t="s">
        <v>306</v>
      </c>
      <c r="J6">
        <f>50*20*2</f>
        <v>2000</v>
      </c>
    </row>
    <row r="7" spans="1:10">
      <c r="A7" t="s">
        <v>80</v>
      </c>
      <c r="D7" s="44">
        <v>8000</v>
      </c>
      <c r="I7" t="s">
        <v>307</v>
      </c>
      <c r="J7">
        <f>22*20*4</f>
        <v>1760</v>
      </c>
    </row>
    <row r="8" spans="1:10">
      <c r="A8" t="s">
        <v>81</v>
      </c>
      <c r="D8" s="44">
        <v>10000</v>
      </c>
      <c r="G8">
        <v>0</v>
      </c>
    </row>
    <row r="9" spans="1:10">
      <c r="A9" t="s">
        <v>82</v>
      </c>
      <c r="D9" s="44">
        <v>7500</v>
      </c>
      <c r="I9" t="s">
        <v>308</v>
      </c>
      <c r="J9">
        <f>16*8*2</f>
        <v>256</v>
      </c>
    </row>
    <row r="10" spans="1:10">
      <c r="A10" t="s">
        <v>83</v>
      </c>
      <c r="D10" s="44">
        <v>15000</v>
      </c>
      <c r="I10" t="s">
        <v>309</v>
      </c>
      <c r="J10">
        <f>2.5*7*8</f>
        <v>140</v>
      </c>
    </row>
    <row r="11" spans="1:10">
      <c r="A11" t="s">
        <v>97</v>
      </c>
      <c r="D11" s="44">
        <v>5000</v>
      </c>
      <c r="I11" t="s">
        <v>310</v>
      </c>
      <c r="J11">
        <f>15*20</f>
        <v>300</v>
      </c>
    </row>
    <row r="12" spans="1:10">
      <c r="A12" t="s">
        <v>98</v>
      </c>
      <c r="B12" s="44">
        <v>40</v>
      </c>
      <c r="C12" s="44">
        <v>75</v>
      </c>
      <c r="D12" s="44">
        <f>B12*C12</f>
        <v>3000</v>
      </c>
    </row>
    <row r="13" spans="1:10">
      <c r="A13" t="s">
        <v>84</v>
      </c>
      <c r="D13" s="44">
        <v>6000</v>
      </c>
      <c r="J13">
        <f>SUM(J5:J7)-SUM(J9:J11)</f>
        <v>5064</v>
      </c>
    </row>
    <row r="14" spans="1:10">
      <c r="A14" t="s">
        <v>85</v>
      </c>
      <c r="D14" s="44">
        <v>3000</v>
      </c>
    </row>
    <row r="15" spans="1:10">
      <c r="A15" t="s">
        <v>86</v>
      </c>
      <c r="B15" s="44">
        <v>5000</v>
      </c>
      <c r="C15" s="44">
        <v>2</v>
      </c>
      <c r="D15" s="44">
        <f>B15*C15</f>
        <v>10000</v>
      </c>
    </row>
    <row r="16" spans="1:10">
      <c r="A16" t="s">
        <v>263</v>
      </c>
      <c r="B16" s="44">
        <v>15</v>
      </c>
      <c r="C16" s="44">
        <v>200</v>
      </c>
      <c r="D16" s="44">
        <f>B16*C16</f>
        <v>3000</v>
      </c>
    </row>
    <row r="17" spans="1:7">
      <c r="A17" t="s">
        <v>264</v>
      </c>
      <c r="B17" s="44">
        <v>4</v>
      </c>
      <c r="C17" s="44">
        <v>500</v>
      </c>
      <c r="D17" s="44">
        <f>B17*C17</f>
        <v>2000</v>
      </c>
    </row>
    <row r="18" spans="1:7">
      <c r="A18" t="s">
        <v>87</v>
      </c>
      <c r="D18" s="44">
        <v>5000</v>
      </c>
    </row>
    <row r="19" spans="1:7">
      <c r="A19" t="s">
        <v>228</v>
      </c>
      <c r="D19" s="44">
        <v>3500</v>
      </c>
    </row>
    <row r="20" spans="1:7">
      <c r="A20" t="s">
        <v>229</v>
      </c>
      <c r="D20" s="44">
        <v>6000</v>
      </c>
    </row>
    <row r="21" spans="1:7">
      <c r="A21" t="s">
        <v>88</v>
      </c>
      <c r="D21" s="44">
        <v>1500</v>
      </c>
    </row>
    <row r="22" spans="1:7">
      <c r="A22" t="s">
        <v>227</v>
      </c>
      <c r="D22" s="44">
        <v>20000</v>
      </c>
    </row>
    <row r="23" spans="1:7">
      <c r="A23" t="s">
        <v>89</v>
      </c>
      <c r="D23" s="44">
        <v>7500</v>
      </c>
    </row>
    <row r="24" spans="1:7">
      <c r="A24" t="s">
        <v>232</v>
      </c>
      <c r="D24" s="44">
        <v>5000</v>
      </c>
    </row>
    <row r="25" spans="1:7">
      <c r="A25" t="s">
        <v>90</v>
      </c>
      <c r="D25" s="44">
        <v>5000</v>
      </c>
      <c r="F25">
        <v>5000</v>
      </c>
      <c r="G25">
        <v>0</v>
      </c>
    </row>
    <row r="26" spans="1:7">
      <c r="A26" t="s">
        <v>91</v>
      </c>
      <c r="D26" s="44">
        <v>5000</v>
      </c>
    </row>
    <row r="27" spans="1:7">
      <c r="A27" t="s">
        <v>92</v>
      </c>
      <c r="D27" s="44">
        <v>3000</v>
      </c>
    </row>
    <row r="28" spans="1:7">
      <c r="A28" t="s">
        <v>256</v>
      </c>
      <c r="D28" s="44">
        <v>25000</v>
      </c>
    </row>
    <row r="30" spans="1:7">
      <c r="A30" t="s">
        <v>233</v>
      </c>
      <c r="D30" s="44">
        <f>SUM(D2:D28)</f>
        <v>288600</v>
      </c>
      <c r="F30" s="44">
        <f>SUM(F2:F28)</f>
        <v>134600</v>
      </c>
      <c r="G30" s="44">
        <f>SUM(G2:G28)</f>
        <v>145000</v>
      </c>
    </row>
    <row r="32" spans="1:7">
      <c r="A32" t="s">
        <v>234</v>
      </c>
      <c r="D32" s="44">
        <f>D30*0.15</f>
        <v>43290</v>
      </c>
      <c r="F32" s="44">
        <f>F30*0.15</f>
        <v>20190</v>
      </c>
    </row>
    <row r="34" spans="1:6">
      <c r="A34" t="s">
        <v>62</v>
      </c>
      <c r="D34" s="44">
        <f>D30+D32</f>
        <v>331890</v>
      </c>
      <c r="F34" s="44">
        <f>F30+F32</f>
        <v>154790</v>
      </c>
    </row>
    <row r="36" spans="1:6">
      <c r="A36" t="s">
        <v>269</v>
      </c>
      <c r="D36" s="47">
        <f>D34/4000</f>
        <v>82.972499999999997</v>
      </c>
    </row>
    <row r="41" spans="1:6">
      <c r="A41" t="s">
        <v>277</v>
      </c>
      <c r="D41" s="44">
        <v>35000</v>
      </c>
    </row>
    <row r="42" spans="1:6">
      <c r="A42" t="s">
        <v>278</v>
      </c>
      <c r="D42" s="44">
        <v>15000</v>
      </c>
    </row>
    <row r="43" spans="1:6">
      <c r="A43" t="s">
        <v>279</v>
      </c>
      <c r="D43" s="44">
        <v>10000</v>
      </c>
    </row>
    <row r="44" spans="1:6">
      <c r="A44" t="s">
        <v>280</v>
      </c>
      <c r="D44" s="44">
        <v>40000</v>
      </c>
    </row>
    <row r="46" spans="1:6">
      <c r="A46" t="s">
        <v>62</v>
      </c>
      <c r="D46" s="44">
        <f>SUM(D39:D44)+D34</f>
        <v>431890</v>
      </c>
    </row>
  </sheetData>
  <pageMargins left="0.75" right="0.75" top="1" bottom="1" header="0.5" footer="0.5"/>
  <pageSetup orientation="portrait" horizontalDpi="4294967292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9" workbookViewId="0">
      <selection activeCell="A71" sqref="A71"/>
    </sheetView>
  </sheetViews>
  <sheetFormatPr defaultRowHeight="15"/>
  <cols>
    <col min="1" max="1" width="18.81640625" customWidth="1"/>
  </cols>
  <sheetData>
    <row r="1" spans="1:4">
      <c r="B1" t="s">
        <v>221</v>
      </c>
      <c r="D1" t="s">
        <v>265</v>
      </c>
    </row>
    <row r="2" spans="1:4">
      <c r="A2" t="s">
        <v>155</v>
      </c>
      <c r="B2">
        <v>500</v>
      </c>
      <c r="D2">
        <v>500</v>
      </c>
    </row>
    <row r="4" spans="1:4">
      <c r="A4" t="s">
        <v>156</v>
      </c>
      <c r="B4">
        <v>100</v>
      </c>
      <c r="D4">
        <v>75</v>
      </c>
    </row>
    <row r="5" spans="1:4">
      <c r="A5" t="s">
        <v>157</v>
      </c>
      <c r="B5">
        <v>125</v>
      </c>
      <c r="D5">
        <v>125</v>
      </c>
    </row>
    <row r="6" spans="1:4">
      <c r="A6" t="s">
        <v>203</v>
      </c>
      <c r="B6">
        <v>0</v>
      </c>
      <c r="D6">
        <v>0</v>
      </c>
    </row>
    <row r="7" spans="1:4">
      <c r="A7" t="s">
        <v>158</v>
      </c>
      <c r="B7">
        <v>50</v>
      </c>
      <c r="D7">
        <v>50</v>
      </c>
    </row>
    <row r="8" spans="1:4">
      <c r="A8" t="s">
        <v>160</v>
      </c>
      <c r="B8">
        <v>40</v>
      </c>
      <c r="D8">
        <v>40</v>
      </c>
    </row>
    <row r="9" spans="1:4">
      <c r="A9" t="s">
        <v>161</v>
      </c>
      <c r="B9">
        <v>50</v>
      </c>
      <c r="D9">
        <v>50</v>
      </c>
    </row>
    <row r="10" spans="1:4">
      <c r="A10" t="s">
        <v>162</v>
      </c>
      <c r="B10">
        <v>100</v>
      </c>
      <c r="D10">
        <v>85</v>
      </c>
    </row>
    <row r="11" spans="1:4">
      <c r="A11" t="s">
        <v>159</v>
      </c>
      <c r="B11">
        <v>125</v>
      </c>
      <c r="D11">
        <v>115</v>
      </c>
    </row>
    <row r="12" spans="1:4">
      <c r="A12" t="s">
        <v>163</v>
      </c>
      <c r="B12">
        <v>50</v>
      </c>
      <c r="D12">
        <v>50</v>
      </c>
    </row>
    <row r="13" spans="1:4">
      <c r="A13" t="s">
        <v>164</v>
      </c>
      <c r="B13">
        <v>750</v>
      </c>
      <c r="D13">
        <v>750</v>
      </c>
    </row>
    <row r="14" spans="1:4">
      <c r="A14" t="s">
        <v>165</v>
      </c>
      <c r="B14">
        <v>250</v>
      </c>
      <c r="D14">
        <v>200</v>
      </c>
    </row>
    <row r="15" spans="1:4">
      <c r="A15" t="s">
        <v>166</v>
      </c>
      <c r="B15">
        <v>350</v>
      </c>
      <c r="D15">
        <v>300</v>
      </c>
    </row>
    <row r="16" spans="1:4">
      <c r="A16" t="s">
        <v>167</v>
      </c>
      <c r="B16">
        <v>300</v>
      </c>
      <c r="D16">
        <v>200</v>
      </c>
    </row>
    <row r="17" spans="1:4">
      <c r="A17" t="s">
        <v>168</v>
      </c>
      <c r="B17">
        <v>400</v>
      </c>
      <c r="D17">
        <v>200</v>
      </c>
    </row>
    <row r="18" spans="1:4">
      <c r="A18" t="s">
        <v>169</v>
      </c>
      <c r="B18">
        <v>400</v>
      </c>
      <c r="D18">
        <v>250</v>
      </c>
    </row>
    <row r="19" spans="1:4">
      <c r="A19" t="s">
        <v>170</v>
      </c>
      <c r="B19">
        <v>250</v>
      </c>
      <c r="D19">
        <v>200</v>
      </c>
    </row>
    <row r="20" spans="1:4">
      <c r="A20" t="s">
        <v>171</v>
      </c>
      <c r="B20">
        <v>250</v>
      </c>
      <c r="D20">
        <v>200</v>
      </c>
    </row>
    <row r="21" spans="1:4">
      <c r="A21" t="s">
        <v>186</v>
      </c>
      <c r="B21">
        <v>1000</v>
      </c>
      <c r="D21">
        <v>500</v>
      </c>
    </row>
    <row r="22" spans="1:4">
      <c r="A22" t="s">
        <v>187</v>
      </c>
      <c r="B22">
        <v>300</v>
      </c>
      <c r="D22">
        <v>200</v>
      </c>
    </row>
    <row r="23" spans="1:4">
      <c r="A23" t="s">
        <v>103</v>
      </c>
      <c r="B23">
        <v>200</v>
      </c>
      <c r="D23">
        <v>200</v>
      </c>
    </row>
    <row r="24" spans="1:4">
      <c r="A24" t="s">
        <v>188</v>
      </c>
      <c r="B24">
        <v>200</v>
      </c>
      <c r="D24">
        <v>200</v>
      </c>
    </row>
    <row r="25" spans="1:4">
      <c r="A25" t="s">
        <v>189</v>
      </c>
      <c r="B25">
        <v>500</v>
      </c>
      <c r="D25">
        <v>400</v>
      </c>
    </row>
    <row r="27" spans="1:4">
      <c r="A27" t="s">
        <v>172</v>
      </c>
      <c r="B27">
        <f>SUM(B2:B26)</f>
        <v>6290</v>
      </c>
      <c r="D27">
        <f>SUM(D2:D26)</f>
        <v>4890</v>
      </c>
    </row>
    <row r="28" spans="1:4">
      <c r="B28" s="30"/>
    </row>
    <row r="29" spans="1:4">
      <c r="A29" t="s">
        <v>173</v>
      </c>
      <c r="B29">
        <f>B27*12</f>
        <v>75480</v>
      </c>
      <c r="D29">
        <f>D27*12</f>
        <v>58680</v>
      </c>
    </row>
    <row r="38" spans="2:3">
      <c r="B38" s="31"/>
      <c r="C38" s="31"/>
    </row>
    <row r="39" spans="2:3">
      <c r="B39" s="31"/>
      <c r="C39" s="31"/>
    </row>
    <row r="40" spans="2:3">
      <c r="B40" s="31"/>
      <c r="C40" s="31"/>
    </row>
    <row r="41" spans="2:3">
      <c r="B41" s="31"/>
      <c r="C41" s="31"/>
    </row>
    <row r="42" spans="2:3">
      <c r="B42" s="31"/>
      <c r="C42" s="31"/>
    </row>
    <row r="43" spans="2:3">
      <c r="B43" s="31"/>
      <c r="C43" s="31"/>
    </row>
    <row r="44" spans="2:3">
      <c r="B44" s="31"/>
      <c r="C44" s="31"/>
    </row>
    <row r="45" spans="2:3">
      <c r="B45" s="31"/>
      <c r="C45" s="31"/>
    </row>
    <row r="46" spans="2:3">
      <c r="B46" s="31"/>
      <c r="C46" s="31"/>
    </row>
    <row r="47" spans="2:3">
      <c r="B47" s="31"/>
      <c r="C47" s="31"/>
    </row>
    <row r="48" spans="2:3">
      <c r="B48" s="31"/>
      <c r="C48" s="31"/>
    </row>
    <row r="49" spans="1:3">
      <c r="B49" s="31"/>
      <c r="C49" s="31"/>
    </row>
    <row r="50" spans="1:3">
      <c r="B50" s="31"/>
      <c r="C50" s="31"/>
    </row>
    <row r="51" spans="1:3">
      <c r="B51" s="31"/>
      <c r="C51" s="31"/>
    </row>
    <row r="52" spans="1:3">
      <c r="B52" s="31"/>
      <c r="C52" s="31"/>
    </row>
    <row r="53" spans="1:3">
      <c r="B53" s="31"/>
      <c r="C53" s="31"/>
    </row>
    <row r="54" spans="1:3">
      <c r="B54" s="31"/>
      <c r="C54" s="31"/>
    </row>
    <row r="55" spans="1:3">
      <c r="B55" s="31"/>
      <c r="C55" s="31"/>
    </row>
    <row r="56" spans="1:3">
      <c r="B56" s="31"/>
      <c r="C56" s="31"/>
    </row>
    <row r="57" spans="1:3">
      <c r="B57" s="31"/>
      <c r="C57" s="31"/>
    </row>
    <row r="58" spans="1:3">
      <c r="B58" s="31"/>
      <c r="C58" s="31"/>
    </row>
    <row r="59" spans="1:3">
      <c r="B59" s="31"/>
      <c r="C59" s="31"/>
    </row>
    <row r="60" spans="1:3">
      <c r="A60" s="31"/>
      <c r="B60" s="31"/>
      <c r="C60" s="31"/>
    </row>
    <row r="61" spans="1:3">
      <c r="B61" s="31"/>
      <c r="C61" s="31"/>
    </row>
    <row r="62" spans="1:3">
      <c r="B62" s="31"/>
      <c r="C62" s="31"/>
    </row>
    <row r="63" spans="1:3">
      <c r="B63" s="31"/>
      <c r="C63" s="31"/>
    </row>
    <row r="64" spans="1:3">
      <c r="B64" s="31"/>
      <c r="C64" s="31"/>
    </row>
    <row r="65" spans="1:3">
      <c r="B65" s="31"/>
      <c r="C65" s="31"/>
    </row>
    <row r="66" spans="1:3">
      <c r="B66" s="31"/>
      <c r="C66" s="31"/>
    </row>
    <row r="67" spans="1:3">
      <c r="B67" s="31"/>
      <c r="C67" s="31"/>
    </row>
    <row r="68" spans="1:3">
      <c r="B68" s="31"/>
      <c r="C68" s="31"/>
    </row>
    <row r="69" spans="1:3">
      <c r="B69" s="31"/>
      <c r="C69" s="31"/>
    </row>
    <row r="70" spans="1:3">
      <c r="B70" s="31"/>
      <c r="C70" s="31"/>
    </row>
    <row r="71" spans="1:3">
      <c r="B71" s="31"/>
      <c r="C71" s="31"/>
    </row>
    <row r="72" spans="1:3">
      <c r="A72" t="s">
        <v>176</v>
      </c>
      <c r="B72" s="31"/>
      <c r="C72" s="31"/>
    </row>
    <row r="73" spans="1:3">
      <c r="A73" t="s">
        <v>65</v>
      </c>
    </row>
    <row r="74" spans="1:3">
      <c r="A74" t="s">
        <v>70</v>
      </c>
    </row>
    <row r="80" spans="1:3">
      <c r="A80" t="s">
        <v>177</v>
      </c>
    </row>
    <row r="81" spans="1:3">
      <c r="B81" t="s">
        <v>175</v>
      </c>
      <c r="C81" t="s">
        <v>174</v>
      </c>
    </row>
    <row r="82" spans="1:3">
      <c r="A82" t="s">
        <v>178</v>
      </c>
      <c r="B82">
        <v>1000</v>
      </c>
      <c r="C82">
        <v>600</v>
      </c>
    </row>
    <row r="83" spans="1:3">
      <c r="A83" t="s">
        <v>179</v>
      </c>
      <c r="B83">
        <v>500</v>
      </c>
      <c r="C83">
        <v>300</v>
      </c>
    </row>
    <row r="84" spans="1:3">
      <c r="A84" s="7" t="s">
        <v>180</v>
      </c>
      <c r="B84">
        <v>750</v>
      </c>
      <c r="C84">
        <v>450</v>
      </c>
    </row>
    <row r="85" spans="1:3">
      <c r="A85" t="s">
        <v>181</v>
      </c>
      <c r="B85">
        <v>750</v>
      </c>
      <c r="C85">
        <v>450</v>
      </c>
    </row>
    <row r="86" spans="1:3">
      <c r="A86" t="s">
        <v>182</v>
      </c>
      <c r="B86">
        <v>500</v>
      </c>
      <c r="C86">
        <v>300</v>
      </c>
    </row>
    <row r="87" spans="1:3">
      <c r="A87" t="s">
        <v>183</v>
      </c>
      <c r="B87" s="16">
        <v>2000</v>
      </c>
      <c r="C87" s="16">
        <v>600</v>
      </c>
    </row>
    <row r="88" spans="1:3">
      <c r="A88" t="s">
        <v>184</v>
      </c>
      <c r="B88">
        <f>SUM(B82:B87)</f>
        <v>5500</v>
      </c>
      <c r="C88">
        <f>SUM(C82:C87)</f>
        <v>2700</v>
      </c>
    </row>
    <row r="92" spans="1:3">
      <c r="A92" t="s">
        <v>185</v>
      </c>
      <c r="B92">
        <v>6000</v>
      </c>
      <c r="C92">
        <v>1500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/>
  <cols>
    <col min="2" max="2" width="11.08984375" customWidth="1"/>
  </cols>
  <sheetData>
    <row r="1" spans="1:7">
      <c r="A1" s="57"/>
      <c r="B1" s="57" t="s">
        <v>299</v>
      </c>
      <c r="C1" s="58" t="s">
        <v>297</v>
      </c>
      <c r="D1" s="58" t="s">
        <v>301</v>
      </c>
      <c r="E1" s="58" t="s">
        <v>298</v>
      </c>
      <c r="F1" s="58" t="s">
        <v>300</v>
      </c>
      <c r="G1" s="57"/>
    </row>
    <row r="2" spans="1:7" ht="15.6">
      <c r="A2" s="59" t="s">
        <v>362</v>
      </c>
      <c r="B2" s="57"/>
      <c r="C2" s="57"/>
      <c r="D2" s="57"/>
      <c r="E2" s="57"/>
      <c r="F2" s="57"/>
      <c r="G2" s="57"/>
    </row>
    <row r="3" spans="1:7">
      <c r="A3" s="57"/>
      <c r="B3" s="60">
        <v>18.375</v>
      </c>
      <c r="C3" s="57">
        <v>4584</v>
      </c>
      <c r="D3" s="57"/>
      <c r="E3" s="57"/>
      <c r="F3" s="57"/>
      <c r="G3" s="57"/>
    </row>
    <row r="4" spans="1:7">
      <c r="A4" s="57"/>
      <c r="B4" s="60">
        <v>20.0625</v>
      </c>
      <c r="C4" s="57">
        <v>1600</v>
      </c>
      <c r="D4" s="57"/>
      <c r="E4" s="57">
        <v>1600</v>
      </c>
      <c r="F4" s="57"/>
      <c r="G4" s="57"/>
    </row>
    <row r="5" spans="1:7">
      <c r="A5" s="57"/>
      <c r="B5" s="60">
        <v>31.49</v>
      </c>
      <c r="C5" s="57">
        <v>3124</v>
      </c>
      <c r="D5" s="57"/>
      <c r="E5" s="57">
        <v>3124</v>
      </c>
      <c r="F5" s="57">
        <v>3124</v>
      </c>
      <c r="G5" s="57"/>
    </row>
    <row r="6" spans="1:7">
      <c r="A6" s="57"/>
      <c r="B6" s="60">
        <v>55.5</v>
      </c>
      <c r="C6" s="57">
        <v>2565</v>
      </c>
      <c r="D6" s="57"/>
      <c r="E6" s="57">
        <v>2565</v>
      </c>
      <c r="F6" s="57"/>
      <c r="G6" s="57"/>
    </row>
    <row r="7" spans="1:7">
      <c r="A7" s="57"/>
      <c r="B7" s="57"/>
      <c r="C7" s="57"/>
      <c r="D7" s="57"/>
      <c r="E7" s="57"/>
      <c r="F7" s="57"/>
      <c r="G7" s="57"/>
    </row>
    <row r="8" spans="1:7" ht="15.6">
      <c r="A8" s="59" t="s">
        <v>363</v>
      </c>
      <c r="B8" s="57"/>
      <c r="C8" s="57">
        <f>SUM(C3:C6)</f>
        <v>11873</v>
      </c>
      <c r="D8" s="57"/>
      <c r="E8" s="57"/>
      <c r="F8" s="57"/>
      <c r="G8" s="57"/>
    </row>
    <row r="9" spans="1:7" ht="15.6">
      <c r="A9" s="59" t="s">
        <v>364</v>
      </c>
      <c r="B9" s="57" t="s">
        <v>336</v>
      </c>
      <c r="C9" s="57">
        <v>-5000</v>
      </c>
      <c r="D9" s="57"/>
      <c r="E9" s="57"/>
      <c r="F9" s="57"/>
      <c r="G9" s="57"/>
    </row>
    <row r="10" spans="1:7">
      <c r="A10" s="57"/>
      <c r="B10" s="57" t="s">
        <v>337</v>
      </c>
      <c r="C10" s="57">
        <v>-5000</v>
      </c>
      <c r="D10" s="57"/>
      <c r="E10" s="57"/>
      <c r="F10" s="57"/>
      <c r="G10" s="57"/>
    </row>
    <row r="11" spans="1:7">
      <c r="A11" s="57"/>
      <c r="B11" s="57"/>
      <c r="C11" s="57"/>
      <c r="D11" s="57"/>
      <c r="E11" s="57"/>
      <c r="F11" s="57"/>
      <c r="G11" s="57"/>
    </row>
    <row r="12" spans="1:7">
      <c r="A12" s="57" t="s">
        <v>365</v>
      </c>
      <c r="B12" s="57"/>
      <c r="C12" s="57">
        <f>SUM(C8:C10)</f>
        <v>1873</v>
      </c>
      <c r="D12" s="57"/>
      <c r="E12" s="57"/>
      <c r="F12" s="57"/>
      <c r="G12" s="57"/>
    </row>
    <row r="15" spans="1:7" ht="15.6">
      <c r="A15" s="54" t="s">
        <v>338</v>
      </c>
      <c r="B15" s="55"/>
      <c r="C15" s="55"/>
      <c r="D15" s="55"/>
      <c r="E15" s="55"/>
      <c r="F15" s="55"/>
      <c r="G15" s="55"/>
    </row>
    <row r="16" spans="1:7">
      <c r="A16" s="55"/>
      <c r="B16" s="56">
        <v>76</v>
      </c>
      <c r="C16" s="55">
        <v>2381</v>
      </c>
      <c r="D16" s="55"/>
      <c r="E16" s="55">
        <v>2381</v>
      </c>
      <c r="F16" s="55">
        <v>2381</v>
      </c>
      <c r="G16" s="55"/>
    </row>
    <row r="17" spans="1:7">
      <c r="A17" s="55"/>
      <c r="B17" s="55">
        <v>75</v>
      </c>
      <c r="C17" s="55">
        <f>1750000/25*0.45</f>
        <v>31500</v>
      </c>
      <c r="D17" s="55">
        <f>1750000/25*0.15</f>
        <v>10500</v>
      </c>
      <c r="E17" s="55">
        <f>1750000/25*0.15</f>
        <v>10500</v>
      </c>
      <c r="F17" s="55">
        <f>1750000/25*0.25</f>
        <v>17500</v>
      </c>
      <c r="G17" s="55"/>
    </row>
    <row r="18" spans="1:7">
      <c r="A18" s="55"/>
      <c r="B18" s="55"/>
      <c r="C18" s="55"/>
      <c r="D18" s="55"/>
      <c r="E18" s="55"/>
      <c r="F18" s="55"/>
      <c r="G18" s="55"/>
    </row>
    <row r="19" spans="1:7" ht="15.6">
      <c r="A19" s="54" t="s">
        <v>363</v>
      </c>
      <c r="B19" s="55"/>
      <c r="C19" s="55">
        <f>SUM(C3:C17)</f>
        <v>49500</v>
      </c>
      <c r="D19" s="55">
        <f>SUM(D3:D17)</f>
        <v>10500</v>
      </c>
      <c r="E19" s="55">
        <f>SUM(E3:E17)</f>
        <v>20170</v>
      </c>
      <c r="F19" s="55">
        <f>SUM(F3:F17)</f>
        <v>23005</v>
      </c>
      <c r="G19" s="55"/>
    </row>
    <row r="20" spans="1:7">
      <c r="A20" s="55"/>
      <c r="B20" s="55"/>
      <c r="C20" s="55"/>
      <c r="D20" s="55"/>
      <c r="E20" s="55"/>
      <c r="F20" s="55"/>
      <c r="G20" s="55"/>
    </row>
    <row r="21" spans="1:7">
      <c r="A21" s="55" t="s">
        <v>361</v>
      </c>
      <c r="B21" s="55"/>
      <c r="C21" s="55"/>
      <c r="D21" s="55"/>
      <c r="E21" s="55"/>
      <c r="F21" s="55"/>
      <c r="G21" s="55"/>
    </row>
    <row r="22" spans="1:7">
      <c r="A22" s="55"/>
      <c r="B22" s="55"/>
      <c r="C22" s="55"/>
      <c r="D22" s="55"/>
      <c r="E22" s="55"/>
      <c r="F22" s="55"/>
      <c r="G22" s="55"/>
    </row>
    <row r="23" spans="1:7" ht="15.6">
      <c r="A23" s="54" t="s">
        <v>366</v>
      </c>
      <c r="B23" s="55"/>
      <c r="C23" s="55"/>
      <c r="D23" s="55"/>
      <c r="E23" s="55"/>
      <c r="F23" s="55"/>
      <c r="G23" s="55"/>
    </row>
    <row r="26" spans="1:7" ht="15.6">
      <c r="A26" s="61" t="s">
        <v>367</v>
      </c>
      <c r="B26" s="62">
        <v>23333</v>
      </c>
      <c r="C26" s="63"/>
      <c r="D26" s="63"/>
      <c r="E26" s="63"/>
      <c r="F26" s="63"/>
      <c r="G26" s="63"/>
    </row>
    <row r="27" spans="1:7">
      <c r="A27" s="63"/>
      <c r="B27" s="63"/>
      <c r="C27" s="63"/>
      <c r="D27" s="63"/>
      <c r="E27" s="63"/>
      <c r="F27" s="63"/>
      <c r="G27" s="63"/>
    </row>
    <row r="28" spans="1:7">
      <c r="A28" s="63"/>
      <c r="B28" s="63"/>
      <c r="C28" s="63"/>
      <c r="D28" s="63"/>
      <c r="E28" s="63"/>
      <c r="F28" s="63"/>
      <c r="G28" s="63"/>
    </row>
    <row r="29" spans="1:7">
      <c r="A29" s="63"/>
      <c r="B29" s="63" t="s">
        <v>302</v>
      </c>
      <c r="C29" s="63">
        <v>-30000</v>
      </c>
      <c r="D29" s="63"/>
      <c r="E29" s="63"/>
      <c r="F29" s="63"/>
      <c r="G29" s="63"/>
    </row>
    <row r="30" spans="1:7">
      <c r="A30" s="63"/>
      <c r="B30" s="63"/>
      <c r="C30" s="63"/>
      <c r="D30" s="63"/>
      <c r="E30" s="63"/>
      <c r="F30" s="63"/>
      <c r="G30" s="63"/>
    </row>
    <row r="31" spans="1:7">
      <c r="A31" s="63"/>
      <c r="B31" s="63"/>
      <c r="C31" s="63"/>
      <c r="D31" s="63"/>
      <c r="E31" s="63"/>
      <c r="F31" s="63"/>
      <c r="G31" s="63"/>
    </row>
    <row r="32" spans="1:7">
      <c r="A32" s="63"/>
      <c r="B32" s="63" t="s">
        <v>333</v>
      </c>
      <c r="C32" s="63">
        <f>SUM(C19:C28)</f>
        <v>49500</v>
      </c>
      <c r="D32" s="63"/>
      <c r="E32" s="63"/>
      <c r="F32" s="63"/>
      <c r="G32" s="63"/>
    </row>
    <row r="33" spans="1:7">
      <c r="A33" s="63"/>
      <c r="B33" s="63" t="s">
        <v>303</v>
      </c>
      <c r="C33" s="63">
        <f>1750000/4/75</f>
        <v>5833.333333333333</v>
      </c>
      <c r="D33" s="63"/>
      <c r="E33" s="63">
        <f>1750000/4/75</f>
        <v>5833.333333333333</v>
      </c>
      <c r="F33" s="63">
        <f>1750000/4/75</f>
        <v>5833.333333333333</v>
      </c>
      <c r="G33" s="63"/>
    </row>
    <row r="34" spans="1:7">
      <c r="A34" s="63"/>
      <c r="B34" s="63"/>
      <c r="C34" s="63"/>
      <c r="D34" s="63"/>
      <c r="E34" s="63"/>
      <c r="F34" s="63"/>
      <c r="G34" s="63"/>
    </row>
    <row r="35" spans="1:7">
      <c r="A35" s="63"/>
      <c r="B35" s="63"/>
      <c r="C35" s="63"/>
      <c r="D35" s="63"/>
      <c r="E35" s="63"/>
      <c r="F35" s="63"/>
      <c r="G35" s="63"/>
    </row>
    <row r="36" spans="1:7">
      <c r="A36" s="63"/>
      <c r="B36" s="63" t="s">
        <v>334</v>
      </c>
      <c r="C36" s="63">
        <f>C33+C32</f>
        <v>55333.333333333336</v>
      </c>
      <c r="D36" s="63"/>
      <c r="E36" s="63"/>
      <c r="F36" s="63"/>
      <c r="G36" s="6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 Plan</vt:lpstr>
      <vt:lpstr>Assets</vt:lpstr>
      <vt:lpstr>House</vt:lpstr>
      <vt:lpstr>Fut.Budg</vt:lpstr>
      <vt:lpstr>vesting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Positions</dc:title>
  <dc:creator>phillip</dc:creator>
  <cp:lastModifiedBy>Havlíček Jan</cp:lastModifiedBy>
  <cp:lastPrinted>2000-12-30T04:53:29Z</cp:lastPrinted>
  <dcterms:created xsi:type="dcterms:W3CDTF">1999-03-04T03:05:25Z</dcterms:created>
  <dcterms:modified xsi:type="dcterms:W3CDTF">2023-09-10T15:32:22Z</dcterms:modified>
</cp:coreProperties>
</file>