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432" windowWidth="14700" windowHeight="8196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Sheet1!$A$1:$N$60</definedName>
  </definedNames>
  <calcPr calcId="92512"/>
</workbook>
</file>

<file path=xl/calcChain.xml><?xml version="1.0" encoding="utf-8"?>
<calcChain xmlns="http://schemas.openxmlformats.org/spreadsheetml/2006/main">
  <c r="C8" i="1" l="1"/>
  <c r="F8" i="1"/>
  <c r="G8" i="1"/>
  <c r="H8" i="1"/>
  <c r="I8" i="1"/>
  <c r="J8" i="1"/>
  <c r="K8" i="1"/>
  <c r="B9" i="1"/>
  <c r="C9" i="1"/>
  <c r="F9" i="1"/>
  <c r="G9" i="1"/>
  <c r="H9" i="1"/>
  <c r="I9" i="1"/>
  <c r="J9" i="1"/>
  <c r="K9" i="1"/>
  <c r="C10" i="1"/>
  <c r="F10" i="1"/>
  <c r="G10" i="1"/>
  <c r="H10" i="1"/>
  <c r="K10" i="1"/>
  <c r="B11" i="1"/>
  <c r="G11" i="1"/>
  <c r="K14" i="1"/>
  <c r="G15" i="1"/>
  <c r="I15" i="1"/>
  <c r="J15" i="1"/>
  <c r="K15" i="1"/>
  <c r="C18" i="1"/>
  <c r="F18" i="1"/>
  <c r="G18" i="1"/>
  <c r="H18" i="1"/>
  <c r="I18" i="1"/>
  <c r="J18" i="1"/>
  <c r="K18" i="1"/>
  <c r="F19" i="1"/>
  <c r="G19" i="1"/>
  <c r="I19" i="1"/>
  <c r="K19" i="1"/>
  <c r="B20" i="1"/>
  <c r="F24" i="1"/>
  <c r="G24" i="1"/>
  <c r="I24" i="1"/>
  <c r="J24" i="1"/>
  <c r="K24" i="1"/>
  <c r="F25" i="1"/>
  <c r="G25" i="1"/>
  <c r="J25" i="1"/>
  <c r="K25" i="1"/>
  <c r="F26" i="1"/>
  <c r="G26" i="1"/>
  <c r="H26" i="1"/>
  <c r="I26" i="1"/>
  <c r="J26" i="1"/>
  <c r="K26" i="1"/>
  <c r="F27" i="1"/>
  <c r="G27" i="1"/>
  <c r="I27" i="1"/>
  <c r="J27" i="1"/>
  <c r="K27" i="1"/>
  <c r="F28" i="1"/>
  <c r="G28" i="1"/>
  <c r="I28" i="1"/>
  <c r="J28" i="1"/>
  <c r="K28" i="1"/>
  <c r="B29" i="1"/>
  <c r="G29" i="1"/>
  <c r="B30" i="1"/>
  <c r="F30" i="1"/>
  <c r="G30" i="1"/>
  <c r="H30" i="1"/>
  <c r="I30" i="1"/>
  <c r="J30" i="1"/>
  <c r="K30" i="1"/>
  <c r="K33" i="1"/>
  <c r="F36" i="1"/>
  <c r="G36" i="1"/>
  <c r="K36" i="1"/>
  <c r="F37" i="1"/>
  <c r="G37" i="1"/>
  <c r="K37" i="1"/>
  <c r="F38" i="1"/>
  <c r="G38" i="1"/>
  <c r="K38" i="1"/>
  <c r="F39" i="1"/>
  <c r="G39" i="1"/>
  <c r="K39" i="1"/>
  <c r="F40" i="1"/>
  <c r="G40" i="1"/>
  <c r="K40" i="1"/>
  <c r="F41" i="1"/>
  <c r="G41" i="1"/>
  <c r="K41" i="1"/>
  <c r="F42" i="1"/>
  <c r="G42" i="1"/>
  <c r="K42" i="1"/>
  <c r="F43" i="1"/>
  <c r="G43" i="1"/>
  <c r="K43" i="1"/>
  <c r="G44" i="1"/>
  <c r="I44" i="1"/>
  <c r="J44" i="1"/>
  <c r="K44" i="1"/>
  <c r="C45" i="1"/>
  <c r="D45" i="1"/>
  <c r="K48" i="1"/>
  <c r="K57" i="1"/>
  <c r="K60" i="1"/>
</calcChain>
</file>

<file path=xl/sharedStrings.xml><?xml version="1.0" encoding="utf-8"?>
<sst xmlns="http://schemas.openxmlformats.org/spreadsheetml/2006/main" count="69" uniqueCount="62">
  <si>
    <t>Nomination Summary - Powder River</t>
  </si>
  <si>
    <t>Wellstar</t>
  </si>
  <si>
    <t>Independent</t>
  </si>
  <si>
    <t>Nomination</t>
  </si>
  <si>
    <t>NGPL</t>
  </si>
  <si>
    <t>CIG</t>
  </si>
  <si>
    <t>CIG GD</t>
  </si>
  <si>
    <t>note:</t>
  </si>
  <si>
    <t>Wellhead</t>
  </si>
  <si>
    <t>MTG</t>
  </si>
  <si>
    <t>Coleman</t>
  </si>
  <si>
    <t xml:space="preserve">Less fuel </t>
  </si>
  <si>
    <t>to Glennrock</t>
  </si>
  <si>
    <t>Confirmation</t>
  </si>
  <si>
    <t>MMBtu</t>
  </si>
  <si>
    <t>Purchase Summary</t>
  </si>
  <si>
    <t>Total Purchases</t>
  </si>
  <si>
    <t>IT</t>
  </si>
  <si>
    <t>Box Draw/Maverick Total</t>
  </si>
  <si>
    <t>Mcf</t>
  </si>
  <si>
    <t>Mmbtu</t>
  </si>
  <si>
    <t>Quantum</t>
  </si>
  <si>
    <t>Bear Paw</t>
  </si>
  <si>
    <t>Clydesdale</t>
  </si>
  <si>
    <t>Btu Factor</t>
  </si>
  <si>
    <t>Caballo</t>
  </si>
  <si>
    <t>Caballo Total</t>
  </si>
  <si>
    <t>Box Draw/So. Kitty/Maverick</t>
  </si>
  <si>
    <t>Kennedy South Kitty</t>
  </si>
  <si>
    <t>Phillips</t>
  </si>
  <si>
    <t>North Finn</t>
  </si>
  <si>
    <t>TOTAL ENA</t>
  </si>
  <si>
    <t>Clydesdale Total</t>
  </si>
  <si>
    <t>Phillips (Non Dedicated)</t>
  </si>
  <si>
    <t>Firm Transport</t>
  </si>
  <si>
    <t>(18000)</t>
  </si>
  <si>
    <t>ADDITIONAL PURCHASES:</t>
  </si>
  <si>
    <t>Citation</t>
  </si>
  <si>
    <t>MARKETS:</t>
  </si>
  <si>
    <t>Add'l Prod.</t>
  </si>
  <si>
    <t>MMBtu Avail.</t>
  </si>
  <si>
    <t>at Glenrock</t>
  </si>
  <si>
    <t>Mcf Avail.</t>
  </si>
  <si>
    <t>at Wellhead</t>
  </si>
  <si>
    <t>Position</t>
  </si>
  <si>
    <t>Volumetric Firm</t>
  </si>
  <si>
    <t>Kennedy Box Draw</t>
  </si>
  <si>
    <t>Crestone Fuel</t>
  </si>
  <si>
    <t>ADD'L SUPPLY:</t>
  </si>
  <si>
    <t>WGR - Oct.</t>
  </si>
  <si>
    <t>Firm Trans.</t>
  </si>
  <si>
    <t>Total Supply:</t>
  </si>
  <si>
    <t>Total Market:</t>
  </si>
  <si>
    <t>Wellstar -CIG Gas Daily - .35 (Sep)939857</t>
  </si>
  <si>
    <t>Kennedy - CIG Gas Daily + .10 #939837</t>
  </si>
  <si>
    <t>CMS - 5.5</t>
  </si>
  <si>
    <t>Retex -5</t>
  </si>
  <si>
    <t>Kennedy - CIG Index -  .10 #1019836</t>
  </si>
  <si>
    <t>Kennedy - CIG Gas Daily - priced on a daily basis GD</t>
  </si>
  <si>
    <t>Citation -CIG Gas Daily - .20 #1019854</t>
  </si>
  <si>
    <t>North Finn - CIG Gas Daily - .20 #1019874</t>
  </si>
  <si>
    <t>Quantum -CIG Gas Daily - .20 #1019881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</si>
</sst>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6" formatCode="_(* #,##0_);_(* \(#,##0\);_(* &quot;-&quot;??_);_(@_)"/>
    <numFmt numFmtId="170" formatCode="0.000"/>
    <numFmt numFmtId="171" formatCode="mmmm\-yy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indexed="10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0">
    <xf numFmtId="0" fontId="0" fillId="0" borderId="0" xfId="0"/>
    <xf numFmtId="0" fontId="2" fillId="0" borderId="0" xfId="0" applyFont="1"/>
    <xf numFmtId="17" fontId="2" fillId="0" borderId="0" xfId="0" applyNumberFormat="1" applyFont="1" applyAlignment="1">
      <alignment horizontal="left"/>
    </xf>
    <xf numFmtId="0" fontId="0" fillId="0" borderId="1" xfId="0" applyBorder="1"/>
    <xf numFmtId="0" fontId="0" fillId="0" borderId="2" xfId="0" applyBorder="1"/>
    <xf numFmtId="1" fontId="0" fillId="0" borderId="0" xfId="0" applyNumberFormat="1"/>
    <xf numFmtId="0" fontId="3" fillId="0" borderId="0" xfId="0" applyFont="1"/>
    <xf numFmtId="0" fontId="0" fillId="0" borderId="0" xfId="0" applyAlignment="1">
      <alignment horizontal="right"/>
    </xf>
    <xf numFmtId="0" fontId="5" fillId="0" borderId="0" xfId="0" applyFont="1"/>
    <xf numFmtId="0" fontId="0" fillId="0" borderId="3" xfId="0" applyBorder="1"/>
    <xf numFmtId="0" fontId="0" fillId="0" borderId="0" xfId="0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2" fillId="0" borderId="0" xfId="0" applyFont="1" applyBorder="1"/>
    <xf numFmtId="0" fontId="2" fillId="0" borderId="7" xfId="0" applyFont="1" applyBorder="1"/>
    <xf numFmtId="0" fontId="5" fillId="0" borderId="0" xfId="0" applyFont="1" applyBorder="1"/>
    <xf numFmtId="0" fontId="3" fillId="0" borderId="0" xfId="0" applyFont="1" applyAlignment="1">
      <alignment horizontal="right"/>
    </xf>
    <xf numFmtId="0" fontId="2" fillId="0" borderId="5" xfId="0" applyFont="1" applyBorder="1"/>
    <xf numFmtId="166" fontId="3" fillId="0" borderId="5" xfId="1" applyNumberFormat="1" applyFont="1" applyBorder="1"/>
    <xf numFmtId="166" fontId="3" fillId="0" borderId="7" xfId="1" applyNumberFormat="1" applyFont="1" applyBorder="1"/>
    <xf numFmtId="1" fontId="3" fillId="0" borderId="7" xfId="0" applyNumberFormat="1" applyFont="1" applyBorder="1"/>
    <xf numFmtId="0" fontId="3" fillId="0" borderId="0" xfId="0" applyFont="1" applyBorder="1"/>
    <xf numFmtId="1" fontId="6" fillId="0" borderId="9" xfId="0" applyNumberFormat="1" applyFont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2" xfId="0" applyFill="1" applyBorder="1"/>
    <xf numFmtId="0" fontId="0" fillId="2" borderId="17" xfId="0" applyFill="1" applyBorder="1"/>
    <xf numFmtId="1" fontId="3" fillId="2" borderId="4" xfId="0" applyNumberFormat="1" applyFont="1" applyFill="1" applyBorder="1"/>
    <xf numFmtId="1" fontId="3" fillId="2" borderId="5" xfId="0" applyNumberFormat="1" applyFont="1" applyFill="1" applyBorder="1"/>
    <xf numFmtId="166" fontId="3" fillId="2" borderId="5" xfId="1" applyNumberFormat="1" applyFont="1" applyFill="1" applyBorder="1"/>
    <xf numFmtId="1" fontId="3" fillId="2" borderId="12" xfId="0" applyNumberFormat="1" applyFont="1" applyFill="1" applyBorder="1"/>
    <xf numFmtId="1" fontId="3" fillId="2" borderId="6" xfId="0" applyNumberFormat="1" applyFont="1" applyFill="1" applyBorder="1"/>
    <xf numFmtId="1" fontId="3" fillId="2" borderId="7" xfId="0" applyNumberFormat="1" applyFont="1" applyFill="1" applyBorder="1"/>
    <xf numFmtId="166" fontId="3" fillId="2" borderId="7" xfId="1" applyNumberFormat="1" applyFont="1" applyFill="1" applyBorder="1"/>
    <xf numFmtId="1" fontId="3" fillId="2" borderId="18" xfId="0" applyNumberFormat="1" applyFont="1" applyFill="1" applyBorder="1"/>
    <xf numFmtId="1" fontId="5" fillId="2" borderId="8" xfId="0" applyNumberFormat="1" applyFont="1" applyFill="1" applyBorder="1"/>
    <xf numFmtId="1" fontId="5" fillId="2" borderId="0" xfId="0" applyNumberFormat="1" applyFont="1" applyFill="1" applyBorder="1"/>
    <xf numFmtId="1" fontId="5" fillId="2" borderId="15" xfId="0" applyNumberFormat="1" applyFont="1" applyFill="1" applyBorder="1"/>
    <xf numFmtId="1" fontId="3" fillId="2" borderId="8" xfId="0" applyNumberFormat="1" applyFont="1" applyFill="1" applyBorder="1"/>
    <xf numFmtId="1" fontId="3" fillId="2" borderId="0" xfId="0" applyNumberFormat="1" applyFont="1" applyFill="1" applyBorder="1"/>
    <xf numFmtId="1" fontId="3" fillId="2" borderId="15" xfId="0" applyNumberFormat="1" applyFont="1" applyFill="1" applyBorder="1"/>
    <xf numFmtId="0" fontId="0" fillId="2" borderId="8" xfId="0" applyFill="1" applyBorder="1"/>
    <xf numFmtId="0" fontId="0" fillId="2" borderId="0" xfId="0" applyFill="1" applyBorder="1"/>
    <xf numFmtId="1" fontId="4" fillId="2" borderId="19" xfId="0" applyNumberFormat="1" applyFont="1" applyFill="1" applyBorder="1"/>
    <xf numFmtId="1" fontId="4" fillId="2" borderId="20" xfId="0" applyNumberFormat="1" applyFont="1" applyFill="1" applyBorder="1"/>
    <xf numFmtId="1" fontId="7" fillId="2" borderId="18" xfId="0" applyNumberFormat="1" applyFont="1" applyFill="1" applyBorder="1"/>
    <xf numFmtId="1" fontId="3" fillId="0" borderId="0" xfId="0" applyNumberFormat="1" applyFont="1"/>
    <xf numFmtId="166" fontId="3" fillId="0" borderId="0" xfId="1" applyNumberFormat="1" applyFont="1" applyBorder="1"/>
    <xf numFmtId="0" fontId="5" fillId="0" borderId="15" xfId="0" applyFont="1" applyBorder="1"/>
    <xf numFmtId="1" fontId="3" fillId="2" borderId="21" xfId="0" applyNumberFormat="1" applyFont="1" applyFill="1" applyBorder="1"/>
    <xf numFmtId="1" fontId="3" fillId="2" borderId="22" xfId="0" applyNumberFormat="1" applyFont="1" applyFill="1" applyBorder="1"/>
    <xf numFmtId="0" fontId="8" fillId="0" borderId="0" xfId="0" applyFont="1" applyBorder="1"/>
    <xf numFmtId="166" fontId="3" fillId="2" borderId="0" xfId="1" applyNumberFormat="1" applyFont="1" applyFill="1" applyBorder="1"/>
    <xf numFmtId="1" fontId="3" fillId="2" borderId="3" xfId="0" applyNumberFormat="1" applyFont="1" applyFill="1" applyBorder="1"/>
    <xf numFmtId="0" fontId="10" fillId="0" borderId="5" xfId="0" applyFont="1" applyBorder="1"/>
    <xf numFmtId="0" fontId="10" fillId="0" borderId="7" xfId="0" applyFont="1" applyBorder="1"/>
    <xf numFmtId="0" fontId="10" fillId="0" borderId="0" xfId="0" applyFont="1" applyBorder="1"/>
    <xf numFmtId="170" fontId="10" fillId="0" borderId="5" xfId="0" applyNumberFormat="1" applyFont="1" applyBorder="1"/>
    <xf numFmtId="170" fontId="10" fillId="0" borderId="0" xfId="0" applyNumberFormat="1" applyFont="1" applyBorder="1"/>
    <xf numFmtId="170" fontId="10" fillId="0" borderId="7" xfId="0" applyNumberFormat="1" applyFont="1" applyBorder="1"/>
    <xf numFmtId="171" fontId="9" fillId="0" borderId="0" xfId="0" applyNumberFormat="1" applyFont="1" applyAlignment="1">
      <alignment horizontal="left"/>
    </xf>
    <xf numFmtId="1" fontId="3" fillId="0" borderId="5" xfId="0" applyNumberFormat="1" applyFont="1" applyBorder="1"/>
    <xf numFmtId="1" fontId="3" fillId="0" borderId="12" xfId="0" applyNumberFormat="1" applyFont="1" applyBorder="1"/>
    <xf numFmtId="1" fontId="3" fillId="0" borderId="18" xfId="0" applyNumberFormat="1" applyFont="1" applyBorder="1"/>
    <xf numFmtId="1" fontId="3" fillId="0" borderId="15" xfId="0" applyNumberFormat="1" applyFont="1" applyBorder="1"/>
    <xf numFmtId="0" fontId="3" fillId="0" borderId="0" xfId="0" applyFont="1" applyFill="1" applyBorder="1" applyAlignment="1">
      <alignment horizontal="right"/>
    </xf>
    <xf numFmtId="0" fontId="11" fillId="0" borderId="0" xfId="0" applyFont="1" applyBorder="1"/>
    <xf numFmtId="166" fontId="12" fillId="0" borderId="0" xfId="0" applyNumberFormat="1" applyFont="1" applyBorder="1"/>
    <xf numFmtId="166" fontId="3" fillId="0" borderId="0" xfId="0" applyNumberFormat="1" applyFont="1" applyBorder="1"/>
    <xf numFmtId="166" fontId="0" fillId="0" borderId="0" xfId="0" applyNumberFormat="1" applyBorder="1"/>
    <xf numFmtId="1" fontId="3" fillId="0" borderId="0" xfId="0" applyNumberFormat="1" applyFont="1" applyBorder="1"/>
    <xf numFmtId="1" fontId="0" fillId="0" borderId="0" xfId="0" applyNumberFormat="1" applyBorder="1"/>
    <xf numFmtId="0" fontId="3" fillId="0" borderId="7" xfId="0" quotePrefix="1" applyFont="1" applyBorder="1"/>
    <xf numFmtId="0" fontId="3" fillId="0" borderId="5" xfId="0" quotePrefix="1" applyFont="1" applyBorder="1" applyAlignment="1">
      <alignment horizontal="right"/>
    </xf>
    <xf numFmtId="0" fontId="3" fillId="0" borderId="0" xfId="0" quotePrefix="1" applyFont="1" applyBorder="1" applyAlignment="1">
      <alignment horizontal="right"/>
    </xf>
    <xf numFmtId="0" fontId="3" fillId="0" borderId="7" xfId="0" quotePrefix="1" applyFont="1" applyBorder="1" applyAlignment="1">
      <alignment horizontal="right"/>
    </xf>
    <xf numFmtId="0" fontId="0" fillId="0" borderId="7" xfId="0" applyBorder="1"/>
    <xf numFmtId="0" fontId="3" fillId="2" borderId="5" xfId="0" applyFont="1" applyFill="1" applyBorder="1"/>
    <xf numFmtId="0" fontId="3" fillId="2" borderId="12" xfId="0" applyFont="1" applyFill="1" applyBorder="1"/>
    <xf numFmtId="0" fontId="3" fillId="2" borderId="0" xfId="0" applyFont="1" applyFill="1" applyBorder="1"/>
    <xf numFmtId="0" fontId="3" fillId="2" borderId="15" xfId="0" applyFont="1" applyFill="1" applyBorder="1"/>
    <xf numFmtId="0" fontId="3" fillId="2" borderId="7" xfId="0" applyFont="1" applyFill="1" applyBorder="1"/>
    <xf numFmtId="0" fontId="3" fillId="2" borderId="18" xfId="0" applyFont="1" applyFill="1" applyBorder="1"/>
    <xf numFmtId="166" fontId="3" fillId="0" borderId="12" xfId="1" applyNumberFormat="1" applyFont="1" applyBorder="1"/>
    <xf numFmtId="166" fontId="3" fillId="0" borderId="18" xfId="1" applyNumberFormat="1" applyFont="1" applyBorder="1"/>
    <xf numFmtId="166" fontId="0" fillId="0" borderId="0" xfId="1" applyNumberFormat="1" applyFont="1"/>
    <xf numFmtId="166" fontId="2" fillId="0" borderId="0" xfId="1" applyNumberFormat="1" applyFont="1" applyBorder="1"/>
    <xf numFmtId="0" fontId="2" fillId="0" borderId="0" xfId="0" applyFont="1" applyFill="1" applyBorder="1"/>
    <xf numFmtId="166" fontId="2" fillId="0" borderId="9" xfId="0" applyNumberFormat="1" applyFont="1" applyBorder="1"/>
    <xf numFmtId="166" fontId="2" fillId="0" borderId="11" xfId="0" applyNumberFormat="1" applyFont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3" borderId="8" xfId="0" applyFont="1" applyFill="1" applyBorder="1"/>
    <xf numFmtId="0" fontId="3" fillId="3" borderId="0" xfId="0" applyFont="1" applyFill="1" applyBorder="1"/>
    <xf numFmtId="0" fontId="0" fillId="3" borderId="8" xfId="0" applyFill="1" applyBorder="1"/>
    <xf numFmtId="0" fontId="0" fillId="3" borderId="0" xfId="0" applyFill="1" applyBorder="1"/>
    <xf numFmtId="0" fontId="3" fillId="3" borderId="6" xfId="0" applyFont="1" applyFill="1" applyBorder="1"/>
    <xf numFmtId="0" fontId="0" fillId="3" borderId="7" xfId="0" applyFill="1" applyBorder="1"/>
    <xf numFmtId="166" fontId="0" fillId="0" borderId="0" xfId="0" applyNumberFormat="1"/>
    <xf numFmtId="166" fontId="0" fillId="0" borderId="23" xfId="1" applyNumberFormat="1" applyFont="1" applyBorder="1"/>
    <xf numFmtId="166" fontId="0" fillId="0" borderId="0" xfId="1" applyNumberFormat="1" applyFont="1" applyBorder="1"/>
    <xf numFmtId="166" fontId="0" fillId="0" borderId="24" xfId="1" applyNumberFormat="1" applyFont="1" applyBorder="1"/>
    <xf numFmtId="166" fontId="3" fillId="4" borderId="5" xfId="1" applyNumberFormat="1" applyFont="1" applyFill="1" applyBorder="1"/>
    <xf numFmtId="166" fontId="3" fillId="4" borderId="0" xfId="1" applyNumberFormat="1" applyFont="1" applyFill="1" applyBorder="1"/>
    <xf numFmtId="166" fontId="3" fillId="4" borderId="7" xfId="1" applyNumberFormat="1" applyFont="1" applyFill="1" applyBorder="1"/>
    <xf numFmtId="0" fontId="2" fillId="3" borderId="5" xfId="0" applyFont="1" applyFill="1" applyBorder="1"/>
    <xf numFmtId="166" fontId="2" fillId="3" borderId="0" xfId="0" applyNumberFormat="1" applyFont="1" applyFill="1" applyBorder="1"/>
    <xf numFmtId="166" fontId="2" fillId="3" borderId="0" xfId="1" applyNumberFormat="1" applyFont="1" applyFill="1" applyBorder="1"/>
    <xf numFmtId="0" fontId="2" fillId="3" borderId="0" xfId="0" applyFont="1" applyFill="1" applyBorder="1"/>
    <xf numFmtId="0" fontId="2" fillId="3" borderId="7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L60"/>
  <sheetViews>
    <sheetView tabSelected="1" view="pageBreakPreview" topLeftCell="A19" zoomScaleNormal="100" workbookViewId="0">
      <selection activeCell="D34" sqref="D34"/>
    </sheetView>
  </sheetViews>
  <sheetFormatPr defaultRowHeight="13.2" x14ac:dyDescent="0.25"/>
  <cols>
    <col min="1" max="1" width="37.33203125" customWidth="1"/>
    <col min="2" max="2" width="10.33203125" bestFit="1" customWidth="1"/>
    <col min="3" max="3" width="12.5546875" bestFit="1" customWidth="1"/>
    <col min="4" max="5" width="10.88671875" customWidth="1"/>
    <col min="6" max="6" width="11.6640625" customWidth="1"/>
    <col min="7" max="7" width="11.109375" customWidth="1"/>
    <col min="10" max="10" width="11.44140625" customWidth="1"/>
    <col min="11" max="11" width="14.44140625" bestFit="1" customWidth="1"/>
    <col min="12" max="12" width="12.6640625" customWidth="1"/>
  </cols>
  <sheetData>
    <row r="1" spans="1:12" x14ac:dyDescent="0.25">
      <c r="A1" t="s">
        <v>0</v>
      </c>
    </row>
    <row r="2" spans="1:12" x14ac:dyDescent="0.25">
      <c r="A2" s="70">
        <v>37135</v>
      </c>
      <c r="B2" s="2"/>
      <c r="C2" s="2"/>
      <c r="D2" s="2"/>
      <c r="E2" s="2"/>
    </row>
    <row r="3" spans="1:12" ht="13.8" thickBot="1" x14ac:dyDescent="0.3">
      <c r="A3" s="1"/>
      <c r="B3" s="1"/>
      <c r="C3" s="1"/>
      <c r="D3" s="1"/>
      <c r="E3" s="1"/>
    </row>
    <row r="4" spans="1:12" ht="13.8" thickBot="1" x14ac:dyDescent="0.3">
      <c r="B4" t="s">
        <v>19</v>
      </c>
      <c r="F4" t="s">
        <v>20</v>
      </c>
      <c r="G4" t="s">
        <v>14</v>
      </c>
      <c r="H4" s="26"/>
      <c r="I4" s="27" t="s">
        <v>15</v>
      </c>
      <c r="J4" s="28"/>
      <c r="K4" s="29" t="s">
        <v>16</v>
      </c>
    </row>
    <row r="5" spans="1:12" x14ac:dyDescent="0.25">
      <c r="B5" s="3" t="s">
        <v>8</v>
      </c>
      <c r="C5" s="3" t="s">
        <v>39</v>
      </c>
      <c r="D5" s="3"/>
      <c r="E5" s="3"/>
      <c r="F5" s="3" t="s">
        <v>8</v>
      </c>
      <c r="G5" s="3" t="s">
        <v>11</v>
      </c>
      <c r="H5" s="30"/>
      <c r="I5" s="31"/>
      <c r="J5" s="32"/>
      <c r="K5" s="33"/>
    </row>
    <row r="6" spans="1:12" x14ac:dyDescent="0.25">
      <c r="B6" s="4" t="s">
        <v>3</v>
      </c>
      <c r="C6" s="4" t="s">
        <v>19</v>
      </c>
      <c r="D6" s="4" t="s">
        <v>17</v>
      </c>
      <c r="E6" s="4" t="s">
        <v>24</v>
      </c>
      <c r="F6" s="4" t="s">
        <v>13</v>
      </c>
      <c r="G6" s="4" t="s">
        <v>12</v>
      </c>
      <c r="H6" s="34" t="s">
        <v>4</v>
      </c>
      <c r="I6" s="35" t="s">
        <v>5</v>
      </c>
      <c r="J6" s="36" t="s">
        <v>6</v>
      </c>
      <c r="K6" s="33"/>
      <c r="L6" t="s">
        <v>7</v>
      </c>
    </row>
    <row r="7" spans="1:12" ht="13.8" thickBot="1" x14ac:dyDescent="0.3">
      <c r="A7" s="1" t="s">
        <v>27</v>
      </c>
      <c r="B7" s="10"/>
      <c r="C7" s="10"/>
      <c r="D7" s="10"/>
      <c r="E7" s="10"/>
      <c r="F7" s="9"/>
      <c r="G7" s="9"/>
      <c r="H7" s="30"/>
      <c r="I7" s="31"/>
      <c r="J7" s="32"/>
      <c r="K7" s="33"/>
    </row>
    <row r="8" spans="1:12" s="8" customFormat="1" x14ac:dyDescent="0.25">
      <c r="A8" s="11" t="s">
        <v>46</v>
      </c>
      <c r="B8" s="64">
        <v>6940</v>
      </c>
      <c r="C8" s="83">
        <f>14200-6940</f>
        <v>7260</v>
      </c>
      <c r="D8" s="12"/>
      <c r="E8" s="67">
        <v>0.95599999999999996</v>
      </c>
      <c r="F8" s="21">
        <f>+B8*E8</f>
        <v>6634.6399999999994</v>
      </c>
      <c r="G8" s="21">
        <f>0.90355*F8</f>
        <v>5994.728971999999</v>
      </c>
      <c r="H8" s="59">
        <f>0.34*12000</f>
        <v>4080.0000000000005</v>
      </c>
      <c r="I8" s="38">
        <f>0.8*F8-H8</f>
        <v>1227.7119999999991</v>
      </c>
      <c r="J8" s="39">
        <f>+G8-H8-I8</f>
        <v>687.01697199999944</v>
      </c>
      <c r="K8" s="40">
        <f>SUM(H8:J8)</f>
        <v>5994.728971999999</v>
      </c>
    </row>
    <row r="9" spans="1:12" s="8" customFormat="1" x14ac:dyDescent="0.25">
      <c r="A9" s="15" t="s">
        <v>28</v>
      </c>
      <c r="B9" s="66">
        <f>22000-6940</f>
        <v>15060</v>
      </c>
      <c r="C9" s="84">
        <f>27700-15060</f>
        <v>12640</v>
      </c>
      <c r="D9" s="24"/>
      <c r="E9" s="68">
        <v>0.95299999999999996</v>
      </c>
      <c r="F9" s="57">
        <f>+B9*E9</f>
        <v>14352.179999999998</v>
      </c>
      <c r="G9" s="57">
        <f>0.90419*F9</f>
        <v>12977.097634199999</v>
      </c>
      <c r="H9" s="63">
        <f>0.66*12000</f>
        <v>7920</v>
      </c>
      <c r="I9" s="49">
        <f>0.8*F9-H9</f>
        <v>3561.7439999999988</v>
      </c>
      <c r="J9" s="62">
        <f>+G9-H9-I9</f>
        <v>1495.3536342000007</v>
      </c>
      <c r="K9" s="50">
        <f>SUM(H9:J9)</f>
        <v>12977.097634199999</v>
      </c>
    </row>
    <row r="10" spans="1:12" s="8" customFormat="1" ht="13.8" thickBot="1" x14ac:dyDescent="0.3">
      <c r="A10" s="13" t="s">
        <v>1</v>
      </c>
      <c r="B10" s="65">
        <v>1950</v>
      </c>
      <c r="C10" s="85">
        <f>2600-1950</f>
        <v>650</v>
      </c>
      <c r="D10" s="14"/>
      <c r="E10" s="69">
        <v>0.93500000000000005</v>
      </c>
      <c r="F10" s="22">
        <f>+B10*E10</f>
        <v>1823.25</v>
      </c>
      <c r="G10" s="22">
        <f>0.9202*F10</f>
        <v>1677.7546500000001</v>
      </c>
      <c r="H10" s="60">
        <f>+G10</f>
        <v>1677.7546500000001</v>
      </c>
      <c r="I10" s="42">
        <v>0</v>
      </c>
      <c r="J10" s="43">
        <v>0</v>
      </c>
      <c r="K10" s="44">
        <f>SUM(H10:J10)</f>
        <v>1677.7546500000001</v>
      </c>
    </row>
    <row r="11" spans="1:12" s="8" customFormat="1" x14ac:dyDescent="0.25">
      <c r="A11" s="19" t="s">
        <v>18</v>
      </c>
      <c r="B11" s="76">
        <f>SUM(B8:B10)</f>
        <v>23950</v>
      </c>
      <c r="C11" s="6"/>
      <c r="D11" s="6"/>
      <c r="E11" s="6"/>
      <c r="F11" s="77"/>
      <c r="G11" s="77">
        <f>SUM(G8:G10)</f>
        <v>20649.581256199996</v>
      </c>
      <c r="H11" s="45"/>
      <c r="I11" s="46"/>
      <c r="J11" s="46"/>
      <c r="K11" s="47"/>
    </row>
    <row r="12" spans="1:12" s="8" customFormat="1" x14ac:dyDescent="0.25">
      <c r="A12" s="19"/>
      <c r="B12" s="61"/>
      <c r="C12" s="6"/>
      <c r="D12" s="6"/>
      <c r="E12" s="6"/>
      <c r="F12" s="18"/>
      <c r="G12" s="18"/>
      <c r="H12" s="45"/>
      <c r="I12" s="46"/>
      <c r="J12" s="46"/>
      <c r="K12" s="47"/>
    </row>
    <row r="13" spans="1:12" s="8" customFormat="1" ht="13.8" thickBot="1" x14ac:dyDescent="0.3">
      <c r="A13" s="1" t="s">
        <v>22</v>
      </c>
      <c r="B13" s="61"/>
      <c r="C13" s="6"/>
      <c r="D13" s="6"/>
      <c r="E13" s="6"/>
      <c r="F13" s="18"/>
      <c r="G13" s="58"/>
      <c r="H13" s="45"/>
      <c r="I13" s="46"/>
      <c r="J13" s="46"/>
      <c r="K13" s="47"/>
    </row>
    <row r="14" spans="1:12" s="8" customFormat="1" x14ac:dyDescent="0.25">
      <c r="A14" s="11" t="s">
        <v>37</v>
      </c>
      <c r="B14" s="12">
        <v>0</v>
      </c>
      <c r="C14" s="12"/>
      <c r="D14" s="12"/>
      <c r="E14" s="12"/>
      <c r="F14" s="64">
        <v>0</v>
      </c>
      <c r="G14" s="21">
        <v>0</v>
      </c>
      <c r="H14" s="59"/>
      <c r="I14" s="38">
        <v>0</v>
      </c>
      <c r="J14" s="38">
        <v>0</v>
      </c>
      <c r="K14" s="40">
        <f>SUM(H14:J14)</f>
        <v>0</v>
      </c>
    </row>
    <row r="15" spans="1:12" s="8" customFormat="1" ht="13.8" thickBot="1" x14ac:dyDescent="0.3">
      <c r="A15" s="13" t="s">
        <v>10</v>
      </c>
      <c r="B15" s="17"/>
      <c r="C15" s="14"/>
      <c r="D15" s="14"/>
      <c r="E15" s="14"/>
      <c r="F15" s="65">
        <v>0</v>
      </c>
      <c r="G15" s="22">
        <f>F15</f>
        <v>0</v>
      </c>
      <c r="H15" s="60"/>
      <c r="I15" s="42">
        <f>0.8*F15</f>
        <v>0</v>
      </c>
      <c r="J15" s="42">
        <f>+G15-I15</f>
        <v>0</v>
      </c>
      <c r="K15" s="44">
        <f>SUM(H15:J15)</f>
        <v>0</v>
      </c>
    </row>
    <row r="16" spans="1:12" s="8" customFormat="1" x14ac:dyDescent="0.25">
      <c r="A16" s="24"/>
      <c r="B16" s="16"/>
      <c r="C16" s="24"/>
      <c r="D16" s="24"/>
      <c r="E16" s="24"/>
      <c r="F16" s="24"/>
      <c r="G16" s="57"/>
      <c r="H16" s="48"/>
      <c r="I16" s="49"/>
      <c r="J16" s="49"/>
      <c r="K16" s="50"/>
    </row>
    <row r="17" spans="1:12" s="8" customFormat="1" ht="13.8" thickBot="1" x14ac:dyDescent="0.3">
      <c r="A17" s="16" t="s">
        <v>23</v>
      </c>
      <c r="B17" s="16"/>
      <c r="C17" s="24"/>
      <c r="D17" s="24"/>
      <c r="E17" s="24"/>
      <c r="F17" s="24"/>
      <c r="G17" s="57"/>
      <c r="H17" s="48"/>
      <c r="I17" s="49"/>
      <c r="J17" s="49"/>
      <c r="K17" s="50"/>
    </row>
    <row r="18" spans="1:12" s="8" customFormat="1" x14ac:dyDescent="0.25">
      <c r="A18" s="11" t="s">
        <v>29</v>
      </c>
      <c r="B18" s="64">
        <v>12500</v>
      </c>
      <c r="C18" s="83">
        <f>15400-12500</f>
        <v>2900</v>
      </c>
      <c r="D18" s="12"/>
      <c r="E18" s="67">
        <v>0.94699999999999995</v>
      </c>
      <c r="F18" s="21">
        <f>+B18*E18</f>
        <v>11837.5</v>
      </c>
      <c r="G18" s="71">
        <f>0.93087*F18</f>
        <v>11019.173624999999</v>
      </c>
      <c r="H18" s="37">
        <f>+F18*0.8</f>
        <v>9470</v>
      </c>
      <c r="I18" s="38">
        <f>MAX(0,0.8*F18-H18)</f>
        <v>0</v>
      </c>
      <c r="J18" s="38">
        <f>+G18-I18-H18</f>
        <v>1549.1736249999994</v>
      </c>
      <c r="K18" s="40">
        <f>SUM(H18:J18)</f>
        <v>11019.173624999999</v>
      </c>
    </row>
    <row r="19" spans="1:12" s="8" customFormat="1" ht="13.8" thickBot="1" x14ac:dyDescent="0.3">
      <c r="A19" s="13" t="s">
        <v>33</v>
      </c>
      <c r="B19" s="65"/>
      <c r="C19" s="14"/>
      <c r="D19" s="14"/>
      <c r="E19" s="69"/>
      <c r="F19" s="22">
        <f>+B19*E19</f>
        <v>0</v>
      </c>
      <c r="G19" s="23">
        <f>0.93087*F19</f>
        <v>0</v>
      </c>
      <c r="H19" s="41"/>
      <c r="I19" s="42">
        <f>+G19</f>
        <v>0</v>
      </c>
      <c r="J19" s="42"/>
      <c r="K19" s="44">
        <f>SUM(H19:J19)</f>
        <v>0</v>
      </c>
    </row>
    <row r="20" spans="1:12" s="8" customFormat="1" x14ac:dyDescent="0.25">
      <c r="A20" s="75" t="s">
        <v>32</v>
      </c>
      <c r="B20" s="16">
        <f>SUM(B18:B19)</f>
        <v>12500</v>
      </c>
      <c r="C20" s="24"/>
      <c r="D20" s="24"/>
      <c r="E20" s="24"/>
      <c r="F20" s="78"/>
      <c r="G20" s="57"/>
      <c r="H20" s="48"/>
      <c r="I20" s="49"/>
      <c r="J20" s="49"/>
      <c r="K20" s="50"/>
    </row>
    <row r="21" spans="1:12" s="8" customFormat="1" x14ac:dyDescent="0.25">
      <c r="A21" s="24"/>
      <c r="B21" s="16"/>
      <c r="C21" s="24"/>
      <c r="D21" s="24"/>
      <c r="E21" s="24"/>
      <c r="F21" s="24"/>
      <c r="G21" s="57"/>
      <c r="H21" s="48"/>
      <c r="I21" s="49"/>
      <c r="J21" s="49"/>
      <c r="K21" s="50"/>
    </row>
    <row r="22" spans="1:12" s="8" customFormat="1" x14ac:dyDescent="0.25">
      <c r="A22" s="18"/>
      <c r="B22" s="61"/>
      <c r="C22" s="18"/>
      <c r="D22" s="18"/>
      <c r="E22" s="18"/>
      <c r="F22" s="18"/>
      <c r="G22" s="18"/>
      <c r="H22" s="45"/>
      <c r="I22" s="46"/>
      <c r="J22" s="46"/>
      <c r="K22" s="47"/>
    </row>
    <row r="23" spans="1:12" s="8" customFormat="1" ht="13.8" thickBot="1" x14ac:dyDescent="0.3">
      <c r="A23" s="16" t="s">
        <v>25</v>
      </c>
      <c r="B23" s="61"/>
      <c r="C23" s="18"/>
      <c r="D23" s="18"/>
      <c r="E23" s="18"/>
      <c r="F23" s="18"/>
      <c r="G23" s="18"/>
      <c r="H23" s="45"/>
      <c r="I23" s="46"/>
      <c r="J23" s="46"/>
      <c r="K23" s="47"/>
    </row>
    <row r="24" spans="1:12" s="8" customFormat="1" x14ac:dyDescent="0.25">
      <c r="A24" s="11" t="s">
        <v>9</v>
      </c>
      <c r="B24" s="64">
        <v>800</v>
      </c>
      <c r="C24" s="20"/>
      <c r="D24" s="20"/>
      <c r="E24" s="67">
        <v>0.94499999999999995</v>
      </c>
      <c r="F24" s="21">
        <f>+B24*E24</f>
        <v>756</v>
      </c>
      <c r="G24" s="72">
        <f>0.997*F24</f>
        <v>753.73199999999997</v>
      </c>
      <c r="H24" s="38"/>
      <c r="I24" s="38">
        <f>0.5*F24</f>
        <v>378</v>
      </c>
      <c r="J24" s="38">
        <f>+G24-I24</f>
        <v>375.73199999999997</v>
      </c>
      <c r="K24" s="40">
        <f>SUM(H24:J24)</f>
        <v>753.73199999999997</v>
      </c>
    </row>
    <row r="25" spans="1:12" s="8" customFormat="1" x14ac:dyDescent="0.25">
      <c r="A25" s="15" t="s">
        <v>30</v>
      </c>
      <c r="B25" s="66">
        <v>0</v>
      </c>
      <c r="C25" s="10">
        <v>1060</v>
      </c>
      <c r="D25" s="10"/>
      <c r="E25" s="68">
        <v>0.95199999999999996</v>
      </c>
      <c r="F25" s="57">
        <f>+B25*E25</f>
        <v>0</v>
      </c>
      <c r="G25" s="74">
        <f>0.89775*F25</f>
        <v>0</v>
      </c>
      <c r="H25" s="49"/>
      <c r="I25" s="49"/>
      <c r="J25" s="49">
        <f>+G25</f>
        <v>0</v>
      </c>
      <c r="K25" s="50">
        <f>SUM(H25:J25)</f>
        <v>0</v>
      </c>
    </row>
    <row r="26" spans="1:12" s="8" customFormat="1" x14ac:dyDescent="0.25">
      <c r="A26" s="15" t="s">
        <v>29</v>
      </c>
      <c r="B26" s="66">
        <v>0</v>
      </c>
      <c r="C26" s="84">
        <v>0</v>
      </c>
      <c r="D26" s="16"/>
      <c r="E26" s="68">
        <v>0.94099999999999995</v>
      </c>
      <c r="F26" s="57">
        <f>+B26*E26</f>
        <v>0</v>
      </c>
      <c r="G26" s="74">
        <f>0.93087*F26</f>
        <v>0</v>
      </c>
      <c r="H26" s="49">
        <f>F26/($F$18+$F$26)*10000</f>
        <v>0</v>
      </c>
      <c r="I26" s="49">
        <f>MAX(0,0.8*F26-H26)</f>
        <v>0</v>
      </c>
      <c r="J26" s="49">
        <f>+G26-I26-H26</f>
        <v>0</v>
      </c>
      <c r="K26" s="50">
        <f>SUM(H26:J26)</f>
        <v>0</v>
      </c>
    </row>
    <row r="27" spans="1:12" s="8" customFormat="1" x14ac:dyDescent="0.25">
      <c r="A27" s="15" t="s">
        <v>21</v>
      </c>
      <c r="B27" s="66">
        <v>1000</v>
      </c>
      <c r="C27" s="84">
        <v>50</v>
      </c>
      <c r="D27" s="16"/>
      <c r="E27" s="68">
        <v>0.97099999999999997</v>
      </c>
      <c r="F27" s="57">
        <f>+B27*E27</f>
        <v>971</v>
      </c>
      <c r="G27" s="74">
        <f>0.90596*F27</f>
        <v>879.68715999999995</v>
      </c>
      <c r="H27" s="49">
        <v>0</v>
      </c>
      <c r="I27" s="49">
        <f>0.8*F27</f>
        <v>776.80000000000007</v>
      </c>
      <c r="J27" s="49">
        <f>+G27-I27-H27</f>
        <v>102.88715999999988</v>
      </c>
      <c r="K27" s="50">
        <f>SUM(H27:J27)</f>
        <v>879.68715999999995</v>
      </c>
    </row>
    <row r="28" spans="1:12" s="8" customFormat="1" ht="13.8" thickBot="1" x14ac:dyDescent="0.3">
      <c r="A28" s="13" t="s">
        <v>2</v>
      </c>
      <c r="B28" s="65">
        <v>14275</v>
      </c>
      <c r="C28" s="82" t="s">
        <v>35</v>
      </c>
      <c r="D28" s="17"/>
      <c r="E28" s="69">
        <v>0.93899999999999995</v>
      </c>
      <c r="F28" s="22">
        <f>+B28*E28</f>
        <v>13404.224999999999</v>
      </c>
      <c r="G28" s="73">
        <f>0.95543*F28</f>
        <v>12806.798691749998</v>
      </c>
      <c r="H28" s="49">
        <v>10000</v>
      </c>
      <c r="I28" s="49">
        <f>0.8*F28-H28</f>
        <v>723.3799999999992</v>
      </c>
      <c r="J28" s="49">
        <f>+G28-H28-I28</f>
        <v>2083.4186917499992</v>
      </c>
      <c r="K28" s="50">
        <f>SUM(H28:J28)</f>
        <v>12806.798691749998</v>
      </c>
      <c r="L28" s="6"/>
    </row>
    <row r="29" spans="1:12" ht="13.8" thickBot="1" x14ac:dyDescent="0.3">
      <c r="A29" s="7" t="s">
        <v>26</v>
      </c>
      <c r="B29">
        <f>SUM(B24:B28)</f>
        <v>16075</v>
      </c>
      <c r="G29" s="5">
        <f>SUM(G24:G28)</f>
        <v>14440.217851749998</v>
      </c>
      <c r="H29" s="51"/>
      <c r="I29" s="52"/>
      <c r="J29" s="52"/>
      <c r="K29" s="33"/>
    </row>
    <row r="30" spans="1:12" ht="18" thickBot="1" x14ac:dyDescent="0.35">
      <c r="A30" s="1" t="s">
        <v>31</v>
      </c>
      <c r="B30" s="6">
        <f>+B29+B20+B11</f>
        <v>52525</v>
      </c>
      <c r="C30" s="6"/>
      <c r="D30" s="6"/>
      <c r="E30" s="6"/>
      <c r="F30" s="56">
        <f>SUM(F8:F29)</f>
        <v>49778.794999999998</v>
      </c>
      <c r="G30" s="25">
        <f>SUM(G8:G29)-G29-G11</f>
        <v>46108.972732950002</v>
      </c>
      <c r="H30" s="53">
        <f>SUM(H8:H29)</f>
        <v>33147.754650000003</v>
      </c>
      <c r="I30" s="54">
        <f>SUM(I8:I29)</f>
        <v>6667.6359999999977</v>
      </c>
      <c r="J30" s="54">
        <f>SUM(J8:J29)</f>
        <v>6293.5820829499989</v>
      </c>
      <c r="K30" s="55">
        <f>SUM(K8:K28)</f>
        <v>46108.972732949987</v>
      </c>
      <c r="L30" s="5"/>
    </row>
    <row r="31" spans="1:12" x14ac:dyDescent="0.25">
      <c r="A31" s="7"/>
    </row>
    <row r="32" spans="1:12" x14ac:dyDescent="0.25">
      <c r="A32" s="10"/>
      <c r="B32" s="10"/>
      <c r="C32" s="10"/>
      <c r="D32" s="10"/>
      <c r="E32" s="10"/>
      <c r="F32" s="10"/>
      <c r="G32" s="10"/>
      <c r="H32" s="10"/>
      <c r="J32" t="s">
        <v>50</v>
      </c>
      <c r="K32">
        <v>49053</v>
      </c>
    </row>
    <row r="33" spans="1:12" x14ac:dyDescent="0.25">
      <c r="A33" s="16"/>
      <c r="B33" s="10"/>
      <c r="C33" s="10"/>
      <c r="D33" s="10"/>
      <c r="E33" s="10"/>
      <c r="F33" s="79"/>
      <c r="G33" s="10"/>
      <c r="H33" s="10"/>
      <c r="J33" t="s">
        <v>44</v>
      </c>
      <c r="K33" s="5">
        <f>+K30-K32</f>
        <v>-2944.0272670500126</v>
      </c>
    </row>
    <row r="34" spans="1:12" x14ac:dyDescent="0.25">
      <c r="A34" s="24"/>
      <c r="B34" s="66"/>
      <c r="C34" s="16" t="s">
        <v>42</v>
      </c>
      <c r="D34" s="16" t="s">
        <v>40</v>
      </c>
      <c r="E34" s="68"/>
      <c r="F34" s="96" t="s">
        <v>14</v>
      </c>
      <c r="G34" s="80"/>
      <c r="H34" s="10"/>
    </row>
    <row r="35" spans="1:12" ht="13.8" thickBot="1" x14ac:dyDescent="0.3">
      <c r="A35" s="16" t="s">
        <v>36</v>
      </c>
      <c r="B35" s="66"/>
      <c r="C35" s="16" t="s">
        <v>43</v>
      </c>
      <c r="D35" s="16" t="s">
        <v>41</v>
      </c>
      <c r="E35" s="68"/>
      <c r="F35" s="96" t="s">
        <v>43</v>
      </c>
      <c r="G35" s="80"/>
      <c r="H35" s="81"/>
      <c r="I35" s="5"/>
    </row>
    <row r="36" spans="1:12" x14ac:dyDescent="0.25">
      <c r="A36" s="100" t="s">
        <v>54</v>
      </c>
      <c r="B36" s="101"/>
      <c r="C36" s="115">
        <v>1153</v>
      </c>
      <c r="D36" s="20">
        <v>996</v>
      </c>
      <c r="E36" s="67">
        <v>0.95599999999999996</v>
      </c>
      <c r="F36" s="112">
        <f t="shared" ref="F36:F42" si="0">+C36*E36</f>
        <v>1102.268</v>
      </c>
      <c r="G36" s="93">
        <f>0.90355*F36</f>
        <v>995.95425139999998</v>
      </c>
      <c r="H36" s="87"/>
      <c r="I36" s="87"/>
      <c r="J36" s="87">
        <v>996</v>
      </c>
      <c r="K36" s="88">
        <f t="shared" ref="K36:K43" si="1">SUM(H36:J36)</f>
        <v>996</v>
      </c>
    </row>
    <row r="37" spans="1:12" x14ac:dyDescent="0.25">
      <c r="A37" s="102" t="s">
        <v>57</v>
      </c>
      <c r="B37" s="103"/>
      <c r="C37" s="116">
        <v>6107</v>
      </c>
      <c r="D37" s="16">
        <v>5275</v>
      </c>
      <c r="E37" s="68">
        <v>0.95599999999999996</v>
      </c>
      <c r="F37" s="113">
        <f t="shared" si="0"/>
        <v>5838.2919999999995</v>
      </c>
      <c r="G37" s="74">
        <f>0.90355*F37</f>
        <v>5275.1887365999992</v>
      </c>
      <c r="H37" s="89"/>
      <c r="I37" s="89">
        <v>5275</v>
      </c>
      <c r="J37" s="89"/>
      <c r="K37" s="90">
        <f t="shared" si="1"/>
        <v>5275</v>
      </c>
    </row>
    <row r="38" spans="1:12" x14ac:dyDescent="0.25">
      <c r="A38" s="102" t="s">
        <v>57</v>
      </c>
      <c r="B38" s="103"/>
      <c r="C38" s="116">
        <v>4260</v>
      </c>
      <c r="D38" s="16">
        <v>3668</v>
      </c>
      <c r="E38" s="68">
        <v>0.95299999999999996</v>
      </c>
      <c r="F38" s="113">
        <f>+C38*E38</f>
        <v>4059.7799999999997</v>
      </c>
      <c r="G38" s="74">
        <f>0.90355*F38</f>
        <v>3668.2142189999995</v>
      </c>
      <c r="H38" s="89"/>
      <c r="I38" s="89">
        <v>3668</v>
      </c>
      <c r="J38" s="89"/>
      <c r="K38" s="90">
        <f>SUM(H38:J38)</f>
        <v>3668</v>
      </c>
    </row>
    <row r="39" spans="1:12" x14ac:dyDescent="0.25">
      <c r="A39" s="102" t="s">
        <v>58</v>
      </c>
      <c r="B39" s="103"/>
      <c r="C39" s="117">
        <v>8380</v>
      </c>
      <c r="D39" s="16">
        <v>7221</v>
      </c>
      <c r="E39" s="68">
        <v>0.95299999999999996</v>
      </c>
      <c r="F39" s="113">
        <f t="shared" si="0"/>
        <v>7986.1399999999994</v>
      </c>
      <c r="G39" s="74">
        <f>0.90419*F39</f>
        <v>7220.9879265999998</v>
      </c>
      <c r="H39" s="89"/>
      <c r="I39" s="89"/>
      <c r="J39" s="89">
        <v>7221</v>
      </c>
      <c r="K39" s="90">
        <f t="shared" si="1"/>
        <v>7221</v>
      </c>
    </row>
    <row r="40" spans="1:12" x14ac:dyDescent="0.25">
      <c r="A40" s="104" t="s">
        <v>59</v>
      </c>
      <c r="B40" s="103"/>
      <c r="C40" s="118">
        <v>605</v>
      </c>
      <c r="D40" s="16">
        <v>540</v>
      </c>
      <c r="E40" s="10">
        <v>0.96599999999999997</v>
      </c>
      <c r="F40" s="113">
        <f t="shared" si="0"/>
        <v>584.42999999999995</v>
      </c>
      <c r="G40" s="74">
        <f>0.9238*F40</f>
        <v>539.89643399999989</v>
      </c>
      <c r="H40" s="89"/>
      <c r="I40" s="89"/>
      <c r="J40" s="89">
        <v>540</v>
      </c>
      <c r="K40" s="90">
        <f t="shared" si="1"/>
        <v>540</v>
      </c>
    </row>
    <row r="41" spans="1:12" x14ac:dyDescent="0.25">
      <c r="A41" s="104" t="s">
        <v>60</v>
      </c>
      <c r="B41" s="103"/>
      <c r="C41" s="118">
        <v>1060</v>
      </c>
      <c r="D41" s="97">
        <v>906</v>
      </c>
      <c r="E41" s="10">
        <v>0.95199999999999996</v>
      </c>
      <c r="F41" s="113">
        <f t="shared" si="0"/>
        <v>1009.12</v>
      </c>
      <c r="G41" s="74">
        <f>0.89775*F41</f>
        <v>905.93748000000005</v>
      </c>
      <c r="H41" s="89"/>
      <c r="I41" s="89"/>
      <c r="J41" s="89">
        <v>906</v>
      </c>
      <c r="K41" s="90">
        <f t="shared" si="1"/>
        <v>906</v>
      </c>
    </row>
    <row r="42" spans="1:12" x14ac:dyDescent="0.25">
      <c r="A42" s="102" t="s">
        <v>61</v>
      </c>
      <c r="B42" s="105"/>
      <c r="C42" s="118">
        <v>50</v>
      </c>
      <c r="D42" s="97">
        <v>44</v>
      </c>
      <c r="E42" s="10">
        <v>0.97099999999999997</v>
      </c>
      <c r="F42" s="113">
        <f t="shared" si="0"/>
        <v>48.55</v>
      </c>
      <c r="G42" s="74">
        <f>0.8975*F42</f>
        <v>43.573624999999993</v>
      </c>
      <c r="H42" s="89"/>
      <c r="I42" s="89"/>
      <c r="J42" s="89">
        <v>44</v>
      </c>
      <c r="K42" s="90">
        <f t="shared" si="1"/>
        <v>44</v>
      </c>
    </row>
    <row r="43" spans="1:12" ht="13.8" thickBot="1" x14ac:dyDescent="0.3">
      <c r="A43" s="106" t="s">
        <v>53</v>
      </c>
      <c r="B43" s="107"/>
      <c r="C43" s="119">
        <v>650</v>
      </c>
      <c r="D43" s="17">
        <v>542</v>
      </c>
      <c r="E43" s="86">
        <v>0.93500000000000005</v>
      </c>
      <c r="F43" s="114">
        <f>+C43*E43</f>
        <v>607.75</v>
      </c>
      <c r="G43" s="94">
        <f>0.8917*F43</f>
        <v>541.93067500000006</v>
      </c>
      <c r="H43" s="91"/>
      <c r="I43" s="91"/>
      <c r="J43" s="91">
        <v>542</v>
      </c>
      <c r="K43" s="92">
        <f t="shared" si="1"/>
        <v>542</v>
      </c>
    </row>
    <row r="44" spans="1:12" ht="13.8" thickBot="1" x14ac:dyDescent="0.3">
      <c r="A44" s="10"/>
      <c r="B44" s="10"/>
      <c r="C44" s="10"/>
      <c r="D44" s="10"/>
      <c r="E44" s="10"/>
      <c r="F44" s="10"/>
      <c r="G44" s="79">
        <f>SUM(G36:G43)</f>
        <v>19191.683347599999</v>
      </c>
      <c r="H44" s="10"/>
      <c r="I44">
        <f>SUM(I36:I43)</f>
        <v>8943</v>
      </c>
      <c r="J44">
        <f>SUM(J36:J43)</f>
        <v>10249</v>
      </c>
      <c r="K44" s="90">
        <f>SUM(K36:K43)</f>
        <v>19192</v>
      </c>
      <c r="L44" s="108"/>
    </row>
    <row r="45" spans="1:12" ht="13.8" thickBot="1" x14ac:dyDescent="0.3">
      <c r="A45" s="16"/>
      <c r="B45" s="10"/>
      <c r="C45" s="98">
        <f>SUM(C37:C44)</f>
        <v>21112</v>
      </c>
      <c r="D45" s="99">
        <f>SUM(D36:D44)</f>
        <v>19192</v>
      </c>
      <c r="E45" s="10"/>
      <c r="F45" s="10"/>
      <c r="G45" s="10"/>
      <c r="H45" s="10"/>
    </row>
    <row r="46" spans="1:12" x14ac:dyDescent="0.25">
      <c r="G46" s="95"/>
      <c r="K46" s="1" t="s">
        <v>48</v>
      </c>
    </row>
    <row r="47" spans="1:12" x14ac:dyDescent="0.25">
      <c r="K47">
        <v>5000</v>
      </c>
      <c r="L47" t="s">
        <v>49</v>
      </c>
    </row>
    <row r="48" spans="1:12" x14ac:dyDescent="0.25">
      <c r="G48" s="108"/>
      <c r="J48" t="s">
        <v>51</v>
      </c>
      <c r="K48" s="111">
        <f>+K30+K44+K47</f>
        <v>70300.972732949987</v>
      </c>
    </row>
    <row r="49" spans="7:12" x14ac:dyDescent="0.25">
      <c r="G49" s="108"/>
      <c r="K49" s="110"/>
    </row>
    <row r="50" spans="7:12" x14ac:dyDescent="0.25">
      <c r="K50" s="1" t="s">
        <v>38</v>
      </c>
    </row>
    <row r="51" spans="7:12" x14ac:dyDescent="0.25">
      <c r="K51" s="95">
        <v>49053</v>
      </c>
      <c r="L51" t="s">
        <v>34</v>
      </c>
    </row>
    <row r="52" spans="7:12" x14ac:dyDescent="0.25">
      <c r="K52" s="95">
        <v>977</v>
      </c>
      <c r="L52" t="s">
        <v>45</v>
      </c>
    </row>
    <row r="53" spans="7:12" x14ac:dyDescent="0.25">
      <c r="K53" s="95">
        <v>600</v>
      </c>
      <c r="L53" t="s">
        <v>47</v>
      </c>
    </row>
    <row r="54" spans="7:12" x14ac:dyDescent="0.25">
      <c r="K54" s="95">
        <v>5000</v>
      </c>
      <c r="L54" t="s">
        <v>55</v>
      </c>
    </row>
    <row r="55" spans="7:12" x14ac:dyDescent="0.25">
      <c r="K55" s="95">
        <v>4700</v>
      </c>
      <c r="L55" t="s">
        <v>56</v>
      </c>
    </row>
    <row r="56" spans="7:12" x14ac:dyDescent="0.25">
      <c r="K56" s="109"/>
    </row>
    <row r="57" spans="7:12" x14ac:dyDescent="0.25">
      <c r="J57" t="s">
        <v>52</v>
      </c>
      <c r="K57" s="111">
        <f>SUM(K51:K56)</f>
        <v>60330</v>
      </c>
    </row>
    <row r="58" spans="7:12" x14ac:dyDescent="0.25">
      <c r="K58" s="10"/>
    </row>
    <row r="60" spans="7:12" x14ac:dyDescent="0.25">
      <c r="K60" s="95">
        <f>+K48-K57</f>
        <v>9970.9727329499874</v>
      </c>
      <c r="L60" t="s">
        <v>44</v>
      </c>
    </row>
  </sheetData>
  <phoneticPr fontId="0" type="noConversion"/>
  <pageMargins left="0.81" right="0.66" top="0.56000000000000005" bottom="0.6" header="0.5" footer="0.5"/>
  <pageSetup scale="6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Sitter</dc:creator>
  <cp:lastModifiedBy>Havlíček Jan</cp:lastModifiedBy>
  <cp:lastPrinted>2001-08-30T18:32:19Z</cp:lastPrinted>
  <dcterms:created xsi:type="dcterms:W3CDTF">2000-01-25T16:35:05Z</dcterms:created>
  <dcterms:modified xsi:type="dcterms:W3CDTF">2023-09-10T15:33:12Z</dcterms:modified>
</cp:coreProperties>
</file>