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4" i="2"/>
  <c r="X84" i="2"/>
  <c r="AB8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<sst xmlns="http://schemas.openxmlformats.org/spreadsheetml/2006/main" count="183" uniqueCount="119">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</sst>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3803.76</val>
          </value>
        </values>
      </ddeItem>
      <ddeItem name=".SPX" advise="1">
        <values>
          <value>
            <val>1448.72</val>
          </value>
        </values>
      </ddeItem>
      <ddeItem name="AES" advise="1">
        <values>
          <value>
            <val>65.125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56.25</val>
          </value>
        </values>
      </ddeItem>
      <ddeItem name="ARBA.O" advise="1">
        <values>
          <value>
            <val>168.75</val>
          </value>
        </values>
      </ddeItem>
      <ddeItem name="CG">
        <values>
          <value>
            <val>70.625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69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75.75</val>
          </value>
        </values>
      </ddeItem>
      <ddeItem name="D" advise="1">
        <values>
          <value>
            <val>55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75.875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52.4375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83</val>
          </value>
        </values>
      </ddeItem>
      <ddeItem name="EPG">
        <values>
          <value>
            <val>58.25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28.25</val>
          </value>
        </values>
      </ddeItem>
      <ddeItem name="INAP.O" advise="1">
        <values>
          <value>
            <val>28.5625</val>
          </value>
        </values>
      </ddeItem>
      <ddeItem name="ISLD.O" advise="1">
        <values>
          <value>
            <val>23.875</val>
          </value>
        </values>
      </ddeItem>
      <ddeItem name="ITWO.O" advise="1">
        <values>
          <value>
            <val>186.1875</val>
          </value>
        </values>
      </ddeItem>
      <ddeItem name="KMI" advise="1">
        <values>
          <value>
            <val>39.5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72.875</val>
          </value>
        </values>
      </ddeItem>
      <ddeItem name="PCG">
        <values>
          <value>
            <val>26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48.125</val>
          </value>
        </values>
      </ddeItem>
      <ddeItem name="TRP">
        <values>
          <value>
            <val>9.25</val>
          </value>
        </values>
      </ddeItem>
      <ddeItem name="WCG" advise="1">
        <values>
          <value>
            <val>19.25</val>
          </value>
        </values>
      </ddeItem>
      <ddeItem name="WMB">
        <values>
          <value>
            <val>39.98046875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6" sqref="B6"/>
    </sheetView>
  </sheetViews>
  <sheetFormatPr defaultColWidth="8.90625" defaultRowHeight="15.6" x14ac:dyDescent="0.3"/>
  <cols>
    <col min="1" max="1" width="23.6328125" style="238" bestFit="1" customWidth="1"/>
    <col min="2" max="2" width="8.90625" style="239"/>
    <col min="3" max="3" width="2" style="238" customWidth="1"/>
    <col min="4" max="4" width="7.81640625" style="238" customWidth="1"/>
    <col min="5" max="5" width="1.08984375" style="238" customWidth="1"/>
    <col min="6" max="6" width="7.90625" style="238" customWidth="1"/>
    <col min="7" max="7" width="1.1796875" style="238" customWidth="1"/>
    <col min="8" max="8" width="7.1796875" style="238" customWidth="1"/>
    <col min="9" max="9" width="0.81640625" style="238" customWidth="1"/>
    <col min="10" max="16384" width="8.90625" style="238"/>
  </cols>
  <sheetData>
    <row r="1" spans="1:10" ht="18.75" customHeight="1" x14ac:dyDescent="0.3">
      <c r="A1" s="238" t="s">
        <v>82</v>
      </c>
    </row>
    <row r="2" spans="1:10" ht="18" customHeight="1" x14ac:dyDescent="0.3">
      <c r="A2" s="317" t="s">
        <v>21</v>
      </c>
    </row>
    <row r="3" spans="1:10" ht="16.2" thickBot="1" x14ac:dyDescent="0.35"/>
    <row r="4" spans="1:10" ht="16.2" thickBot="1" x14ac:dyDescent="0.35">
      <c r="B4" s="240">
        <v>2000</v>
      </c>
      <c r="D4" s="327" t="s">
        <v>83</v>
      </c>
      <c r="E4" s="328"/>
      <c r="F4" s="328"/>
      <c r="G4" s="328"/>
      <c r="H4" s="329"/>
    </row>
    <row r="5" spans="1:10" ht="31.8" thickBot="1" x14ac:dyDescent="0.35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3">
      <c r="A6" s="238" t="s">
        <v>84</v>
      </c>
      <c r="B6" s="247">
        <f>ENRON!Z7</f>
        <v>58.821335322640827</v>
      </c>
      <c r="D6" s="254">
        <f>ENRON!AH7</f>
        <v>-7.1977638015373865E-2</v>
      </c>
      <c r="E6" s="248"/>
      <c r="F6" s="249">
        <f>ENRON!AJ7</f>
        <v>0.2868217054263566</v>
      </c>
      <c r="G6" s="248"/>
      <c r="H6" s="250">
        <f>ENRON!AL7</f>
        <v>0.87605633802816907</v>
      </c>
    </row>
    <row r="7" spans="1:10" x14ac:dyDescent="0.3">
      <c r="A7" s="238" t="s">
        <v>85</v>
      </c>
      <c r="B7" s="251">
        <f>ENRON!Z9</f>
        <v>25.003797031411807</v>
      </c>
      <c r="D7" s="255">
        <f>ENRON!AH9</f>
        <v>-1.1581309992427317E-2</v>
      </c>
      <c r="E7" s="252"/>
      <c r="F7" s="256">
        <f>ENRON!AJ9</f>
        <v>-1.4801319950500432E-3</v>
      </c>
      <c r="G7" s="252"/>
      <c r="H7" s="257">
        <f>ENRON!AL9</f>
        <v>-5.8600928358492708E-3</v>
      </c>
    </row>
    <row r="8" spans="1:10" x14ac:dyDescent="0.3">
      <c r="A8" s="238" t="s">
        <v>89</v>
      </c>
      <c r="B8" s="251" t="str">
        <f>ENRON!Z10</f>
        <v xml:space="preserve">N/A </v>
      </c>
      <c r="D8" s="255">
        <f>ENRON!AH10</f>
        <v>-8.182560107216413E-3</v>
      </c>
      <c r="E8" s="252"/>
      <c r="F8" s="256">
        <f>ENRON!AJ10</f>
        <v>-4.056493642385102E-2</v>
      </c>
      <c r="G8" s="252"/>
      <c r="H8" s="257">
        <f>ENRON!AL10</f>
        <v>-6.4112097628344814E-2</v>
      </c>
    </row>
    <row r="9" spans="1:10" x14ac:dyDescent="0.3">
      <c r="A9" s="238" t="s">
        <v>109</v>
      </c>
      <c r="B9" s="251">
        <f>ENRON!Z25</f>
        <v>24.82612202060092</v>
      </c>
      <c r="C9" s="307"/>
      <c r="D9" s="255">
        <f>ENRON!AH25</f>
        <v>-6.6278243128105305E-2</v>
      </c>
      <c r="E9" s="252"/>
      <c r="F9" s="256">
        <f>ENRON!AJ25</f>
        <v>0.21523651964268922</v>
      </c>
      <c r="G9" s="308"/>
      <c r="H9" s="257">
        <f>ENRON!AL25</f>
        <v>0.63856897962867842</v>
      </c>
      <c r="I9" s="307"/>
      <c r="J9" s="307"/>
    </row>
    <row r="10" spans="1:10" ht="16.2" thickBot="1" x14ac:dyDescent="0.35">
      <c r="A10" s="238" t="s">
        <v>110</v>
      </c>
      <c r="B10" s="315" t="s">
        <v>88</v>
      </c>
      <c r="D10" s="316">
        <f>ENRON!AH42</f>
        <v>-1.0201670847792969E-2</v>
      </c>
      <c r="E10" s="311"/>
      <c r="F10" s="312">
        <f>ENRON!AJ42</f>
        <v>2.8067716502365024E-2</v>
      </c>
      <c r="G10" s="313"/>
      <c r="H10" s="314">
        <f>ENRON!AL42</f>
        <v>-0.14242766182931049</v>
      </c>
    </row>
    <row r="11" spans="1:10" x14ac:dyDescent="0.3">
      <c r="D11" s="309"/>
    </row>
    <row r="12" spans="1:10" x14ac:dyDescent="0.3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D1" activePane="topRight" state="frozen"/>
      <selection pane="topRight" activeCell="A2" sqref="A2"/>
    </sheetView>
  </sheetViews>
  <sheetFormatPr defaultColWidth="9.81640625" defaultRowHeight="15" x14ac:dyDescent="0.25"/>
  <cols>
    <col min="1" max="1" width="17.45312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90625" style="1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2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7.399999999999999" x14ac:dyDescent="0.3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36791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3">
        <v>2000</v>
      </c>
      <c r="Y4" s="334"/>
      <c r="Z4" s="335"/>
      <c r="AA4" s="184"/>
      <c r="AB4" s="333">
        <v>2001</v>
      </c>
      <c r="AC4" s="334"/>
      <c r="AD4" s="33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5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6" thickBot="1" x14ac:dyDescent="0.3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112</v>
      </c>
    </row>
    <row r="7" spans="1:50" ht="15.6" thickBot="1" x14ac:dyDescent="0.3">
      <c r="A7" s="99" t="s">
        <v>52</v>
      </c>
      <c r="B7" s="100"/>
      <c r="C7" s="101" t="s">
        <v>0</v>
      </c>
      <c r="D7" s="100"/>
      <c r="E7" s="102">
        <f>[1]!ENE</f>
        <v>83</v>
      </c>
      <c r="F7" s="100"/>
      <c r="G7" s="103">
        <v>2.16</v>
      </c>
      <c r="H7" s="104" t="s">
        <v>53</v>
      </c>
      <c r="I7" s="105">
        <f>E7/G7</f>
        <v>38.425925925925924</v>
      </c>
      <c r="J7" s="100"/>
      <c r="K7" s="103">
        <v>2.14</v>
      </c>
      <c r="L7" s="106" t="s">
        <v>54</v>
      </c>
      <c r="M7" s="105">
        <f>E7/K7</f>
        <v>38.785046728971963</v>
      </c>
      <c r="N7" s="100"/>
      <c r="O7" s="103">
        <v>2.16</v>
      </c>
      <c r="P7" s="104" t="s">
        <v>53</v>
      </c>
      <c r="Q7" s="105">
        <f>M7/O7</f>
        <v>17.956040152301835</v>
      </c>
      <c r="R7" s="100"/>
      <c r="S7" s="107">
        <f>+S84</f>
        <v>1.9945454545454544</v>
      </c>
      <c r="T7" s="105">
        <f>E7/S7</f>
        <v>41.613491340018236</v>
      </c>
      <c r="U7" s="108"/>
      <c r="V7" s="109">
        <f>(S7-K7)/K7</f>
        <v>-6.7969413763806413E-2</v>
      </c>
      <c r="W7" s="110"/>
      <c r="X7" s="258">
        <f>+X84</f>
        <v>1.4110526315789469</v>
      </c>
      <c r="Y7" s="234"/>
      <c r="Z7" s="105">
        <f>E7/X7</f>
        <v>58.821335322640827</v>
      </c>
      <c r="AA7" s="108"/>
      <c r="AB7" s="258">
        <f>+AB84</f>
        <v>1.6405263157894736</v>
      </c>
      <c r="AC7" s="218"/>
      <c r="AD7" s="105">
        <f>E7/AB7</f>
        <v>50.593519409688803</v>
      </c>
      <c r="AE7" s="108"/>
      <c r="AF7" s="109">
        <f>(X7-S7)/S7</f>
        <v>-0.29254425946360907</v>
      </c>
      <c r="AG7" s="110"/>
      <c r="AH7" s="111">
        <f>((+AS7+E7-AT7)/AT7)</f>
        <v>-7.1977638015373865E-2</v>
      </c>
      <c r="AI7" s="110"/>
      <c r="AJ7" s="110">
        <f>((+AU7+E7-AV7)/AV7)</f>
        <v>0.2868217054263566</v>
      </c>
      <c r="AK7" s="110"/>
      <c r="AL7" s="112">
        <f>((+AW7+E7-AX7)/AX7)</f>
        <v>0.87605633802816907</v>
      </c>
      <c r="AM7" s="50"/>
      <c r="AN7" s="198">
        <f>AP7/E7</f>
        <v>6.024096385542169E-3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89.4375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5">
      <c r="A9" s="122" t="s">
        <v>55</v>
      </c>
      <c r="B9" s="66"/>
      <c r="C9" s="114" t="s">
        <v>68</v>
      </c>
      <c r="D9" s="66"/>
      <c r="E9" s="326">
        <f>[1]!'.SPX'</f>
        <v>1448.72</v>
      </c>
      <c r="F9" s="124"/>
      <c r="G9" s="125">
        <v>40.53</v>
      </c>
      <c r="H9" s="117"/>
      <c r="I9" s="126">
        <f>E9/G9</f>
        <v>35.744386873920554</v>
      </c>
      <c r="J9" s="67"/>
      <c r="K9" s="125">
        <v>42.08</v>
      </c>
      <c r="L9" s="67"/>
      <c r="M9" s="126">
        <f>E9/K9</f>
        <v>34.427756653992397</v>
      </c>
      <c r="N9" s="124"/>
      <c r="O9" s="125">
        <v>40.53</v>
      </c>
      <c r="P9" s="117"/>
      <c r="Q9" s="126">
        <f>M9/O9</f>
        <v>0.84943885156655308</v>
      </c>
      <c r="R9" s="67"/>
      <c r="S9" s="127">
        <v>40.18</v>
      </c>
      <c r="T9" s="126">
        <f>E9/S9</f>
        <v>36.055749128919864</v>
      </c>
      <c r="U9" s="128"/>
      <c r="V9" s="129">
        <f>(S9-K9)/K9</f>
        <v>-4.5152091254752821E-2</v>
      </c>
      <c r="W9" s="130"/>
      <c r="X9" s="127">
        <v>57.94</v>
      </c>
      <c r="Y9" s="215"/>
      <c r="Z9" s="126">
        <f>E9/X9</f>
        <v>25.003797031411807</v>
      </c>
      <c r="AA9" s="128"/>
      <c r="AB9" s="127">
        <v>62.47</v>
      </c>
      <c r="AC9" s="215"/>
      <c r="AD9" s="126">
        <f>E9/AB9</f>
        <v>23.190651512726109</v>
      </c>
      <c r="AE9" s="128"/>
      <c r="AF9" s="129">
        <f>(X9-S9)/S9</f>
        <v>0.44201095072175206</v>
      </c>
      <c r="AG9" s="130"/>
      <c r="AH9" s="113">
        <f>((+AS9+E9-AT9)/AT9)</f>
        <v>-1.1581309992427317E-2</v>
      </c>
      <c r="AI9" s="130"/>
      <c r="AJ9" s="130">
        <f>((+AU9+E9-AV9)/AV9)</f>
        <v>-1.4801319950500432E-3</v>
      </c>
      <c r="AK9" s="130"/>
      <c r="AL9" s="131">
        <f>((+AW9+E9-AX9)/AX9)</f>
        <v>-5.8600928358492708E-3</v>
      </c>
      <c r="AM9" s="29"/>
      <c r="AN9" s="223">
        <v>1.0999999999999999E-2</v>
      </c>
      <c r="AO9" s="113"/>
      <c r="AP9" s="213">
        <f>AN9*E9</f>
        <v>15.935919999999999</v>
      </c>
      <c r="AQ9" s="40"/>
      <c r="AR9" s="206"/>
      <c r="AS9" s="201">
        <v>0.114</v>
      </c>
      <c r="AT9" s="123">
        <v>1465.81</v>
      </c>
      <c r="AU9" s="201">
        <v>3.7269999999999999</v>
      </c>
      <c r="AV9" s="183">
        <v>1454.6</v>
      </c>
      <c r="AW9" s="201">
        <v>11.93</v>
      </c>
      <c r="AX9" s="183">
        <v>1469.26</v>
      </c>
    </row>
    <row r="10" spans="1:50" x14ac:dyDescent="0.25">
      <c r="A10" s="122" t="s">
        <v>89</v>
      </c>
      <c r="B10" s="66"/>
      <c r="C10" s="114" t="s">
        <v>86</v>
      </c>
      <c r="D10" s="66"/>
      <c r="E10" s="326">
        <f>[1]!'.IXIC'</f>
        <v>3803.76</v>
      </c>
      <c r="F10" s="124"/>
      <c r="G10" s="125">
        <v>40.53</v>
      </c>
      <c r="H10" s="117"/>
      <c r="I10" s="126">
        <f>E10/G10</f>
        <v>93.850481125092529</v>
      </c>
      <c r="J10" s="67"/>
      <c r="K10" s="125">
        <v>42.08</v>
      </c>
      <c r="L10" s="67"/>
      <c r="M10" s="126">
        <f>E10/K10</f>
        <v>90.393536121673009</v>
      </c>
      <c r="N10" s="124"/>
      <c r="O10" s="125">
        <v>40.53</v>
      </c>
      <c r="P10" s="117"/>
      <c r="Q10" s="126">
        <f>M10/O10</f>
        <v>2.2302870989803356</v>
      </c>
      <c r="R10" s="67"/>
      <c r="S10" s="127">
        <v>40.18</v>
      </c>
      <c r="T10" s="126">
        <f>E10/S10</f>
        <v>94.667994026879057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-8.182560107216413E-3</v>
      </c>
      <c r="AI10" s="130"/>
      <c r="AJ10" s="130">
        <f>((+AU10+E10-AV10)/AV10)</f>
        <v>-4.056493642385102E-2</v>
      </c>
      <c r="AK10" s="130"/>
      <c r="AL10" s="131">
        <f>((+AW10+E10-AX10)/AX10)</f>
        <v>-6.4112097628344814E-2</v>
      </c>
      <c r="AM10" s="29"/>
      <c r="AN10" s="223">
        <v>1.6999999999999999E-3</v>
      </c>
      <c r="AO10" s="113"/>
      <c r="AP10" s="213">
        <f>AN10*E10</f>
        <v>6.4663919999999999</v>
      </c>
      <c r="AQ10" s="40"/>
      <c r="AR10" s="206"/>
      <c r="AS10" s="201">
        <v>8.7999999999999995E-2</v>
      </c>
      <c r="AT10" s="123">
        <v>3835.23</v>
      </c>
      <c r="AU10" s="201">
        <v>1.4650000000000001</v>
      </c>
      <c r="AV10" s="183">
        <v>3966.11</v>
      </c>
      <c r="AW10" s="201">
        <v>4.6580000000000004</v>
      </c>
      <c r="AX10" s="183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5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5">
      <c r="A13" s="66" t="s">
        <v>107</v>
      </c>
      <c r="B13" s="66"/>
      <c r="C13" s="132" t="s">
        <v>77</v>
      </c>
      <c r="D13" s="66"/>
      <c r="E13" s="123">
        <f>[1]!AES</f>
        <v>65.125</v>
      </c>
      <c r="F13" s="66"/>
      <c r="G13" s="125">
        <v>4.72</v>
      </c>
      <c r="H13" s="133" t="s">
        <v>53</v>
      </c>
      <c r="I13" s="126">
        <f>E13/G13</f>
        <v>13.797669491525424</v>
      </c>
      <c r="J13" s="66"/>
      <c r="K13" s="125">
        <v>4.9400000000000004</v>
      </c>
      <c r="L13" s="67"/>
      <c r="M13" s="126">
        <f t="shared" ref="M13:M20" si="0">E13/K13</f>
        <v>13.1831983805668</v>
      </c>
      <c r="N13" s="66"/>
      <c r="O13" s="125">
        <v>4.72</v>
      </c>
      <c r="P13" s="133" t="s">
        <v>53</v>
      </c>
      <c r="Q13" s="126">
        <f>M13/O13</f>
        <v>2.7930505043573732</v>
      </c>
      <c r="R13" s="66"/>
      <c r="S13" s="127">
        <v>3.43</v>
      </c>
      <c r="T13" s="126">
        <f t="shared" ref="T13:T20" si="1">E13/S13</f>
        <v>18.986880466472304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43.708053691275168</v>
      </c>
      <c r="AA13" s="128"/>
      <c r="AB13" s="127">
        <v>1.92</v>
      </c>
      <c r="AC13" s="215"/>
      <c r="AD13" s="126">
        <f t="shared" ref="AD13:AD23" si="4">E13/AB13</f>
        <v>33.919270833333336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-3.5185185185185187E-2</v>
      </c>
      <c r="AI13" s="130"/>
      <c r="AJ13" s="130">
        <f t="shared" ref="AJ13:AJ23" si="7">((+AU13+E13-AV13)/AV13)</f>
        <v>0.42739726027397262</v>
      </c>
      <c r="AK13" s="130"/>
      <c r="AL13" s="131">
        <f t="shared" ref="AL13:AL23" si="8">((+AW13+E13-AX13)/AX13)</f>
        <v>0.74247491638795982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67.5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5">
      <c r="A14" s="122" t="s">
        <v>57</v>
      </c>
      <c r="B14" s="66"/>
      <c r="C14" s="132" t="s">
        <v>2</v>
      </c>
      <c r="D14" s="66"/>
      <c r="E14" s="123">
        <f>[1]!CG</f>
        <v>70.625</v>
      </c>
      <c r="F14" s="66"/>
      <c r="G14" s="125">
        <v>4.72</v>
      </c>
      <c r="H14" s="133" t="s">
        <v>53</v>
      </c>
      <c r="I14" s="126">
        <f>E14/G14</f>
        <v>14.962923728813561</v>
      </c>
      <c r="J14" s="66"/>
      <c r="K14" s="125">
        <v>4.9400000000000004</v>
      </c>
      <c r="L14" s="67"/>
      <c r="M14" s="126">
        <f>E14/K14</f>
        <v>14.296558704453441</v>
      </c>
      <c r="N14" s="66"/>
      <c r="O14" s="125">
        <v>4.72</v>
      </c>
      <c r="P14" s="133" t="s">
        <v>53</v>
      </c>
      <c r="Q14" s="126">
        <f>M14/O14</f>
        <v>3.0289319289096275</v>
      </c>
      <c r="R14" s="66"/>
      <c r="S14" s="127">
        <v>3.43</v>
      </c>
      <c r="T14" s="126">
        <f>E14/S14</f>
        <v>20.590379008746353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17.395320197044338</v>
      </c>
      <c r="AA14" s="128"/>
      <c r="AB14" s="127">
        <v>4.51</v>
      </c>
      <c r="AC14" s="215"/>
      <c r="AD14" s="126">
        <f>E14/AB14</f>
        <v>15.659645232815965</v>
      </c>
      <c r="AE14" s="128"/>
      <c r="AF14" s="129">
        <f>(X14-S14)/S14</f>
        <v>0.18367346938775495</v>
      </c>
      <c r="AG14" s="130"/>
      <c r="AH14" s="113">
        <f>((+AS14+E14-AT14)/AT14)</f>
        <v>-2.0422807308053208E-3</v>
      </c>
      <c r="AI14" s="130"/>
      <c r="AJ14" s="130">
        <f>((+AU14+E14-AV14)/AV14)</f>
        <v>7.9619047619047534E-2</v>
      </c>
      <c r="AK14" s="130"/>
      <c r="AL14" s="131">
        <f>((+AW14+E14-AX14)/AX14)</f>
        <v>0.12727272727272723</v>
      </c>
      <c r="AM14" s="29"/>
      <c r="AN14" s="134">
        <f>AP14/E14</f>
        <v>1.2743362831858408E-2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70.76953125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5">
      <c r="A15" s="122" t="s">
        <v>56</v>
      </c>
      <c r="B15" s="66"/>
      <c r="C15" s="132" t="s">
        <v>1</v>
      </c>
      <c r="D15" s="66"/>
      <c r="E15" s="123">
        <f>[1]!CGP</f>
        <v>69</v>
      </c>
      <c r="F15" s="66"/>
      <c r="G15" s="125">
        <v>2.88</v>
      </c>
      <c r="H15" s="133" t="s">
        <v>53</v>
      </c>
      <c r="I15" s="126">
        <f>E15/G15</f>
        <v>23.958333333333336</v>
      </c>
      <c r="J15" s="66"/>
      <c r="K15" s="125">
        <v>3.48</v>
      </c>
      <c r="L15" s="67"/>
      <c r="M15" s="126">
        <f>E15/K15</f>
        <v>19.827586206896552</v>
      </c>
      <c r="N15" s="66"/>
      <c r="O15" s="125">
        <v>2.88</v>
      </c>
      <c r="P15" s="133" t="s">
        <v>53</v>
      </c>
      <c r="Q15" s="126">
        <f>M15/O15</f>
        <v>6.884578544061303</v>
      </c>
      <c r="R15" s="66"/>
      <c r="S15" s="127">
        <v>2.02</v>
      </c>
      <c r="T15" s="126">
        <f>E15/S15</f>
        <v>34.158415841584159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23.310810810810811</v>
      </c>
      <c r="AA15" s="128"/>
      <c r="AB15" s="127">
        <v>3.45</v>
      </c>
      <c r="AC15" s="215"/>
      <c r="AD15" s="126">
        <f>E15/AB15</f>
        <v>20</v>
      </c>
      <c r="AE15" s="128"/>
      <c r="AF15" s="129">
        <f>(X15-S15)/S15</f>
        <v>0.46534653465346532</v>
      </c>
      <c r="AG15" s="130"/>
      <c r="AH15" s="113">
        <f>((+AS15+E15-AT15)/AT15)</f>
        <v>-0.12658227848101267</v>
      </c>
      <c r="AI15" s="130"/>
      <c r="AJ15" s="130">
        <f>((+AU15+E15-AV15)/AV15)</f>
        <v>0.13449691991786447</v>
      </c>
      <c r="AK15" s="130"/>
      <c r="AL15" s="131">
        <f>((+AW15+E15-AX15)/AX15)</f>
        <v>0.95238095238095233</v>
      </c>
      <c r="AM15" s="29"/>
      <c r="AN15" s="134">
        <f>AP15/E15</f>
        <v>3.6231884057971015E-3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79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5">
      <c r="A16" s="122" t="s">
        <v>80</v>
      </c>
      <c r="B16" s="66"/>
      <c r="C16" s="132" t="s">
        <v>81</v>
      </c>
      <c r="D16" s="66"/>
      <c r="E16" s="237">
        <f>[1]!D</f>
        <v>55</v>
      </c>
      <c r="F16" s="66"/>
      <c r="G16" s="125">
        <v>3.24</v>
      </c>
      <c r="H16" s="117"/>
      <c r="I16" s="126">
        <f>E16/G16</f>
        <v>16.975308641975307</v>
      </c>
      <c r="J16" s="66"/>
      <c r="K16" s="125">
        <v>3.34</v>
      </c>
      <c r="L16" s="67"/>
      <c r="M16" s="126">
        <f t="shared" si="0"/>
        <v>16.467065868263475</v>
      </c>
      <c r="N16" s="66"/>
      <c r="O16" s="125">
        <v>3.24</v>
      </c>
      <c r="P16" s="117"/>
      <c r="Q16" s="126">
        <f>M16/O16</f>
        <v>5.0824277371183566</v>
      </c>
      <c r="R16" s="66"/>
      <c r="S16" s="127">
        <v>2.87</v>
      </c>
      <c r="T16" s="126">
        <f t="shared" si="1"/>
        <v>19.16376306620209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16.666666666666668</v>
      </c>
      <c r="AA16" s="128"/>
      <c r="AB16" s="127">
        <v>3.81</v>
      </c>
      <c r="AC16" s="215"/>
      <c r="AD16" s="126">
        <f t="shared" si="4"/>
        <v>14.435695538057743</v>
      </c>
      <c r="AE16" s="128"/>
      <c r="AF16" s="129">
        <f t="shared" si="5"/>
        <v>0.14982578397212534</v>
      </c>
      <c r="AG16" s="130"/>
      <c r="AH16" s="113">
        <f t="shared" si="6"/>
        <v>-6.6127213636665114E-2</v>
      </c>
      <c r="AI16" s="130"/>
      <c r="AJ16" s="130">
        <f t="shared" si="7"/>
        <v>0.2978425655976677</v>
      </c>
      <c r="AK16" s="130"/>
      <c r="AL16" s="131">
        <f t="shared" si="8"/>
        <v>0.45057324840764335</v>
      </c>
      <c r="AM16" s="29"/>
      <c r="AN16" s="134">
        <f t="shared" si="9"/>
        <v>4.6909090909090907E-2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58.89453125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5">
      <c r="A17" s="122" t="s">
        <v>58</v>
      </c>
      <c r="B17" s="66"/>
      <c r="C17" s="132" t="s">
        <v>3</v>
      </c>
      <c r="D17" s="66"/>
      <c r="E17" s="123">
        <f>[1]!DUK</f>
        <v>75.875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25.720338983050844</v>
      </c>
      <c r="N17" s="66"/>
      <c r="O17" s="125"/>
      <c r="P17" s="133"/>
      <c r="Q17" s="126"/>
      <c r="R17" s="66"/>
      <c r="S17" s="127">
        <v>3.38</v>
      </c>
      <c r="T17" s="126">
        <f t="shared" si="1"/>
        <v>22.448224852071007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18.642506142506143</v>
      </c>
      <c r="AA17" s="128"/>
      <c r="AB17" s="127">
        <v>4.4800000000000004</v>
      </c>
      <c r="AC17" s="215"/>
      <c r="AD17" s="126">
        <f t="shared" si="4"/>
        <v>16.936383928571427</v>
      </c>
      <c r="AE17" s="128"/>
      <c r="AF17" s="129">
        <f t="shared" si="5"/>
        <v>0.20414201183431965</v>
      </c>
      <c r="AG17" s="130"/>
      <c r="AH17" s="113">
        <f t="shared" si="6"/>
        <v>-6.6378274453256433E-2</v>
      </c>
      <c r="AI17" s="130"/>
      <c r="AJ17" s="130">
        <f t="shared" si="7"/>
        <v>0.35565410199556535</v>
      </c>
      <c r="AK17" s="130"/>
      <c r="AL17" s="131">
        <f t="shared" si="8"/>
        <v>0.54663341645885299</v>
      </c>
      <c r="AM17" s="29"/>
      <c r="AN17" s="134">
        <f t="shared" si="9"/>
        <v>2.8995057660626031E-2</v>
      </c>
      <c r="AO17" s="135"/>
      <c r="AP17" s="55">
        <f>[1]!'DUK,DIVIDEND'</f>
        <v>2.2000000000000002</v>
      </c>
      <c r="AQ17" s="321" t="s">
        <v>113</v>
      </c>
      <c r="AR17" s="206">
        <v>0.55000000000000004</v>
      </c>
      <c r="AS17" s="43"/>
      <c r="AT17" s="183">
        <v>81.26953125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6" x14ac:dyDescent="0.3">
      <c r="A18" s="122" t="s">
        <v>114</v>
      </c>
      <c r="B18" s="66"/>
      <c r="C18" s="132" t="s">
        <v>59</v>
      </c>
      <c r="D18" s="66"/>
      <c r="E18" s="123">
        <f>[1]!DYN</f>
        <v>52.4375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74.910714285714292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90.409482758620697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40.33653846153846</v>
      </c>
      <c r="AA18" s="128"/>
      <c r="AB18" s="127">
        <v>1.62</v>
      </c>
      <c r="AC18" s="235"/>
      <c r="AD18" s="126">
        <f t="shared" si="4"/>
        <v>32.368827160493822</v>
      </c>
      <c r="AE18" s="128"/>
      <c r="AF18" s="129">
        <f t="shared" si="5"/>
        <v>1.2413793103448278</v>
      </c>
      <c r="AG18" s="130"/>
      <c r="AH18" s="113">
        <f t="shared" si="6"/>
        <v>-6.3616071428571425E-2</v>
      </c>
      <c r="AI18" s="130"/>
      <c r="AJ18" s="130">
        <f t="shared" si="7"/>
        <v>0.53750786298393105</v>
      </c>
      <c r="AK18" s="130"/>
      <c r="AL18" s="131">
        <f t="shared" si="8"/>
        <v>1.9861783814910026</v>
      </c>
      <c r="AM18" s="29"/>
      <c r="AN18" s="134">
        <f t="shared" si="9"/>
        <v>5.7210965435041715E-3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56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5">
      <c r="A19" s="122" t="s">
        <v>60</v>
      </c>
      <c r="B19" s="66"/>
      <c r="C19" s="132" t="s">
        <v>4</v>
      </c>
      <c r="D19" s="66"/>
      <c r="E19" s="123">
        <f>[1]!EPG</f>
        <v>58.25</v>
      </c>
      <c r="F19" s="66"/>
      <c r="G19" s="125">
        <v>2.85</v>
      </c>
      <c r="H19" s="133" t="s">
        <v>53</v>
      </c>
      <c r="I19" s="126">
        <f>E19/G19</f>
        <v>20.438596491228068</v>
      </c>
      <c r="J19" s="66"/>
      <c r="K19" s="125">
        <v>3.18</v>
      </c>
      <c r="L19" s="67"/>
      <c r="M19" s="126">
        <f t="shared" si="0"/>
        <v>18.317610062893081</v>
      </c>
      <c r="N19" s="66"/>
      <c r="O19" s="125">
        <v>2.85</v>
      </c>
      <c r="P19" s="133" t="s">
        <v>53</v>
      </c>
      <c r="Q19" s="126">
        <f>M19/O19</f>
        <v>6.4272316010151158</v>
      </c>
      <c r="R19" s="66"/>
      <c r="S19" s="127">
        <v>1.83</v>
      </c>
      <c r="T19" s="126">
        <f t="shared" si="1"/>
        <v>31.830601092896174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22.577519379844961</v>
      </c>
      <c r="AA19" s="128"/>
      <c r="AB19" s="127">
        <v>3.15</v>
      </c>
      <c r="AC19" s="215"/>
      <c r="AD19" s="126">
        <f t="shared" si="4"/>
        <v>18.492063492063494</v>
      </c>
      <c r="AE19" s="128"/>
      <c r="AF19" s="129">
        <f t="shared" si="5"/>
        <v>0.4098360655737705</v>
      </c>
      <c r="AG19" s="130"/>
      <c r="AH19" s="113">
        <f t="shared" si="6"/>
        <v>-0.11742424242424243</v>
      </c>
      <c r="AI19" s="130"/>
      <c r="AJ19" s="130">
        <f t="shared" si="7"/>
        <v>0.14760245398773011</v>
      </c>
      <c r="AK19" s="130"/>
      <c r="AL19" s="131">
        <f t="shared" si="8"/>
        <v>0.51672785829307577</v>
      </c>
      <c r="AM19" s="29"/>
      <c r="AN19" s="134">
        <f t="shared" si="9"/>
        <v>1.4077253218884119E-2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66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5">
      <c r="A20" s="122" t="s">
        <v>74</v>
      </c>
      <c r="B20" s="66"/>
      <c r="C20" s="132" t="s">
        <v>75</v>
      </c>
      <c r="D20" s="66"/>
      <c r="E20" s="123">
        <f>[1]!KMI</f>
        <v>39.5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16.255144032921809</v>
      </c>
      <c r="N20" s="66"/>
      <c r="O20" s="125"/>
      <c r="P20" s="133"/>
      <c r="Q20" s="126"/>
      <c r="R20" s="66"/>
      <c r="S20" s="127">
        <v>1.17</v>
      </c>
      <c r="T20" s="126">
        <f t="shared" si="1"/>
        <v>33.760683760683762</v>
      </c>
      <c r="U20" s="128"/>
      <c r="V20" s="129"/>
      <c r="W20" s="130"/>
      <c r="X20" s="127">
        <v>1.24</v>
      </c>
      <c r="Y20" s="215"/>
      <c r="Z20" s="126">
        <f t="shared" si="3"/>
        <v>31.85483870967742</v>
      </c>
      <c r="AA20" s="128"/>
      <c r="AB20" s="127">
        <v>1.56</v>
      </c>
      <c r="AC20" s="215"/>
      <c r="AD20" s="126">
        <f t="shared" si="4"/>
        <v>25.320512820512821</v>
      </c>
      <c r="AE20" s="128"/>
      <c r="AF20" s="129">
        <f t="shared" si="5"/>
        <v>5.9829059829059887E-2</v>
      </c>
      <c r="AG20" s="130"/>
      <c r="AH20" s="113">
        <f t="shared" si="6"/>
        <v>-3.3639143730886847E-2</v>
      </c>
      <c r="AI20" s="130"/>
      <c r="AJ20" s="130">
        <f t="shared" si="7"/>
        <v>0.1437867148666967</v>
      </c>
      <c r="AK20" s="130"/>
      <c r="AL20" s="131">
        <f t="shared" si="8"/>
        <v>0.96408668730650149</v>
      </c>
      <c r="AM20" s="29"/>
      <c r="AN20" s="134">
        <f t="shared" si="9"/>
        <v>5.0632911392405064E-3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40.875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5">
      <c r="A21" s="66" t="s">
        <v>65</v>
      </c>
      <c r="B21" s="66"/>
      <c r="C21" s="132" t="s">
        <v>66</v>
      </c>
      <c r="D21" s="66"/>
      <c r="E21" s="123">
        <f>[1]!PCG</f>
        <v>26</v>
      </c>
      <c r="F21" s="66"/>
      <c r="G21" s="125">
        <v>2.88</v>
      </c>
      <c r="H21" s="133" t="s">
        <v>53</v>
      </c>
      <c r="I21" s="126">
        <f>E21/G21</f>
        <v>9.0277777777777786</v>
      </c>
      <c r="J21" s="66"/>
      <c r="K21" s="125">
        <v>3.48</v>
      </c>
      <c r="L21" s="67"/>
      <c r="M21" s="126">
        <f>E21/K21</f>
        <v>7.4712643678160919</v>
      </c>
      <c r="N21" s="66"/>
      <c r="O21" s="125">
        <v>2.88</v>
      </c>
      <c r="P21" s="133" t="s">
        <v>53</v>
      </c>
      <c r="Q21" s="126">
        <f>M21/O21</f>
        <v>2.5941890166028099</v>
      </c>
      <c r="R21" s="66"/>
      <c r="S21" s="127">
        <v>1.79</v>
      </c>
      <c r="T21" s="126">
        <f>E21/S21</f>
        <v>14.525139664804469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10.236220472440944</v>
      </c>
      <c r="AA21" s="128"/>
      <c r="AB21" s="127">
        <v>2.75</v>
      </c>
      <c r="AC21" s="215"/>
      <c r="AD21" s="126">
        <f t="shared" si="4"/>
        <v>9.454545454545455</v>
      </c>
      <c r="AE21" s="128"/>
      <c r="AF21" s="129">
        <f t="shared" si="5"/>
        <v>0.41899441340782123</v>
      </c>
      <c r="AG21" s="130"/>
      <c r="AH21" s="113">
        <f t="shared" si="6"/>
        <v>-8.1677704194260486E-2</v>
      </c>
      <c r="AI21" s="130"/>
      <c r="AJ21" s="130">
        <f t="shared" si="7"/>
        <v>6.8020304568527951E-2</v>
      </c>
      <c r="AK21" s="130"/>
      <c r="AL21" s="131">
        <f t="shared" si="8"/>
        <v>0.31219512195121946</v>
      </c>
      <c r="AM21" s="29"/>
      <c r="AN21" s="134">
        <f t="shared" si="9"/>
        <v>4.6153846153846149E-2</v>
      </c>
      <c r="AO21" s="135"/>
      <c r="AP21" s="55">
        <f>[1]!'PCG,DIVIDEND'</f>
        <v>1.2</v>
      </c>
      <c r="AQ21" s="259">
        <v>36782</v>
      </c>
      <c r="AR21" s="206">
        <v>0.3</v>
      </c>
      <c r="AS21" s="43"/>
      <c r="AT21" s="183">
        <v>28.3125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5">
      <c r="A22" s="122" t="s">
        <v>61</v>
      </c>
      <c r="B22" s="66"/>
      <c r="C22" s="132" t="s">
        <v>5</v>
      </c>
      <c r="D22" s="66"/>
      <c r="E22" s="123">
        <f>[1]!TRP</f>
        <v>9.25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8.0434782608695663</v>
      </c>
      <c r="U22" s="128"/>
      <c r="V22" s="129"/>
      <c r="W22" s="130"/>
      <c r="X22" s="127">
        <v>0.77</v>
      </c>
      <c r="Y22" s="215"/>
      <c r="Z22" s="126">
        <f t="shared" si="3"/>
        <v>12.012987012987013</v>
      </c>
      <c r="AA22" s="128"/>
      <c r="AB22" s="127">
        <v>0.82</v>
      </c>
      <c r="AC22" s="215"/>
      <c r="AD22" s="126">
        <f t="shared" si="4"/>
        <v>11.280487804878049</v>
      </c>
      <c r="AE22" s="128"/>
      <c r="AF22" s="129">
        <f t="shared" si="5"/>
        <v>-0.33043478260869558</v>
      </c>
      <c r="AG22" s="130"/>
      <c r="AH22" s="113">
        <f t="shared" si="6"/>
        <v>-6.7114093959731542E-3</v>
      </c>
      <c r="AI22" s="130"/>
      <c r="AJ22" s="130">
        <f t="shared" si="7"/>
        <v>0.21311475409836064</v>
      </c>
      <c r="AK22" s="130"/>
      <c r="AL22" s="131">
        <f t="shared" si="8"/>
        <v>0.1028571428571429</v>
      </c>
      <c r="AM22" s="29"/>
      <c r="AN22" s="134">
        <f t="shared" si="9"/>
        <v>8.6486486486486491E-2</v>
      </c>
      <c r="AO22" s="135"/>
      <c r="AP22" s="319">
        <f>AR22*4</f>
        <v>0.8</v>
      </c>
      <c r="AQ22" s="259">
        <v>36797</v>
      </c>
      <c r="AR22" s="206">
        <v>0.2</v>
      </c>
      <c r="AS22" s="43"/>
      <c r="AT22" s="183">
        <v>9.3125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5">
      <c r="A23" s="122" t="s">
        <v>98</v>
      </c>
      <c r="B23" s="66"/>
      <c r="C23" s="132" t="s">
        <v>6</v>
      </c>
      <c r="D23" s="66"/>
      <c r="E23" s="123">
        <f>[1]!WMB</f>
        <v>39.98046875</v>
      </c>
      <c r="F23" s="66"/>
      <c r="G23" s="125">
        <v>2.08</v>
      </c>
      <c r="H23" s="133" t="s">
        <v>53</v>
      </c>
      <c r="I23" s="126">
        <f>E23/G23</f>
        <v>19.22137920673077</v>
      </c>
      <c r="J23" s="66"/>
      <c r="K23" s="125">
        <v>1.04</v>
      </c>
      <c r="L23" s="67"/>
      <c r="M23" s="126">
        <f>E23/K23</f>
        <v>38.44275841346154</v>
      </c>
      <c r="N23" s="66"/>
      <c r="O23" s="125">
        <v>2.08</v>
      </c>
      <c r="P23" s="133" t="s">
        <v>53</v>
      </c>
      <c r="Q23" s="126">
        <f>M23/O23</f>
        <v>18.482095391087277</v>
      </c>
      <c r="R23" s="66"/>
      <c r="S23" s="127">
        <v>0.82</v>
      </c>
      <c r="T23" s="126">
        <f>E23/S23</f>
        <v>48.756669207317074</v>
      </c>
      <c r="U23" s="128"/>
      <c r="V23" s="129">
        <f>(S23-K23)/K23</f>
        <v>-0.21153846153846162</v>
      </c>
      <c r="W23" s="130"/>
      <c r="X23" s="127">
        <v>1.1000000000000001</v>
      </c>
      <c r="Y23" s="215"/>
      <c r="Z23" s="126">
        <f t="shared" si="3"/>
        <v>36.34588068181818</v>
      </c>
      <c r="AA23" s="128"/>
      <c r="AB23" s="127">
        <v>1.1599999999999999</v>
      </c>
      <c r="AC23" s="215"/>
      <c r="AD23" s="126">
        <f t="shared" si="4"/>
        <v>34.465921336206897</v>
      </c>
      <c r="AE23" s="128"/>
      <c r="AF23" s="129">
        <f t="shared" si="5"/>
        <v>0.34146341463414653</v>
      </c>
      <c r="AG23" s="130"/>
      <c r="AH23" s="113">
        <f t="shared" si="6"/>
        <v>-0.12967687074829931</v>
      </c>
      <c r="AI23" s="130"/>
      <c r="AJ23" s="130">
        <f t="shared" si="7"/>
        <v>-3.7440269839782665E-2</v>
      </c>
      <c r="AK23" s="130"/>
      <c r="AL23" s="131">
        <f t="shared" si="8"/>
        <v>0.32287832310838455</v>
      </c>
      <c r="AM23" s="29"/>
      <c r="AN23" s="134">
        <f t="shared" si="9"/>
        <v>1.5007327796775769E-2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45.9375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5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16.911712667340606</v>
      </c>
      <c r="J25" s="67"/>
      <c r="K25" s="138"/>
      <c r="L25" s="139"/>
      <c r="M25" s="140">
        <f>AVERAGE(M13:M23)</f>
        <v>24.489223930603792</v>
      </c>
      <c r="N25" s="66"/>
      <c r="O25" s="138"/>
      <c r="P25" s="139"/>
      <c r="Q25" s="140">
        <f>AVERAGE(Q13:Q23)</f>
        <v>6.4703578175931238</v>
      </c>
      <c r="R25" s="67"/>
      <c r="S25" s="138"/>
      <c r="T25" s="140">
        <f>AVERAGE(T13:T23)</f>
        <v>31.152156180024335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24.82612202060092</v>
      </c>
      <c r="AA25" s="128"/>
      <c r="AB25" s="186"/>
      <c r="AC25" s="216"/>
      <c r="AD25" s="140">
        <f>AVERAGE(AD13:AD23)</f>
        <v>21.12121396377082</v>
      </c>
      <c r="AE25" s="128"/>
      <c r="AF25" s="141">
        <f>AVERAGE(AF13:AF23)</f>
        <v>0.2344052375809193</v>
      </c>
      <c r="AG25" s="130"/>
      <c r="AH25" s="142">
        <f>AVERAGE(AH13:AH23)</f>
        <v>-6.6278243128105305E-2</v>
      </c>
      <c r="AI25" s="143"/>
      <c r="AJ25" s="143">
        <f>AVERAGE(AJ13:AJ23)</f>
        <v>0.21523651964268922</v>
      </c>
      <c r="AK25" s="143"/>
      <c r="AL25" s="144">
        <f>AVERAGE(AL13:AL23)</f>
        <v>0.63856897962867842</v>
      </c>
      <c r="AM25" s="29"/>
      <c r="AN25" s="141">
        <f>AVERAGE(AN13:AN23)</f>
        <v>2.4070909195100874E-2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5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5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5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3">
        <v>2000</v>
      </c>
      <c r="Y28" s="334"/>
      <c r="Z28" s="335"/>
      <c r="AA28" s="66"/>
      <c r="AB28" s="333">
        <v>2001</v>
      </c>
      <c r="AC28" s="334"/>
      <c r="AD28" s="335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5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36774</v>
      </c>
      <c r="AV29" s="322">
        <f>+AV5</f>
        <v>36707</v>
      </c>
      <c r="AX29" s="322" t="str">
        <f>+AX6</f>
        <v xml:space="preserve">12/31/99 Closing </v>
      </c>
    </row>
    <row r="30" spans="1:50" ht="15.6" thickBot="1" x14ac:dyDescent="0.3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5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56.25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-7.9754601226993863E-2</v>
      </c>
      <c r="AI31" s="266"/>
      <c r="AJ31" s="130">
        <f t="shared" ref="AJ31:AJ40" si="11">((+AU31+E31-AV31)/AV31)</f>
        <v>-0.52623599764170814</v>
      </c>
      <c r="AK31" s="12"/>
      <c r="AL31" s="131">
        <f t="shared" ref="AL31:AL40" si="12">((+AW31+E31-AX31)/AX31)</f>
        <v>-0.82830980541777943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61.125</v>
      </c>
      <c r="AV31" s="1">
        <v>118.73</v>
      </c>
      <c r="AX31" s="183">
        <v>327.625</v>
      </c>
    </row>
    <row r="32" spans="1:50" x14ac:dyDescent="0.25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23.875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1.5957446808510637E-2</v>
      </c>
      <c r="AI32" s="266"/>
      <c r="AJ32" s="130">
        <f t="shared" si="11"/>
        <v>-0.50904791281102202</v>
      </c>
      <c r="AK32" s="12"/>
      <c r="AL32" s="131">
        <f t="shared" si="12"/>
        <v>-0.74901445466491456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23.5</v>
      </c>
      <c r="AV32" s="1">
        <v>48.63</v>
      </c>
      <c r="AX32" s="183">
        <v>95.125</v>
      </c>
    </row>
    <row r="33" spans="1:50" x14ac:dyDescent="0.25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28.5625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-2.7659574468085105E-2</v>
      </c>
      <c r="AI33" s="266"/>
      <c r="AJ33" s="130">
        <f t="shared" si="11"/>
        <v>-0.31207851637764938</v>
      </c>
      <c r="AK33" s="12"/>
      <c r="AL33" s="131">
        <f t="shared" si="12"/>
        <v>-0.6697976878612717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29.375</v>
      </c>
      <c r="AV33" s="1">
        <v>41.52</v>
      </c>
      <c r="AX33" s="183">
        <v>86.5</v>
      </c>
    </row>
    <row r="34" spans="1:50" ht="15.6" x14ac:dyDescent="0.25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19.25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-0.22025316455696203</v>
      </c>
      <c r="AI34" s="266"/>
      <c r="AJ34" s="130">
        <f t="shared" si="11"/>
        <v>-0.41825324871562414</v>
      </c>
      <c r="AK34" s="12"/>
      <c r="AL34" s="131">
        <f t="shared" si="12"/>
        <v>-0.33477321814254862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24.6875</v>
      </c>
      <c r="AV34" s="1">
        <v>33.090000000000003</v>
      </c>
      <c r="AX34" s="183">
        <v>28.9375</v>
      </c>
    </row>
    <row r="35" spans="1:50" ht="15.6" x14ac:dyDescent="0.25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72.875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-2.2632020117351215E-2</v>
      </c>
      <c r="AI35" s="266"/>
      <c r="AJ35" s="130">
        <f t="shared" si="11"/>
        <v>-0.171875</v>
      </c>
      <c r="AK35" s="12"/>
      <c r="AL35" s="131">
        <f t="shared" si="12"/>
        <v>-0.1099236641221374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74.5625</v>
      </c>
      <c r="AV35" s="1">
        <v>88</v>
      </c>
      <c r="AX35" s="183">
        <v>81.875</v>
      </c>
    </row>
    <row r="36" spans="1:50" ht="15.6" x14ac:dyDescent="0.25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28.25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-5.1914001048767699E-2</v>
      </c>
      <c r="AI36" s="266"/>
      <c r="AJ36" s="130">
        <f t="shared" si="11"/>
        <v>7.3736221968833199E-2</v>
      </c>
      <c r="AK36" s="12"/>
      <c r="AL36" s="131">
        <f t="shared" si="12"/>
        <v>-0.435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29.796875</v>
      </c>
      <c r="AV36" s="1">
        <v>26.31</v>
      </c>
      <c r="AX36" s="183">
        <v>50</v>
      </c>
    </row>
    <row r="37" spans="1:50" ht="15.6" x14ac:dyDescent="0.25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48.125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1.6669417395609835E-2</v>
      </c>
      <c r="AI37" s="266"/>
      <c r="AJ37" s="130">
        <f t="shared" si="11"/>
        <v>-3.1495270678204824E-2</v>
      </c>
      <c r="AK37" s="12"/>
      <c r="AL37" s="131">
        <f t="shared" si="12"/>
        <v>0.11918604651162791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47.3359375</v>
      </c>
      <c r="AV37" s="1">
        <v>49.69</v>
      </c>
      <c r="AX37" s="183">
        <v>43</v>
      </c>
    </row>
    <row r="38" spans="1:50" x14ac:dyDescent="0.25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168.75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0.1070110701107011</v>
      </c>
      <c r="AI38" s="266"/>
      <c r="AJ38" s="130">
        <f t="shared" si="11"/>
        <v>0.72106068332483431</v>
      </c>
      <c r="AK38" s="12"/>
      <c r="AL38" s="131">
        <f t="shared" si="12"/>
        <v>0.90274841437632136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152.4375</v>
      </c>
      <c r="AV38" s="1">
        <v>98.05</v>
      </c>
      <c r="AX38" s="183">
        <v>88.6875</v>
      </c>
    </row>
    <row r="39" spans="1:50" x14ac:dyDescent="0.25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75.75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7.9252003561887802E-2</v>
      </c>
      <c r="AI39" s="266"/>
      <c r="AJ39" s="130">
        <f t="shared" si="11"/>
        <v>0.66923754958131321</v>
      </c>
      <c r="AK39" s="12"/>
      <c r="AL39" s="131">
        <f t="shared" si="12"/>
        <v>-0.22900763358778625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70.1875</v>
      </c>
      <c r="AV39" s="1">
        <v>45.38</v>
      </c>
      <c r="AX39" s="183">
        <v>98.25</v>
      </c>
    </row>
    <row r="40" spans="1:50" x14ac:dyDescent="0.25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186.1875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8.1306715063520871E-2</v>
      </c>
      <c r="AI40" s="266"/>
      <c r="AJ40" s="130">
        <f t="shared" si="11"/>
        <v>0.78562865637287815</v>
      </c>
      <c r="AK40" s="12"/>
      <c r="AL40" s="131">
        <f t="shared" si="12"/>
        <v>0.9096153846153846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172.1875</v>
      </c>
      <c r="AV40" s="1">
        <v>104.27</v>
      </c>
      <c r="AX40" s="183">
        <v>97.5</v>
      </c>
    </row>
    <row r="41" spans="1:50" ht="15.6" x14ac:dyDescent="0.25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5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-1.0201670847792969E-2</v>
      </c>
      <c r="AI42" s="282"/>
      <c r="AJ42" s="283">
        <f>AVERAGE(AJ31:AJ40)</f>
        <v>2.8067716502365024E-2</v>
      </c>
      <c r="AK42" s="284"/>
      <c r="AL42" s="285">
        <f>AVERAGE(AL31:AL40)</f>
        <v>-0.14242766182931049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5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5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30" t="s">
        <v>105</v>
      </c>
      <c r="Y44" s="331"/>
      <c r="Z44" s="331"/>
      <c r="AA44" s="331"/>
      <c r="AB44" s="332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5.6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103</v>
      </c>
      <c r="Y45" s="156"/>
      <c r="Z45" s="44"/>
      <c r="AA45" s="44"/>
      <c r="AB45" s="306" t="s">
        <v>104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5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1.4110526315789469</v>
      </c>
      <c r="Y46" s="66"/>
      <c r="Z46" s="66"/>
      <c r="AA46" s="66"/>
      <c r="AB46" s="299">
        <f>AVERAGE(AB64:AB82)</f>
        <v>1.6405263157894736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5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5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1.38</v>
      </c>
      <c r="Y48" s="66"/>
      <c r="Z48" s="66"/>
      <c r="AA48" s="66"/>
      <c r="AB48" s="300">
        <f>MIN(AB64:AB82)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5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5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5">
      <c r="A51" s="301" t="s">
        <v>116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5">
      <c r="A52" s="301" t="s">
        <v>108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5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5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5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5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5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5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5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5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3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6" x14ac:dyDescent="0.3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3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6" x14ac:dyDescent="0.3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6" x14ac:dyDescent="0.3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6" x14ac:dyDescent="0.3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6" x14ac:dyDescent="0.3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6" x14ac:dyDescent="0.3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6" x14ac:dyDescent="0.3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6" x14ac:dyDescent="0.3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6" x14ac:dyDescent="0.3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s="6" customFormat="1" ht="15.6" x14ac:dyDescent="0.3">
      <c r="A72" s="163" t="s">
        <v>14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4"/>
      <c r="U72" s="165"/>
      <c r="V72" s="165"/>
      <c r="W72" s="165"/>
      <c r="X72" s="190">
        <v>1.4</v>
      </c>
      <c r="Y72" s="190"/>
      <c r="Z72" s="164"/>
      <c r="AA72" s="164"/>
      <c r="AB72" s="236">
        <v>1.65</v>
      </c>
      <c r="AC72" s="190"/>
      <c r="AD72" s="167"/>
      <c r="AE72" s="167"/>
      <c r="AF72" s="166"/>
      <c r="AG72" s="165"/>
      <c r="AH72" s="165"/>
      <c r="AI72" s="45"/>
      <c r="AJ72" s="46"/>
      <c r="AK72" s="45"/>
      <c r="AL72" s="46"/>
      <c r="AM72" s="46"/>
      <c r="AN72" s="46"/>
      <c r="AQ72" s="19"/>
      <c r="AR72" s="211"/>
    </row>
    <row r="73" spans="1:44" s="6" customFormat="1" ht="15.6" x14ac:dyDescent="0.3">
      <c r="A73" s="163" t="s">
        <v>115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/>
      <c r="T73" s="164"/>
      <c r="U73" s="165"/>
      <c r="V73" s="165"/>
      <c r="W73" s="165"/>
      <c r="X73" s="190">
        <v>1.43</v>
      </c>
      <c r="Y73" s="190"/>
      <c r="Z73" s="164"/>
      <c r="AA73" s="164"/>
      <c r="AB73" s="236">
        <v>1.53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6" x14ac:dyDescent="0.3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6" x14ac:dyDescent="0.3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6" x14ac:dyDescent="0.3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6" x14ac:dyDescent="0.3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6" x14ac:dyDescent="0.3">
      <c r="A78" s="163" t="s">
        <v>100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6" x14ac:dyDescent="0.3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6" x14ac:dyDescent="0.3">
      <c r="A80" s="163" t="s">
        <v>106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6" x14ac:dyDescent="0.3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6" x14ac:dyDescent="0.3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</v>
      </c>
      <c r="Y82" s="190"/>
      <c r="Z82" s="161"/>
      <c r="AA82" s="161"/>
      <c r="AB82" s="160">
        <v>1.62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6" x14ac:dyDescent="0.3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6" x14ac:dyDescent="0.3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1.9945454545454544</v>
      </c>
      <c r="T84" s="174"/>
      <c r="U84" s="175"/>
      <c r="V84" s="175"/>
      <c r="W84" s="175"/>
      <c r="X84" s="197">
        <f>AVERAGE(X64:X82)</f>
        <v>1.4110526315789469</v>
      </c>
      <c r="Y84" s="197"/>
      <c r="Z84" s="174"/>
      <c r="AA84" s="174"/>
      <c r="AB84" s="262">
        <f>AVERAGE(AB64:AB82)</f>
        <v>1.6405263157894736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6" x14ac:dyDescent="0.3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6" x14ac:dyDescent="0.3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6" x14ac:dyDescent="0.3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6" hidden="1" x14ac:dyDescent="0.3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6" x14ac:dyDescent="0.3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6" x14ac:dyDescent="0.3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5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5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5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5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5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C108" s="3"/>
    </row>
    <row r="109" spans="1:31" x14ac:dyDescent="0.25">
      <c r="C109" s="3"/>
    </row>
    <row r="110" spans="1:31" x14ac:dyDescent="0.25">
      <c r="C110" s="3"/>
    </row>
    <row r="111" spans="1:31" x14ac:dyDescent="0.25">
      <c r="C111" s="3"/>
    </row>
    <row r="112" spans="1:31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2000-09-22T21:48:01Z</cp:lastPrinted>
  <dcterms:created xsi:type="dcterms:W3CDTF">1997-07-25T21:14:12Z</dcterms:created>
  <dcterms:modified xsi:type="dcterms:W3CDTF">2023-09-10T15:34:52Z</dcterms:modified>
</cp:coreProperties>
</file>