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0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E13" i="1"/>
  <c r="G13" i="1"/>
  <c r="I13" i="1"/>
  <c r="K13" i="1"/>
  <c r="M13" i="1"/>
  <c r="O13" i="1"/>
  <c r="Q13" i="1"/>
  <c r="S13" i="1"/>
  <c r="U13" i="1"/>
  <c r="AJ13" i="1"/>
  <c r="AL13" i="1"/>
  <c r="AN13" i="1"/>
  <c r="E14" i="1"/>
  <c r="G14" i="1"/>
  <c r="I14" i="1"/>
  <c r="K14" i="1"/>
  <c r="M14" i="1"/>
  <c r="O14" i="1"/>
  <c r="Q14" i="1"/>
  <c r="S14" i="1"/>
  <c r="U14" i="1"/>
  <c r="AJ14" i="1"/>
  <c r="AL14" i="1"/>
  <c r="AN14" i="1"/>
  <c r="AO14" i="1"/>
  <c r="E15" i="1"/>
  <c r="G15" i="1"/>
  <c r="I15" i="1"/>
  <c r="K15" i="1"/>
  <c r="M15" i="1"/>
  <c r="O15" i="1"/>
  <c r="Q15" i="1"/>
  <c r="S15" i="1"/>
  <c r="U15" i="1"/>
  <c r="AJ15" i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G19" i="1"/>
  <c r="I19" i="1"/>
  <c r="K19" i="1"/>
  <c r="M19" i="1"/>
  <c r="O19" i="1"/>
  <c r="Q19" i="1"/>
  <c r="S19" i="1"/>
  <c r="U19" i="1"/>
  <c r="AJ19" i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G21" i="1"/>
  <c r="I21" i="1"/>
  <c r="K21" i="1"/>
  <c r="M21" i="1"/>
  <c r="O21" i="1"/>
  <c r="Q21" i="1"/>
  <c r="S21" i="1"/>
  <c r="U21" i="1"/>
  <c r="AJ21" i="1"/>
  <c r="AL21" i="1"/>
  <c r="E22" i="1"/>
  <c r="G22" i="1"/>
  <c r="I22" i="1"/>
  <c r="K22" i="1"/>
  <c r="M22" i="1"/>
  <c r="O22" i="1"/>
  <c r="Q22" i="1"/>
  <c r="S22" i="1"/>
  <c r="U22" i="1"/>
  <c r="AJ22" i="1"/>
  <c r="AL22" i="1"/>
  <c r="E23" i="1"/>
  <c r="G23" i="1"/>
  <c r="I23" i="1"/>
  <c r="K23" i="1"/>
  <c r="M23" i="1"/>
  <c r="O23" i="1"/>
  <c r="Q23" i="1"/>
  <c r="S23" i="1"/>
  <c r="U23" i="1"/>
  <c r="AJ23" i="1"/>
  <c r="AL23" i="1"/>
  <c r="AN23" i="1"/>
  <c r="AO23" i="1"/>
  <c r="I25" i="1"/>
  <c r="K25" i="1"/>
  <c r="M25" i="1"/>
  <c r="O25" i="1"/>
  <c r="Q25" i="1"/>
  <c r="S25" i="1"/>
  <c r="U25" i="1"/>
  <c r="E26" i="1"/>
  <c r="AK26" i="1"/>
  <c r="AL26" i="1"/>
  <c r="E27" i="1"/>
  <c r="M27" i="1"/>
  <c r="Q27" i="1"/>
  <c r="S27" i="1"/>
  <c r="U27" i="1"/>
  <c r="G52" i="1"/>
  <c r="I52" i="1"/>
  <c r="K52" i="1"/>
  <c r="S52" i="1"/>
  <c r="U52" i="1"/>
  <c r="W52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<sst xmlns="http://schemas.openxmlformats.org/spreadsheetml/2006/main" count="158" uniqueCount="119">
  <si>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</si>
  <si>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</si>
  <si>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</si>
  <si>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</si>
  <si>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</si>
  <si>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</si>
  <si>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</si>
  <si>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</si>
  <si>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</si>
  <si>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</si>
  <si>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</si>
  <si>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</si>
  <si>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</si>
  <si>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</si>
  <si>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</si>
  <si>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</si>
  <si>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</si>
  <si>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</si>
  <si>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</si>
  <si>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</si>
  <si>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</si>
  <si>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</si>
  <si>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</si>
  <si>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</si>
  <si>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</si>
  <si>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</si>
  <si>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</si>
  <si>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</si>
  <si>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</si>
  <si>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</si>
  <si>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</si>
  <si>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</si>
  <si>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</si>
  <si>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</si>
  <si>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</si>
  <si>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</si>
  <si>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</si>
  <si>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</si>
  <si>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</si>
  <si>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</si>
  <si>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</si>
  <si>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</si>
  <si>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</si>
  <si>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</si>
  <si>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</si>
  <si>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</si>
  <si>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</si>
  <si>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</si>
  <si>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</si>
  <si>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</si>
  <si>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</si>
  <si>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</si>
  <si>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</si>
  <si>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</si>
  <si>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</si>
  <si>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</si>
  <si>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</si>
  <si>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</si>
  <si>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</si>
  <si>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</si>
  <si>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</si>
  <si>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</si>
  <si>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</si>
  <si>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</si>
  <si>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</si>
  <si>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</si>
  <si>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</si>
  <si>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</si>
  <si>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</si>
  <si>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</si>
  <si>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</si>
  <si>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</si>
  <si>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</si>
  <si>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</si>
  <si>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</si>
  <si>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</si>
  <si>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</si>
  <si>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</si>
  <si>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</si>
  <si>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</si>
  <si>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</si>
  <si>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</si>
  <si>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</si>
  <si>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</si>
  <si>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</si>
  <si>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</si>
  <si>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</si>
  <si>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</si>
  <si>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</si>
  <si>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</si>
  <si>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</si>
  <si>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</si>
  <si>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</si>
  <si>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</si>
  <si>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</si>
  <si>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</si>
  <si>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</si>
  <si>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</si>
  <si>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</si>
  <si>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</si>
  <si>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</si>
  <si>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</si>
  <si>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</si>
  <si>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</si>
  <si>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</si>
  <si>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</si>
  <si>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</si>
  <si>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</si>
  <si>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</si>
  <si>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</si>
  <si>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</si>
  <si>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</si>
  <si>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</si>
  <si>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</si>
  <si>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</si>
  <si>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</si>
  <si>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</si>
  <si>
    <t>Accumulate</t>
  </si>
  <si>
    <t>9/15/00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</si>
</sst>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18.625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28.25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15.4375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25.9375</val>
          </value>
        </values>
      </ddeItem>
      <ddeItem name="EPN,DIVIDEND" advise="1">
        <values>
          <value>
            <val>2.15</val>
          </value>
        </values>
      </ddeItem>
      <ddeItem name="FGP">
        <values>
          <value>
            <val>15.25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6.625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45.3125</val>
          </value>
        </values>
      </ddeItem>
      <ddeItem name="KMP,DIVIDEND" advise="1">
        <values>
          <value>
            <val>3.4</val>
          </value>
        </values>
      </ddeItem>
      <ddeItem name="KPP">
        <values>
          <value>
            <val>27.8125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41.4375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29.5625</val>
          </value>
        </values>
      </ddeItem>
      <ddeItem name="NBP,DIVIDEND">
        <values>
          <value>
            <val>2.6</val>
          </value>
        </values>
      </ddeItem>
      <ddeItem name="PAA">
        <values>
          <value>
            <val>19.25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19.0625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26.5625</val>
          </value>
        </values>
      </ddeItem>
      <ddeItem name="TPP,DIVIDEND">
        <values>
          <value>
            <val>2</val>
          </value>
        </values>
      </ddeItem>
      <ddeItem name="US30YT=RR,RT YIELD 1">
        <values>
          <value>
            <val>5.9143999999999997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A124"/>
  <sheetViews>
    <sheetView showGridLines="0" tabSelected="1" zoomScale="50" workbookViewId="0">
      <pane xSplit="3" topLeftCell="D1" activePane="topRight" state="frozen"/>
      <selection pane="topRight" activeCell="E27" sqref="E27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1.3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5" width="15" style="22" customWidth="1"/>
    <col min="36" max="36" width="10.453125" style="22" customWidth="1"/>
    <col min="37" max="39" width="15.453125" style="22" customWidth="1"/>
    <col min="40" max="40" width="12.90625" style="7" customWidth="1"/>
    <col min="41" max="41" width="16.453125" style="7" customWidth="1"/>
    <col min="42" max="52" width="11.36328125" style="7" customWidth="1"/>
    <col min="53" max="16384" width="9.81640625" style="7"/>
  </cols>
  <sheetData>
    <row r="1" spans="1:52" s="85" customFormat="1" ht="22.8" x14ac:dyDescent="0.4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2.8" x14ac:dyDescent="0.4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36791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2.8" x14ac:dyDescent="0.4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2.8" x14ac:dyDescent="0.4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2.8" x14ac:dyDescent="0.4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2.8" x14ac:dyDescent="0.4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 t="s">
        <v>118</v>
      </c>
      <c r="AH6" s="300" t="s">
        <v>82</v>
      </c>
      <c r="AI6" s="172">
        <v>36707</v>
      </c>
      <c r="AJ6" s="300" t="s">
        <v>82</v>
      </c>
      <c r="AK6" s="172">
        <v>36525</v>
      </c>
      <c r="AL6" s="320" t="s">
        <v>105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4" x14ac:dyDescent="0.4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106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2.8" x14ac:dyDescent="0.4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3.4" thickBot="1" x14ac:dyDescent="0.45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2.8" x14ac:dyDescent="0.4">
      <c r="A10" s="205" t="s">
        <v>35</v>
      </c>
      <c r="B10" s="206"/>
      <c r="C10" s="207" t="s">
        <v>36</v>
      </c>
      <c r="D10" s="206"/>
      <c r="E10" s="208">
        <f>[1]!NBP</f>
        <v>29.5625</v>
      </c>
      <c r="F10" s="209"/>
      <c r="G10" s="208">
        <f>[1]!'NBP,DIVIDEND'</f>
        <v>2.6</v>
      </c>
      <c r="H10" s="210"/>
      <c r="I10" s="211">
        <f>+G10/E10</f>
        <v>8.7949260042283303E-2</v>
      </c>
      <c r="J10" s="211"/>
      <c r="K10" s="212">
        <f>(+I10-E$27)*10000</f>
        <v>288.05260042283305</v>
      </c>
      <c r="L10" s="207"/>
      <c r="M10" s="211">
        <f>(I10*AA10)+((I10*(1-AA10))*(1-0.3))</f>
        <v>8.6630021141649041E-2</v>
      </c>
      <c r="N10" s="207"/>
      <c r="O10" s="213">
        <f>+G10/Z10</f>
        <v>1.0054137664346479</v>
      </c>
      <c r="P10" s="214"/>
      <c r="Q10" s="213">
        <f>(AF10+$E10-AG10)/AG10</f>
        <v>0</v>
      </c>
      <c r="R10" s="214"/>
      <c r="S10" s="213">
        <f>(AH10+$E10-AI10)/AI10</f>
        <v>0.10617848970251711</v>
      </c>
      <c r="T10" s="210"/>
      <c r="U10" s="215">
        <f>(AJ10+$E10-AK10)/AK10</f>
        <v>0.37010869565217386</v>
      </c>
      <c r="V10" s="216"/>
      <c r="W10" s="131"/>
      <c r="X10" s="150"/>
      <c r="Y10" s="327">
        <f>ROUND(G52,2)</f>
        <v>2.4900000000000002</v>
      </c>
      <c r="Z10" s="328">
        <f>+I52</f>
        <v>2.5860000000000007</v>
      </c>
      <c r="AA10" s="217">
        <v>0.95</v>
      </c>
      <c r="AB10" s="218"/>
      <c r="AC10" s="78"/>
      <c r="AD10" s="219">
        <v>36734</v>
      </c>
      <c r="AE10" s="220">
        <v>0.65</v>
      </c>
      <c r="AF10" s="221"/>
      <c r="AG10" s="208">
        <v>29.5625</v>
      </c>
      <c r="AH10" s="323">
        <v>0.65</v>
      </c>
      <c r="AI10" s="208">
        <v>27.3125</v>
      </c>
      <c r="AJ10" s="323">
        <f>0.65*3</f>
        <v>1.9500000000000002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3.4" thickBot="1" x14ac:dyDescent="0.45">
      <c r="A11" s="226" t="s">
        <v>37</v>
      </c>
      <c r="B11" s="227"/>
      <c r="C11" s="228" t="s">
        <v>38</v>
      </c>
      <c r="D11" s="227"/>
      <c r="E11" s="229">
        <f>[1]!EOT</f>
        <v>15.4375</v>
      </c>
      <c r="F11" s="230"/>
      <c r="G11" s="229">
        <f>[1]!'EOT,DIVIDEND'</f>
        <v>1.9</v>
      </c>
      <c r="H11" s="231"/>
      <c r="I11" s="232">
        <f>+G11/E11</f>
        <v>0.12307692307692307</v>
      </c>
      <c r="J11" s="232"/>
      <c r="K11" s="233">
        <f>(+I11-E$27)*10000</f>
        <v>639.32923076923078</v>
      </c>
      <c r="L11" s="228"/>
      <c r="M11" s="232">
        <f>(I11*AA11)+((I11*(1-AA11))*(1-0.3))</f>
        <v>0.12123076923076923</v>
      </c>
      <c r="N11" s="228"/>
      <c r="O11" s="234">
        <f>+G11/Z11</f>
        <v>3.0546623794212215</v>
      </c>
      <c r="P11" s="235"/>
      <c r="Q11" s="234">
        <f>(AF11+$E11-AG11)/AG11</f>
        <v>3.3472803347280332E-2</v>
      </c>
      <c r="R11" s="235"/>
      <c r="S11" s="234">
        <f>(AH11+$E11-AI11)/AI11</f>
        <v>0.12158590308370042</v>
      </c>
      <c r="T11" s="231"/>
      <c r="U11" s="236">
        <f>(AJ11+E11-AK11)/AK11</f>
        <v>0.29711538461538467</v>
      </c>
      <c r="V11" s="216"/>
      <c r="W11" s="131"/>
      <c r="X11" s="150"/>
      <c r="Y11" s="327">
        <f>S52</f>
        <v>0.51</v>
      </c>
      <c r="Z11" s="328">
        <f>U52</f>
        <v>0.622</v>
      </c>
      <c r="AA11" s="217">
        <v>0.95</v>
      </c>
      <c r="AB11" s="218"/>
      <c r="AD11" s="219">
        <v>36734</v>
      </c>
      <c r="AE11" s="220">
        <v>0.47499999999999998</v>
      </c>
      <c r="AF11" s="221"/>
      <c r="AG11" s="229">
        <v>14.9375</v>
      </c>
      <c r="AH11" s="323">
        <v>0.47499999999999998</v>
      </c>
      <c r="AI11" s="229">
        <v>14.1875</v>
      </c>
      <c r="AJ11" s="323">
        <f>0.475*3</f>
        <v>1.4249999999999998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2.8" x14ac:dyDescent="0.4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4" x14ac:dyDescent="0.4">
      <c r="A13" s="127" t="s">
        <v>72</v>
      </c>
      <c r="B13" s="78"/>
      <c r="C13" s="144" t="s">
        <v>39</v>
      </c>
      <c r="D13" s="78"/>
      <c r="E13" s="237">
        <f>[1]!APU</f>
        <v>18.625</v>
      </c>
      <c r="F13" s="238"/>
      <c r="G13" s="237">
        <f>[1]!'APU,DIVIDEND'</f>
        <v>2.2000000000000002</v>
      </c>
      <c r="H13" s="109"/>
      <c r="I13" s="179">
        <f>+G13/E13</f>
        <v>0.11812080536912753</v>
      </c>
      <c r="J13" s="179"/>
      <c r="K13" s="244">
        <f t="shared" ref="K13:K23" si="0">(+I13-E$27)*10000</f>
        <v>589.76805369127533</v>
      </c>
      <c r="L13" s="107"/>
      <c r="M13" s="179">
        <f t="shared" ref="M13:M23" si="1">(I13*AA13)+((I13*(1-AA13))*(1-0.3))</f>
        <v>0.10748993288590605</v>
      </c>
      <c r="N13" s="107"/>
      <c r="O13" s="166">
        <f>+G13/Y13</f>
        <v>4.6808510638297882</v>
      </c>
      <c r="P13" s="240"/>
      <c r="Q13" s="166">
        <f t="shared" ref="Q13:Q23" si="2">(AF13+$E13-AG13)/AG13</f>
        <v>-3.3444816053511705E-3</v>
      </c>
      <c r="R13" s="240"/>
      <c r="S13" s="166">
        <f t="shared" ref="S13:S23" si="3">(AH13+$E13-AI13)/AI13</f>
        <v>0.13629629629629633</v>
      </c>
      <c r="T13" s="109"/>
      <c r="U13" s="245">
        <f t="shared" ref="U13:U23" si="4">(AJ13+E13-AK13)/AK13</f>
        <v>0.36302521008403354</v>
      </c>
      <c r="V13" s="216"/>
      <c r="W13" s="131"/>
      <c r="X13" s="150"/>
      <c r="Y13" s="327">
        <v>0.47</v>
      </c>
      <c r="Z13" s="328">
        <v>1.03</v>
      </c>
      <c r="AA13" s="217">
        <v>0.7</v>
      </c>
      <c r="AB13" s="246"/>
      <c r="AC13" s="78"/>
      <c r="AD13" s="219">
        <v>36746</v>
      </c>
      <c r="AE13" s="220">
        <v>0.55000000000000004</v>
      </c>
      <c r="AF13" s="332"/>
      <c r="AG13" s="237">
        <v>18.6875</v>
      </c>
      <c r="AH13" s="323">
        <v>0.55000000000000004</v>
      </c>
      <c r="AI13" s="237">
        <v>16.875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2.8" x14ac:dyDescent="0.4">
      <c r="A14" s="127" t="s">
        <v>40</v>
      </c>
      <c r="B14" s="78"/>
      <c r="C14" s="144" t="s">
        <v>41</v>
      </c>
      <c r="D14" s="78"/>
      <c r="E14" s="237">
        <f>[1]!BPL</f>
        <v>28.25</v>
      </c>
      <c r="F14" s="238"/>
      <c r="G14" s="237">
        <f>[1]!'BPL,DIVIDEND'</f>
        <v>2.4</v>
      </c>
      <c r="H14" s="109"/>
      <c r="I14" s="179">
        <f t="shared" ref="I14:I20" si="5">+G14/E14</f>
        <v>8.4955752212389379E-2</v>
      </c>
      <c r="J14" s="179"/>
      <c r="K14" s="244">
        <f t="shared" si="0"/>
        <v>258.11752212389382</v>
      </c>
      <c r="L14" s="107"/>
      <c r="M14" s="179">
        <f t="shared" si="1"/>
        <v>7.8584070796460181E-2</v>
      </c>
      <c r="N14" s="107"/>
      <c r="O14" s="166">
        <f t="shared" ref="O14:O23" si="6">+G14/Z14</f>
        <v>0.91603053435114501</v>
      </c>
      <c r="P14" s="240"/>
      <c r="Q14" s="166">
        <f t="shared" si="2"/>
        <v>4.4444444444444444E-3</v>
      </c>
      <c r="R14" s="240"/>
      <c r="S14" s="166">
        <f t="shared" si="3"/>
        <v>7.5990675990676049E-2</v>
      </c>
      <c r="T14" s="109"/>
      <c r="U14" s="245">
        <f t="shared" si="4"/>
        <v>0.1557692307692308</v>
      </c>
      <c r="V14" s="216"/>
      <c r="W14" s="131"/>
      <c r="X14" s="150"/>
      <c r="Y14" s="327">
        <v>2.4</v>
      </c>
      <c r="Z14" s="328">
        <v>2.62</v>
      </c>
      <c r="AA14" s="217">
        <v>0.75</v>
      </c>
      <c r="AB14" s="218"/>
      <c r="AC14" s="78"/>
      <c r="AD14" s="219">
        <v>36740</v>
      </c>
      <c r="AE14" s="220">
        <v>0.6</v>
      </c>
      <c r="AF14" s="221"/>
      <c r="AG14" s="237">
        <v>28.125</v>
      </c>
      <c r="AH14" s="323">
        <v>0.6</v>
      </c>
      <c r="AI14" s="237">
        <v>26.8125</v>
      </c>
      <c r="AJ14" s="323">
        <f>0.6*3</f>
        <v>1.7999999999999998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2.8" x14ac:dyDescent="0.4">
      <c r="A15" s="127" t="s">
        <v>101</v>
      </c>
      <c r="B15" s="78"/>
      <c r="C15" s="144" t="s">
        <v>102</v>
      </c>
      <c r="D15" s="78"/>
      <c r="E15" s="237">
        <f>[1]!EPN</f>
        <v>25.9375</v>
      </c>
      <c r="F15" s="238"/>
      <c r="G15" s="237">
        <f>[1]!'EPN,DIVIDEND'</f>
        <v>2.15</v>
      </c>
      <c r="H15" s="109"/>
      <c r="I15" s="179">
        <f>+G15/E15</f>
        <v>8.2891566265060238E-2</v>
      </c>
      <c r="J15" s="179"/>
      <c r="K15" s="244">
        <f t="shared" si="0"/>
        <v>237.47566265060243</v>
      </c>
      <c r="L15" s="107"/>
      <c r="M15" s="179">
        <f>(I15*AA15)+((I15*(1-AA15))*(1-0.3))</f>
        <v>8.1896867469879508E-2</v>
      </c>
      <c r="N15" s="107"/>
      <c r="O15" s="166">
        <f>+G15/Z15</f>
        <v>12.647058823529409</v>
      </c>
      <c r="P15" s="240"/>
      <c r="Q15" s="166">
        <f>(AF15+$E15-AG15)/AG15</f>
        <v>1.9656019656019656E-2</v>
      </c>
      <c r="R15" s="240"/>
      <c r="S15" s="166">
        <f>(AH15+$E15-AI15)/AI15</f>
        <v>8.6153846153846206E-2</v>
      </c>
      <c r="T15" s="109"/>
      <c r="U15" s="245">
        <f>(AJ15+E15-AK15)/AK15</f>
        <v>0.44934210526315799</v>
      </c>
      <c r="V15" s="252"/>
      <c r="W15" s="131"/>
      <c r="X15" s="150"/>
      <c r="Y15" s="329">
        <v>0.1</v>
      </c>
      <c r="Z15" s="330">
        <v>0.17</v>
      </c>
      <c r="AA15" s="253">
        <v>0.96</v>
      </c>
      <c r="AB15" s="255"/>
      <c r="AC15" s="78"/>
      <c r="AD15" s="219">
        <v>36734</v>
      </c>
      <c r="AE15" s="250">
        <v>0.53749999999999998</v>
      </c>
      <c r="AF15" s="251"/>
      <c r="AG15" s="237">
        <v>25.4375</v>
      </c>
      <c r="AH15" s="324">
        <v>0.53749999999999998</v>
      </c>
      <c r="AI15" s="237">
        <v>24.375</v>
      </c>
      <c r="AJ15" s="324">
        <f>0.525+0.5375*2</f>
        <v>1.6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4" x14ac:dyDescent="0.4">
      <c r="A16" s="127" t="s">
        <v>73</v>
      </c>
      <c r="B16" s="78"/>
      <c r="C16" s="144" t="s">
        <v>42</v>
      </c>
      <c r="D16" s="78"/>
      <c r="E16" s="237">
        <f>[1]!FGP</f>
        <v>15.25</v>
      </c>
      <c r="F16" s="238"/>
      <c r="G16" s="237">
        <f>[1]!'FGP,DIVIDEND'</f>
        <v>2</v>
      </c>
      <c r="H16" s="109"/>
      <c r="I16" s="179">
        <f>+G16/E16</f>
        <v>0.13114754098360656</v>
      </c>
      <c r="J16" s="179"/>
      <c r="K16" s="244">
        <f t="shared" si="0"/>
        <v>720.03540983606558</v>
      </c>
      <c r="L16" s="107"/>
      <c r="M16" s="179">
        <f t="shared" si="1"/>
        <v>0.13036065573770494</v>
      </c>
      <c r="N16" s="107"/>
      <c r="O16" s="166">
        <f t="shared" si="6"/>
        <v>5.4054054054054053</v>
      </c>
      <c r="P16" s="249"/>
      <c r="Q16" s="166">
        <f t="shared" si="2"/>
        <v>4.11522633744856E-3</v>
      </c>
      <c r="R16" s="249"/>
      <c r="S16" s="166">
        <f t="shared" si="3"/>
        <v>0.15596330275229359</v>
      </c>
      <c r="T16" s="109"/>
      <c r="U16" s="245">
        <f t="shared" si="4"/>
        <v>0.32673267326732675</v>
      </c>
      <c r="V16" s="216"/>
      <c r="W16" s="131"/>
      <c r="X16" s="150"/>
      <c r="Y16" s="327">
        <v>-0.31</v>
      </c>
      <c r="Z16" s="328">
        <v>0.37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15.1875</v>
      </c>
      <c r="AH16" s="323">
        <v>0.5</v>
      </c>
      <c r="AI16" s="237">
        <v>13.625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2.8" x14ac:dyDescent="0.4">
      <c r="A17" s="127" t="s">
        <v>112</v>
      </c>
      <c r="B17" s="78"/>
      <c r="C17" s="144" t="s">
        <v>43</v>
      </c>
      <c r="D17" s="78"/>
      <c r="E17" s="237">
        <f>[1]!GEL</f>
        <v>6.625</v>
      </c>
      <c r="F17" s="238"/>
      <c r="G17" s="237">
        <f>[1]!'GEL,DIVIDEND'</f>
        <v>2</v>
      </c>
      <c r="H17" s="331" t="s">
        <v>116</v>
      </c>
      <c r="I17" s="179">
        <f>+G17/E17</f>
        <v>0.30188679245283018</v>
      </c>
      <c r="J17" s="179"/>
      <c r="K17" s="244">
        <f t="shared" si="0"/>
        <v>2427.4279245283019</v>
      </c>
      <c r="L17" s="107"/>
      <c r="M17" s="179">
        <f t="shared" si="1"/>
        <v>0.30188679245283018</v>
      </c>
      <c r="N17" s="107"/>
      <c r="O17" s="166">
        <f t="shared" si="6"/>
        <v>20</v>
      </c>
      <c r="P17" s="240"/>
      <c r="Q17" s="166">
        <f t="shared" si="2"/>
        <v>-9.3457943925233638E-3</v>
      </c>
      <c r="R17" s="240"/>
      <c r="S17" s="166">
        <f t="shared" si="3"/>
        <v>3.6363636363636362E-2</v>
      </c>
      <c r="T17" s="109"/>
      <c r="U17" s="245">
        <f t="shared" si="4"/>
        <v>7.7519379844961239E-3</v>
      </c>
      <c r="V17" s="216"/>
      <c r="W17" s="131"/>
      <c r="X17" s="150"/>
      <c r="Y17" s="327">
        <v>0</v>
      </c>
      <c r="Z17" s="328">
        <v>0.1</v>
      </c>
      <c r="AA17" s="217">
        <v>1</v>
      </c>
      <c r="AB17" s="218"/>
      <c r="AC17" s="78"/>
      <c r="AD17" s="219">
        <v>36734</v>
      </c>
      <c r="AE17" s="250">
        <v>0.5</v>
      </c>
      <c r="AF17" s="251"/>
      <c r="AG17" s="237">
        <v>6.6875</v>
      </c>
      <c r="AH17" s="324">
        <v>0.5</v>
      </c>
      <c r="AI17" s="237">
        <v>6.875</v>
      </c>
      <c r="AJ17" s="324">
        <f>0.5*3</f>
        <v>1.5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2.8" x14ac:dyDescent="0.4">
      <c r="A18" s="127" t="s">
        <v>44</v>
      </c>
      <c r="B18" s="78"/>
      <c r="C18" s="144" t="s">
        <v>45</v>
      </c>
      <c r="D18" s="78"/>
      <c r="E18" s="237">
        <f>[1]!KPP</f>
        <v>27.8125</v>
      </c>
      <c r="F18" s="238"/>
      <c r="G18" s="237">
        <f>[1]!'KPP,DIVIDEND'</f>
        <v>2.8</v>
      </c>
      <c r="H18" s="109"/>
      <c r="I18" s="179">
        <f t="shared" si="5"/>
        <v>0.10067415730337079</v>
      </c>
      <c r="J18" s="179"/>
      <c r="K18" s="244">
        <f t="shared" si="0"/>
        <v>415.30157303370794</v>
      </c>
      <c r="L18" s="107"/>
      <c r="M18" s="179">
        <f t="shared" si="1"/>
        <v>9.4633707865168532E-2</v>
      </c>
      <c r="N18" s="107"/>
      <c r="O18" s="166">
        <f t="shared" si="6"/>
        <v>0.9859154929577465</v>
      </c>
      <c r="P18" s="240"/>
      <c r="Q18" s="166">
        <f t="shared" si="2"/>
        <v>-6.6964285714285711E-3</v>
      </c>
      <c r="R18" s="240"/>
      <c r="S18" s="166">
        <f t="shared" si="3"/>
        <v>0.16974358974358972</v>
      </c>
      <c r="T18" s="109"/>
      <c r="U18" s="245">
        <f t="shared" si="4"/>
        <v>0.21164556962025322</v>
      </c>
      <c r="V18" s="252"/>
      <c r="W18" s="131"/>
      <c r="X18" s="150"/>
      <c r="Y18" s="327">
        <v>2.56</v>
      </c>
      <c r="Z18" s="328">
        <v>2.84</v>
      </c>
      <c r="AA18" s="217">
        <v>0.8</v>
      </c>
      <c r="AB18" s="218"/>
      <c r="AC18" s="78"/>
      <c r="AD18" s="219">
        <v>36734</v>
      </c>
      <c r="AE18" s="250">
        <v>0.7</v>
      </c>
      <c r="AF18" s="251"/>
      <c r="AG18" s="237">
        <v>28</v>
      </c>
      <c r="AH18" s="324">
        <v>0.7</v>
      </c>
      <c r="AI18" s="237">
        <v>24.375</v>
      </c>
      <c r="AJ18" s="324">
        <f>0.7*3</f>
        <v>2.0999999999999996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4" x14ac:dyDescent="0.4">
      <c r="A19" s="127" t="s">
        <v>46</v>
      </c>
      <c r="B19" s="78"/>
      <c r="C19" s="144" t="s">
        <v>104</v>
      </c>
      <c r="D19" s="78"/>
      <c r="E19" s="237">
        <f>[1]!KMP</f>
        <v>45.3125</v>
      </c>
      <c r="F19" s="238"/>
      <c r="G19" s="237">
        <f>[1]!'KMP,DIVIDEND'</f>
        <v>3.4</v>
      </c>
      <c r="H19" s="321"/>
      <c r="I19" s="179">
        <f>+G19/E19</f>
        <v>7.5034482758620694E-2</v>
      </c>
      <c r="J19" s="179"/>
      <c r="K19" s="244">
        <f t="shared" si="0"/>
        <v>158.90482758620698</v>
      </c>
      <c r="L19" s="107"/>
      <c r="M19" s="179">
        <f t="shared" si="1"/>
        <v>7.278344827586207E-2</v>
      </c>
      <c r="N19" s="107"/>
      <c r="O19" s="166">
        <f t="shared" si="6"/>
        <v>1.1525423728813557</v>
      </c>
      <c r="P19" s="240"/>
      <c r="Q19" s="166">
        <f t="shared" si="2"/>
        <v>2.9829545454545456E-2</v>
      </c>
      <c r="R19" s="240"/>
      <c r="S19" s="166">
        <f t="shared" si="3"/>
        <v>0.15586854460093899</v>
      </c>
      <c r="T19" s="109"/>
      <c r="U19" s="245">
        <f t="shared" si="4"/>
        <v>0.15022624434389142</v>
      </c>
      <c r="V19" s="252"/>
      <c r="W19" s="131"/>
      <c r="X19" s="150"/>
      <c r="Y19" s="329">
        <v>2.67</v>
      </c>
      <c r="Z19" s="330">
        <v>2.95</v>
      </c>
      <c r="AA19" s="253">
        <v>0.9</v>
      </c>
      <c r="AB19" s="254"/>
      <c r="AC19" s="78"/>
      <c r="AD19" s="219">
        <v>36734</v>
      </c>
      <c r="AE19" s="220">
        <v>0.85</v>
      </c>
      <c r="AF19" s="221"/>
      <c r="AG19" s="237">
        <v>44</v>
      </c>
      <c r="AH19" s="323">
        <v>0.85</v>
      </c>
      <c r="AI19" s="237">
        <v>39.9375</v>
      </c>
      <c r="AJ19" s="323">
        <f>0.725+0.775+0.85</f>
        <v>2.35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2.8" x14ac:dyDescent="0.4">
      <c r="A20" s="127" t="s">
        <v>47</v>
      </c>
      <c r="B20" s="78"/>
      <c r="C20" s="144" t="s">
        <v>48</v>
      </c>
      <c r="D20" s="78"/>
      <c r="E20" s="237">
        <f>[1]!LHP</f>
        <v>41.4375</v>
      </c>
      <c r="F20" s="238"/>
      <c r="G20" s="237">
        <f>[1]!'LHP,DIVIDEND'</f>
        <v>3.5</v>
      </c>
      <c r="H20" s="109"/>
      <c r="I20" s="179">
        <f t="shared" si="5"/>
        <v>8.4464555052790352E-2</v>
      </c>
      <c r="J20" s="179"/>
      <c r="K20" s="244">
        <f t="shared" si="0"/>
        <v>253.20555052790357</v>
      </c>
      <c r="L20" s="107"/>
      <c r="M20" s="179">
        <f t="shared" si="1"/>
        <v>8.3197586726998507E-2</v>
      </c>
      <c r="N20" s="107"/>
      <c r="O20" s="166">
        <f t="shared" si="6"/>
        <v>1.3011152416356877</v>
      </c>
      <c r="P20" s="240"/>
      <c r="Q20" s="166">
        <f t="shared" si="2"/>
        <v>7.5987841945288756E-3</v>
      </c>
      <c r="R20" s="240"/>
      <c r="S20" s="166">
        <f t="shared" si="3"/>
        <v>5.6162246489859596E-2</v>
      </c>
      <c r="T20" s="109"/>
      <c r="U20" s="245">
        <f t="shared" si="4"/>
        <v>0.26570915619389585</v>
      </c>
      <c r="V20" s="252"/>
      <c r="W20" s="131"/>
      <c r="X20" s="150"/>
      <c r="Y20" s="329">
        <v>2.23</v>
      </c>
      <c r="Z20" s="330">
        <v>2.69</v>
      </c>
      <c r="AA20" s="253">
        <v>0.95</v>
      </c>
      <c r="AB20" s="255"/>
      <c r="AC20" s="78"/>
      <c r="AD20" s="219">
        <v>36734</v>
      </c>
      <c r="AE20" s="220">
        <v>0.875</v>
      </c>
      <c r="AF20" s="221"/>
      <c r="AG20" s="237">
        <v>41.125</v>
      </c>
      <c r="AH20" s="323">
        <v>0.875</v>
      </c>
      <c r="AI20" s="237">
        <v>40.0625</v>
      </c>
      <c r="AJ20" s="323">
        <f>0.875*3</f>
        <v>2.625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4" x14ac:dyDescent="0.4">
      <c r="A21" s="127" t="s">
        <v>84</v>
      </c>
      <c r="B21" s="78"/>
      <c r="C21" s="144" t="s">
        <v>86</v>
      </c>
      <c r="D21" s="78"/>
      <c r="E21" s="237">
        <f>[1]!PAA</f>
        <v>19.25</v>
      </c>
      <c r="F21" s="238"/>
      <c r="G21" s="237">
        <f>[1]!'PAA,DIVIDEND'</f>
        <v>1.85</v>
      </c>
      <c r="H21" s="321"/>
      <c r="I21" s="179">
        <f>+G21/E21</f>
        <v>9.6103896103896108E-2</v>
      </c>
      <c r="J21" s="179"/>
      <c r="K21" s="244">
        <f t="shared" si="0"/>
        <v>369.59896103896114</v>
      </c>
      <c r="L21" s="107"/>
      <c r="M21" s="179">
        <f>(I21*AA21)+((I21*(1-AA21))*(1-0.3))</f>
        <v>8.7454545454545451E-2</v>
      </c>
      <c r="N21" s="107"/>
      <c r="O21" s="166">
        <f>+G21/Z21</f>
        <v>1.1144578313253013</v>
      </c>
      <c r="P21" s="240"/>
      <c r="Q21" s="166">
        <f>(AF21+$E21-AG21)/AG21</f>
        <v>9.8360655737704927E-3</v>
      </c>
      <c r="R21" s="240"/>
      <c r="S21" s="166">
        <f>(AH21+$E21-AI21)/AI21</f>
        <v>5.8416107382550389E-2</v>
      </c>
      <c r="T21" s="109"/>
      <c r="U21" s="245">
        <f>(AJ21+E21-AK21)/AK21</f>
        <v>0.58561538461538454</v>
      </c>
      <c r="V21" s="252"/>
      <c r="W21" s="131"/>
      <c r="X21" s="150"/>
      <c r="Y21" s="329">
        <v>1.45</v>
      </c>
      <c r="Z21" s="330">
        <v>1.66</v>
      </c>
      <c r="AA21" s="253">
        <v>0.7</v>
      </c>
      <c r="AB21" s="255"/>
      <c r="AC21" s="78"/>
      <c r="AD21" s="219">
        <v>36740</v>
      </c>
      <c r="AE21" s="250">
        <v>0.46250000000000002</v>
      </c>
      <c r="AF21" s="251"/>
      <c r="AG21" s="237">
        <v>19.0625</v>
      </c>
      <c r="AH21" s="324">
        <v>0.46300000000000002</v>
      </c>
      <c r="AI21" s="237">
        <v>18.625</v>
      </c>
      <c r="AJ21" s="324">
        <f>0.45*2+0.463</f>
        <v>1.363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2.8" x14ac:dyDescent="0.4">
      <c r="A22" s="127" t="s">
        <v>107</v>
      </c>
      <c r="B22" s="78"/>
      <c r="C22" s="144" t="s">
        <v>88</v>
      </c>
      <c r="D22" s="78"/>
      <c r="E22" s="237">
        <f>[1]!TCLPZ.O</f>
        <v>19.0625</v>
      </c>
      <c r="F22" s="238"/>
      <c r="G22" s="237">
        <f>[1]!'TCLPZ.O,DIVIDEND'</f>
        <v>1.8</v>
      </c>
      <c r="H22" s="109"/>
      <c r="I22" s="179">
        <f>+G22/E22</f>
        <v>9.4426229508196721E-2</v>
      </c>
      <c r="J22" s="179"/>
      <c r="K22" s="244">
        <f t="shared" si="0"/>
        <v>352.82229508196724</v>
      </c>
      <c r="L22" s="107"/>
      <c r="M22" s="179">
        <f>(I22*AA22)+((I22*(1-AA22))*(1-0.3))</f>
        <v>9.3009836065573767E-2</v>
      </c>
      <c r="N22" s="107"/>
      <c r="O22" s="166">
        <f>+G22/Z22</f>
        <v>0.92307692307692313</v>
      </c>
      <c r="P22" s="240"/>
      <c r="Q22" s="166">
        <f>(AF22+$E22-AG22)/AG22</f>
        <v>9.9337748344370865E-3</v>
      </c>
      <c r="R22" s="240"/>
      <c r="S22" s="166">
        <f>(AH22+$E22-AI22)/AI22</f>
        <v>0.18257575757575753</v>
      </c>
      <c r="T22" s="109"/>
      <c r="U22" s="245">
        <f>(AJ22+E22-AK22)/AK22</f>
        <v>0.43245614035087732</v>
      </c>
      <c r="V22" s="252"/>
      <c r="W22" s="131"/>
      <c r="X22" s="150"/>
      <c r="Y22" s="329">
        <v>1.9</v>
      </c>
      <c r="Z22" s="330">
        <v>1.95</v>
      </c>
      <c r="AA22" s="253">
        <v>0.95</v>
      </c>
      <c r="AB22" s="255"/>
      <c r="AC22" s="78"/>
      <c r="AD22" s="219">
        <v>36734</v>
      </c>
      <c r="AE22" s="250">
        <v>0.45</v>
      </c>
      <c r="AF22" s="251"/>
      <c r="AG22" s="317">
        <v>18.875</v>
      </c>
      <c r="AH22" s="324">
        <v>0.45</v>
      </c>
      <c r="AI22" s="317">
        <v>16.5</v>
      </c>
      <c r="AJ22" s="324">
        <f>0.45*3</f>
        <v>1.35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2.8" x14ac:dyDescent="0.4">
      <c r="A23" s="127" t="s">
        <v>49</v>
      </c>
      <c r="B23" s="78"/>
      <c r="C23" s="144" t="s">
        <v>50</v>
      </c>
      <c r="D23" s="78"/>
      <c r="E23" s="237">
        <f>[1]!TPP</f>
        <v>26.5625</v>
      </c>
      <c r="F23" s="238"/>
      <c r="G23" s="237">
        <f>[1]!'TPP,DIVIDEND'</f>
        <v>2</v>
      </c>
      <c r="H23" s="109"/>
      <c r="I23" s="179">
        <f>+G23/E23</f>
        <v>7.5294117647058817E-2</v>
      </c>
      <c r="J23" s="179"/>
      <c r="K23" s="244">
        <f t="shared" si="0"/>
        <v>161.50117647058821</v>
      </c>
      <c r="L23" s="107"/>
      <c r="M23" s="179">
        <f t="shared" si="1"/>
        <v>6.8517647058823516E-2</v>
      </c>
      <c r="N23" s="107"/>
      <c r="O23" s="166">
        <f t="shared" si="6"/>
        <v>0.94786729857819907</v>
      </c>
      <c r="P23" s="240"/>
      <c r="Q23" s="166">
        <f t="shared" si="2"/>
        <v>4.4226044226044224E-2</v>
      </c>
      <c r="R23" s="240"/>
      <c r="S23" s="166">
        <f t="shared" si="3"/>
        <v>0.13947368421052631</v>
      </c>
      <c r="T23" s="109"/>
      <c r="U23" s="245">
        <f t="shared" si="4"/>
        <v>0.45177993527508098</v>
      </c>
      <c r="V23" s="252"/>
      <c r="W23" s="131"/>
      <c r="X23" s="150"/>
      <c r="Y23" s="329">
        <v>1.97</v>
      </c>
      <c r="Z23" s="330">
        <v>2.11</v>
      </c>
      <c r="AA23" s="253">
        <v>0.7</v>
      </c>
      <c r="AB23" s="255"/>
      <c r="AC23" s="78"/>
      <c r="AD23" s="219">
        <v>36734</v>
      </c>
      <c r="AE23" s="250">
        <v>0.5</v>
      </c>
      <c r="AF23" s="251"/>
      <c r="AG23" s="237">
        <v>25.4375</v>
      </c>
      <c r="AH23" s="324">
        <v>0.5</v>
      </c>
      <c r="AI23" s="237">
        <v>23.75</v>
      </c>
      <c r="AJ23" s="324">
        <f>0.475+0.5+0.5</f>
        <v>1.4750000000000001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3.4" thickBot="1" x14ac:dyDescent="0.45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3.4" thickBot="1" x14ac:dyDescent="0.45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0.11318180869608611</v>
      </c>
      <c r="J25" s="272"/>
      <c r="K25" s="273">
        <f>(+I25-E$27)*10000</f>
        <v>540.3780869608612</v>
      </c>
      <c r="L25" s="268"/>
      <c r="M25" s="272">
        <f>AVERAGEA(M13:M23)</f>
        <v>0.10907409916270479</v>
      </c>
      <c r="N25" s="268"/>
      <c r="O25" s="274">
        <f>AVERAGEA(O13:O23)</f>
        <v>4.5522109988700867</v>
      </c>
      <c r="P25" s="275"/>
      <c r="Q25" s="274">
        <f>AVERAGEA(Q13:Q23)</f>
        <v>1.0023018195630517E-2</v>
      </c>
      <c r="R25" s="275"/>
      <c r="S25" s="274">
        <f>AVERAGEA(S13:S23)</f>
        <v>0.11390978977817921</v>
      </c>
      <c r="T25" s="271"/>
      <c r="U25" s="276">
        <f>AVERAGEA(U13:U23)</f>
        <v>0.30909578070614807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2.8" x14ac:dyDescent="0.4">
      <c r="A26" s="78"/>
      <c r="B26" s="78"/>
      <c r="C26" s="128"/>
      <c r="D26" s="78"/>
      <c r="E26" s="1">
        <f>PV(E27/2,(58-((+VALUE($AG$6+7)-VALUE($AR$27))/(365/2))),-$AK$27*100/2,-100,0)</f>
        <v>109.5917226371438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109.82177595516625</v>
      </c>
      <c r="AH26" s="313"/>
      <c r="AI26" s="1">
        <v>108.0112930169789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4">
      <c r="A27" s="127" t="s">
        <v>94</v>
      </c>
      <c r="B27" s="78"/>
      <c r="C27" s="128"/>
      <c r="D27" s="78"/>
      <c r="E27" s="286">
        <f>[1]!'US30YT=RR,RT YIELD 1'/100</f>
        <v>5.9143999999999995E-2</v>
      </c>
      <c r="F27" s="78"/>
      <c r="G27" s="285"/>
      <c r="H27" s="109"/>
      <c r="J27" s="286"/>
      <c r="K27" s="239"/>
      <c r="L27" s="107"/>
      <c r="M27" s="179">
        <f>(E27*AA27)+((E27*(1-AA27))*(1-0.3))</f>
        <v>4.1400799999999995E-2</v>
      </c>
      <c r="N27" s="107"/>
      <c r="O27" s="166"/>
      <c r="P27" s="240"/>
      <c r="Q27" s="166">
        <f>(AF26+$E26-AG26)/AG26</f>
        <v>-2.0947878143616908E-3</v>
      </c>
      <c r="R27" s="240"/>
      <c r="S27" s="166">
        <f>(AH26+$E26-AI26)/AI26</f>
        <v>1.4632077591335474E-2</v>
      </c>
      <c r="T27" s="109"/>
      <c r="U27" s="245">
        <f>(AJ26+E26-AK26)/AK26</f>
        <v>9.5917226371438027E-2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5.9020000000000003E-2</v>
      </c>
      <c r="AH27" s="289"/>
      <c r="AI27" s="286">
        <v>5.8981000000000006E-2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4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3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3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4" x14ac:dyDescent="0.4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4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4" x14ac:dyDescent="0.4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4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5">
      <c r="A35" s="85" t="s">
        <v>113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3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3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7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4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4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4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2.61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4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4">
      <c r="A43" s="95" t="s">
        <v>59</v>
      </c>
      <c r="B43" s="87"/>
      <c r="C43" s="87"/>
      <c r="D43" s="87"/>
      <c r="E43" s="96" t="s">
        <v>56</v>
      </c>
      <c r="F43" s="87"/>
      <c r="G43" s="97">
        <v>2.4500000000000002</v>
      </c>
      <c r="H43" s="87"/>
      <c r="I43" s="97">
        <v>2.5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4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4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4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2.62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4">
      <c r="A47" s="95" t="s">
        <v>67</v>
      </c>
      <c r="B47" s="87"/>
      <c r="C47" s="87"/>
      <c r="D47" s="87"/>
      <c r="E47" s="96" t="s">
        <v>117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4">
      <c r="A48" s="95" t="s">
        <v>61</v>
      </c>
      <c r="B48" s="87"/>
      <c r="C48" s="87"/>
      <c r="D48" s="87"/>
      <c r="E48" s="96" t="s">
        <v>62</v>
      </c>
      <c r="F48" s="87"/>
      <c r="G48" s="98">
        <v>2.4500000000000002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4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0.65</v>
      </c>
      <c r="T49" s="87"/>
      <c r="U49" s="97">
        <v>0.75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4">
      <c r="A50" s="105" t="s">
        <v>63</v>
      </c>
      <c r="B50" s="87"/>
      <c r="C50" s="87"/>
      <c r="D50" s="87"/>
      <c r="E50" s="96" t="s">
        <v>69</v>
      </c>
      <c r="F50" s="87"/>
      <c r="G50" s="97">
        <v>2.5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4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5">
      <c r="A52" s="105" t="s">
        <v>16</v>
      </c>
      <c r="B52" s="84"/>
      <c r="C52" s="107"/>
      <c r="D52" s="84"/>
      <c r="E52" s="84"/>
      <c r="F52" s="84"/>
      <c r="G52" s="108">
        <f>AVERAGEA(G40:G50)</f>
        <v>2.492</v>
      </c>
      <c r="H52" s="109"/>
      <c r="I52" s="108">
        <f>AVERAGEA(I40:I50)</f>
        <v>2.5860000000000007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0.51</v>
      </c>
      <c r="T52" s="111"/>
      <c r="U52" s="108">
        <f>AVERAGEA(U40:U50)</f>
        <v>0.622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3.4" thickTop="1" x14ac:dyDescent="0.4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2.8" x14ac:dyDescent="0.4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2.8" x14ac:dyDescent="0.4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2.8" x14ac:dyDescent="0.4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2.8" x14ac:dyDescent="0.4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2.8" x14ac:dyDescent="0.4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2.8" x14ac:dyDescent="0.4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2.8" x14ac:dyDescent="0.4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2.8" x14ac:dyDescent="0.4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2.8" x14ac:dyDescent="0.4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2.8" x14ac:dyDescent="0.4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2.8" x14ac:dyDescent="0.4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2.8" x14ac:dyDescent="0.4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2.8" x14ac:dyDescent="0.4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2.8" x14ac:dyDescent="0.4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2.8" x14ac:dyDescent="0.4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3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3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3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3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3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3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3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3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3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3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3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3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3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3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3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3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3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2000-09-22T20:34:50Z</cp:lastPrinted>
  <dcterms:created xsi:type="dcterms:W3CDTF">1997-07-25T21:20:20Z</dcterms:created>
  <dcterms:modified xsi:type="dcterms:W3CDTF">2023-09-10T15:34:53Z</dcterms:modified>
</cp:coreProperties>
</file>