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<sst xmlns="http://schemas.openxmlformats.org/spreadsheetml/2006/main" count="159" uniqueCount="119">
  <si>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</si>
  <si>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</si>
  <si>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</si>
  <si>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</si>
  <si>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</si>
  <si>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</si>
  <si>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</si>
  <si>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</si>
  <si>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</si>
  <si>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</si>
  <si>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</si>
  <si>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</si>
  <si>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</si>
  <si>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</si>
  <si>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</si>
  <si>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</si>
  <si>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</si>
  <si>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</si>
  <si>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</si>
  <si>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</si>
  <si>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</si>
  <si>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</si>
  <si>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</si>
  <si>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</si>
  <si>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</si>
  <si>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</si>
  <si>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</si>
  <si>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</si>
  <si>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</si>
  <si>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</si>
  <si>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</si>
  <si>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</si>
  <si>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</si>
  <si>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</si>
  <si>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</si>
  <si>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</si>
  <si>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</si>
  <si>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</si>
  <si>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</si>
  <si>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</si>
  <si>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</si>
  <si>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</si>
  <si>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</si>
  <si>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</si>
  <si>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</si>
  <si>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</si>
  <si>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</si>
  <si>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</si>
  <si>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</si>
  <si>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</si>
  <si>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</si>
  <si>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</si>
  <si>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</si>
  <si>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</si>
  <si>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</si>
  <si>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</si>
  <si>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</si>
  <si>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</si>
  <si>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</si>
  <si>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</si>
  <si>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</si>
  <si>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</si>
  <si>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</si>
  <si>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</si>
  <si>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</si>
  <si>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</si>
  <si>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</si>
  <si>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</si>
  <si>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</si>
  <si>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</si>
  <si>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</si>
  <si>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</si>
  <si>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</si>
  <si>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</si>
  <si>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</si>
  <si>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</si>
  <si>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</si>
  <si>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</si>
  <si>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</si>
  <si>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</si>
  <si>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</si>
  <si>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</si>
  <si>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</si>
  <si>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</si>
  <si>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</si>
  <si>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</si>
  <si>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</si>
  <si>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</si>
  <si>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</si>
  <si>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</si>
  <si>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</si>
  <si>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</si>
  <si>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</si>
  <si>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</si>
  <si>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</si>
  <si>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</si>
  <si>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</si>
  <si>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</si>
  <si>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</si>
  <si>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</si>
  <si>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</si>
  <si>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</si>
  <si>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</si>
  <si>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</si>
  <si>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</si>
  <si>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</si>
  <si>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</si>
  <si>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</si>
  <si>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</si>
  <si>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</si>
  <si>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</si>
  <si>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</si>
  <si>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</si>
  <si>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</si>
  <si>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</si>
  <si>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</si>
  <si>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</si>
  <si>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</si>
  <si>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9/29/00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</si>
</sst>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19.25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28.8125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15.0625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26.9375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47.1875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29.5625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41.9375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32.125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19.5625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19.375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5.8337000000000003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6" transitionEvaluation="1">
    <pageSetUpPr fitToPage="1"/>
  </sheetPr>
  <dimension ref="A1:BA124"/>
  <sheetViews>
    <sheetView showGridLines="0" tabSelected="1" topLeftCell="A6" zoomScale="50" workbookViewId="0">
      <pane xSplit="3" topLeftCell="D1" activePane="topRight" state="frozen"/>
      <selection pane="topRight" activeCell="O25" sqref="O25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36805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32.125</v>
      </c>
      <c r="F10" s="209"/>
      <c r="G10" s="208">
        <f>[1]!'NBP,DIVIDEND'</f>
        <v>2.8</v>
      </c>
      <c r="H10" s="210"/>
      <c r="I10" s="211">
        <f>+G10/E10</f>
        <v>8.7159533073929957E-2</v>
      </c>
      <c r="J10" s="211"/>
      <c r="K10" s="212">
        <f>(+I10-E$27)*10000</f>
        <v>288.22533073929958</v>
      </c>
      <c r="L10" s="207"/>
      <c r="M10" s="211">
        <f>(I10*AA10)+((I10*(1-AA10))*(1-0.3))</f>
        <v>8.5852140077821007E-2</v>
      </c>
      <c r="N10" s="207"/>
      <c r="O10" s="213">
        <f>+G10/Z10</f>
        <v>1.083172147001934</v>
      </c>
      <c r="P10" s="214"/>
      <c r="Q10" s="213">
        <f>(AF10+$E10-AG10)/AG10</f>
        <v>1.5810276679841896E-2</v>
      </c>
      <c r="R10" s="214"/>
      <c r="S10" s="213">
        <f>(AH10+$E10-AI10)/AI10</f>
        <v>1.5810276679841896E-2</v>
      </c>
      <c r="T10" s="210"/>
      <c r="U10" s="215">
        <f>(AJ10+$E10-AK10)/AK10</f>
        <v>0.48152173913043489</v>
      </c>
      <c r="V10" s="216"/>
      <c r="W10" s="131"/>
      <c r="X10" s="150"/>
      <c r="Y10" s="327">
        <f>ROUND(G52,2)</f>
        <v>2.4900000000000002</v>
      </c>
      <c r="Z10" s="328">
        <f>+I52</f>
        <v>2.5850000000000004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31.625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15.0625</v>
      </c>
      <c r="F11" s="230"/>
      <c r="G11" s="229">
        <f>[1]!'EOT,DIVIDEND'</f>
        <v>1.9</v>
      </c>
      <c r="H11" s="231"/>
      <c r="I11" s="232">
        <f>+G11/E11</f>
        <v>0.12614107883817427</v>
      </c>
      <c r="J11" s="232"/>
      <c r="K11" s="233">
        <f>(+I11-E$27)*10000</f>
        <v>678.04078838174269</v>
      </c>
      <c r="L11" s="228"/>
      <c r="M11" s="232">
        <f>(I11*AA11)+((I11*(1-AA11))*(1-0.3))</f>
        <v>0.12424896265560165</v>
      </c>
      <c r="N11" s="228"/>
      <c r="O11" s="234">
        <f>+G11/Z11</f>
        <v>3.2094594594594597</v>
      </c>
      <c r="P11" s="235"/>
      <c r="Q11" s="234">
        <f>(AF11+$E11-AG11)/AG11</f>
        <v>4.1666666666666666E-3</v>
      </c>
      <c r="R11" s="235"/>
      <c r="S11" s="234">
        <f>(AH11+$E11-AI11)/AI11</f>
        <v>4.1666666666666666E-3</v>
      </c>
      <c r="T11" s="231"/>
      <c r="U11" s="236">
        <f>(AJ11+E11-AK11)/AK11</f>
        <v>0.26826923076923082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19.25</v>
      </c>
      <c r="F13" s="238"/>
      <c r="G13" s="237">
        <f>[1]!'APU,DIVIDEND'</f>
        <v>2.2000000000000002</v>
      </c>
      <c r="H13" s="109"/>
      <c r="I13" s="179">
        <f>+G13/E13</f>
        <v>0.1142857142857143</v>
      </c>
      <c r="J13" s="179"/>
      <c r="K13" s="244">
        <f t="shared" ref="K13:K23" si="0">(+I13-E$27)*10000</f>
        <v>559.487142857143</v>
      </c>
      <c r="L13" s="107"/>
      <c r="M13" s="179">
        <f t="shared" ref="M13:M23" si="1">(I13*AA13)+((I13*(1-AA13))*(1-0.3))</f>
        <v>0.10400000000000001</v>
      </c>
      <c r="N13" s="107"/>
      <c r="O13" s="166">
        <f>+G13/Y13</f>
        <v>4.7826086956521738</v>
      </c>
      <c r="P13" s="240"/>
      <c r="Q13" s="166">
        <f t="shared" ref="Q13:Q23" si="2">(AF13+$E13-AG13)/AG13</f>
        <v>1.3157894736842105E-2</v>
      </c>
      <c r="R13" s="240"/>
      <c r="S13" s="166">
        <f t="shared" ref="S13:S23" si="3">(AH13+$E13-AI13)/AI13</f>
        <v>1.3157894736842105E-2</v>
      </c>
      <c r="T13" s="109"/>
      <c r="U13" s="245">
        <f t="shared" ref="U13:U23" si="4">(AJ13+E13-AK13)/AK13</f>
        <v>0.40504201680672258</v>
      </c>
      <c r="V13" s="216"/>
      <c r="W13" s="131"/>
      <c r="X13" s="150"/>
      <c r="Y13" s="327">
        <v>0.46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19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28.8125</v>
      </c>
      <c r="F14" s="238"/>
      <c r="G14" s="237">
        <f>[1]!'BPL,DIVIDEND'</f>
        <v>2.4</v>
      </c>
      <c r="H14" s="109"/>
      <c r="I14" s="179">
        <f t="shared" ref="I14:I20" si="5">+G14/E14</f>
        <v>8.3297180043383948E-2</v>
      </c>
      <c r="J14" s="179"/>
      <c r="K14" s="244">
        <f t="shared" si="0"/>
        <v>249.60180043383949</v>
      </c>
      <c r="L14" s="107"/>
      <c r="M14" s="179">
        <f t="shared" si="1"/>
        <v>7.7049891540130158E-2</v>
      </c>
      <c r="N14" s="107"/>
      <c r="O14" s="166">
        <f t="shared" ref="O14:O23" si="6">+G14/Z14</f>
        <v>0.91603053435114501</v>
      </c>
      <c r="P14" s="240"/>
      <c r="Q14" s="166">
        <f t="shared" si="2"/>
        <v>2.1739130434782609E-3</v>
      </c>
      <c r="R14" s="240"/>
      <c r="S14" s="166">
        <f t="shared" si="3"/>
        <v>2.1739130434782609E-3</v>
      </c>
      <c r="T14" s="109"/>
      <c r="U14" s="245">
        <f t="shared" si="4"/>
        <v>0.17740384615384619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28.75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26.9375</v>
      </c>
      <c r="F15" s="238"/>
      <c r="G15" s="237">
        <f>[1]!'EPN,DIVIDEND'</f>
        <v>2.15</v>
      </c>
      <c r="H15" s="109"/>
      <c r="I15" s="179">
        <f>+G15/E15</f>
        <v>7.9814385150812059E-2</v>
      </c>
      <c r="J15" s="179"/>
      <c r="K15" s="244">
        <f t="shared" si="0"/>
        <v>214.7738515081206</v>
      </c>
      <c r="L15" s="107"/>
      <c r="M15" s="179">
        <f>(I15*AA15)+((I15*(1-AA15))*(1-0.3))</f>
        <v>7.8856612529002307E-2</v>
      </c>
      <c r="N15" s="107"/>
      <c r="O15" s="166">
        <f>+G15/Z15</f>
        <v>12.647058823529409</v>
      </c>
      <c r="P15" s="240"/>
      <c r="Q15" s="166">
        <f>(AF15+$E15-AG15)/AG15</f>
        <v>7.0093457943925233E-3</v>
      </c>
      <c r="R15" s="240"/>
      <c r="S15" s="166">
        <f>(AH15+$E15-AI15)/AI15</f>
        <v>7.0093457943925233E-3</v>
      </c>
      <c r="T15" s="109"/>
      <c r="U15" s="245">
        <f>(AJ15+E15-AK15)/AK15</f>
        <v>0.50197368421052635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15.25</v>
      </c>
      <c r="F16" s="238"/>
      <c r="G16" s="237">
        <f>[1]!'FGP,DIVIDEND'</f>
        <v>2</v>
      </c>
      <c r="H16" s="109"/>
      <c r="I16" s="179">
        <f>+G16/E16</f>
        <v>0.13114754098360656</v>
      </c>
      <c r="J16" s="179"/>
      <c r="K16" s="244">
        <f t="shared" si="0"/>
        <v>728.10540983606563</v>
      </c>
      <c r="L16" s="107"/>
      <c r="M16" s="179">
        <f t="shared" si="1"/>
        <v>0.13036065573770494</v>
      </c>
      <c r="N16" s="107"/>
      <c r="O16" s="166">
        <f t="shared" si="6"/>
        <v>4.8780487804878048</v>
      </c>
      <c r="P16" s="249"/>
      <c r="Q16" s="166">
        <f t="shared" si="2"/>
        <v>-6.8702290076335881E-2</v>
      </c>
      <c r="R16" s="249"/>
      <c r="S16" s="166">
        <f t="shared" si="3"/>
        <v>-6.8702290076335881E-2</v>
      </c>
      <c r="T16" s="109"/>
      <c r="U16" s="245">
        <f t="shared" si="4"/>
        <v>0.32673267326732675</v>
      </c>
      <c r="V16" s="216"/>
      <c r="W16" s="131"/>
      <c r="X16" s="150"/>
      <c r="Y16" s="327">
        <v>0.41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16.375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112</v>
      </c>
      <c r="B17" s="78"/>
      <c r="C17" s="144" t="s">
        <v>43</v>
      </c>
      <c r="D17" s="78"/>
      <c r="E17" s="237">
        <f>[1]!GEL</f>
        <v>6.875</v>
      </c>
      <c r="F17" s="238"/>
      <c r="G17" s="237">
        <f>[1]!'GEL,DIVIDEND'</f>
        <v>2</v>
      </c>
      <c r="H17" s="331" t="s">
        <v>116</v>
      </c>
      <c r="I17" s="179">
        <f>+G17/E17</f>
        <v>0.29090909090909089</v>
      </c>
      <c r="J17" s="179"/>
      <c r="K17" s="244">
        <f t="shared" si="0"/>
        <v>2325.7209090909091</v>
      </c>
      <c r="L17" s="107"/>
      <c r="M17" s="179">
        <f t="shared" si="1"/>
        <v>0.29090909090909089</v>
      </c>
      <c r="N17" s="107"/>
      <c r="O17" s="166">
        <f t="shared" si="6"/>
        <v>20</v>
      </c>
      <c r="P17" s="240"/>
      <c r="Q17" s="166">
        <f t="shared" si="2"/>
        <v>9.1743119266055051E-3</v>
      </c>
      <c r="R17" s="240"/>
      <c r="S17" s="166">
        <f t="shared" si="3"/>
        <v>9.1743119266055051E-3</v>
      </c>
      <c r="T17" s="109"/>
      <c r="U17" s="245">
        <f t="shared" si="4"/>
        <v>3.875968992248062E-2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6.8125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29.5625</v>
      </c>
      <c r="F18" s="238"/>
      <c r="G18" s="237">
        <f>[1]!'KPP,DIVIDEND'</f>
        <v>2.8</v>
      </c>
      <c r="H18" s="109"/>
      <c r="I18" s="179">
        <f t="shared" si="5"/>
        <v>9.4714587737843539E-2</v>
      </c>
      <c r="J18" s="179"/>
      <c r="K18" s="244">
        <f t="shared" si="0"/>
        <v>363.77587737843538</v>
      </c>
      <c r="L18" s="107"/>
      <c r="M18" s="179">
        <f t="shared" si="1"/>
        <v>8.903171247357293E-2</v>
      </c>
      <c r="N18" s="107"/>
      <c r="O18" s="166">
        <f t="shared" si="6"/>
        <v>0.98939929328621901</v>
      </c>
      <c r="P18" s="240"/>
      <c r="Q18" s="166">
        <f t="shared" si="2"/>
        <v>0</v>
      </c>
      <c r="R18" s="240"/>
      <c r="S18" s="166">
        <f t="shared" si="3"/>
        <v>0</v>
      </c>
      <c r="T18" s="109"/>
      <c r="U18" s="245">
        <f t="shared" si="4"/>
        <v>0.28253164556962029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29.5625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104</v>
      </c>
      <c r="D19" s="78"/>
      <c r="E19" s="237">
        <f>[1]!KMP</f>
        <v>47.1875</v>
      </c>
      <c r="F19" s="238"/>
      <c r="G19" s="237">
        <f>[1]!'KMP,DIVIDEND'</f>
        <v>3.4</v>
      </c>
      <c r="H19" s="321"/>
      <c r="I19" s="179">
        <f>+G19/E19</f>
        <v>7.2052980132450331E-2</v>
      </c>
      <c r="J19" s="179"/>
      <c r="K19" s="244">
        <f t="shared" si="0"/>
        <v>137.15980132450332</v>
      </c>
      <c r="L19" s="107"/>
      <c r="M19" s="179">
        <f t="shared" si="1"/>
        <v>6.9891390728476818E-2</v>
      </c>
      <c r="N19" s="107"/>
      <c r="O19" s="166">
        <f t="shared" si="6"/>
        <v>1.1525423728813557</v>
      </c>
      <c r="P19" s="240"/>
      <c r="Q19" s="166">
        <f t="shared" si="2"/>
        <v>-3.9577836411609502E-3</v>
      </c>
      <c r="R19" s="240"/>
      <c r="S19" s="166">
        <f t="shared" si="3"/>
        <v>-3.9577836411609502E-3</v>
      </c>
      <c r="T19" s="109"/>
      <c r="U19" s="245">
        <f t="shared" si="4"/>
        <v>0.19547511312217197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47.375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41.9375</v>
      </c>
      <c r="F20" s="238"/>
      <c r="G20" s="237">
        <f>[1]!'LHP,DIVIDEND'</f>
        <v>3.5</v>
      </c>
      <c r="H20" s="109"/>
      <c r="I20" s="179">
        <f t="shared" si="5"/>
        <v>8.3457526080476907E-2</v>
      </c>
      <c r="J20" s="179"/>
      <c r="K20" s="244">
        <f t="shared" si="0"/>
        <v>251.20526080476907</v>
      </c>
      <c r="L20" s="107"/>
      <c r="M20" s="179">
        <f t="shared" si="1"/>
        <v>8.2205663189269751E-2</v>
      </c>
      <c r="N20" s="107"/>
      <c r="O20" s="166">
        <f t="shared" si="6"/>
        <v>1.3059701492537312</v>
      </c>
      <c r="P20" s="240"/>
      <c r="Q20" s="166">
        <f t="shared" si="2"/>
        <v>1.0542168674698794E-2</v>
      </c>
      <c r="R20" s="240"/>
      <c r="S20" s="166">
        <f t="shared" si="3"/>
        <v>1.0542168674698794E-2</v>
      </c>
      <c r="T20" s="109"/>
      <c r="U20" s="245">
        <f t="shared" si="4"/>
        <v>0.28007181328545783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19.5625</v>
      </c>
      <c r="F21" s="238"/>
      <c r="G21" s="237">
        <f>[1]!'PAA,DIVIDEND'</f>
        <v>1.85</v>
      </c>
      <c r="H21" s="321"/>
      <c r="I21" s="179">
        <f>+G21/E21</f>
        <v>9.4568690095846647E-2</v>
      </c>
      <c r="J21" s="179"/>
      <c r="K21" s="244">
        <f t="shared" si="0"/>
        <v>362.31690095846648</v>
      </c>
      <c r="L21" s="107"/>
      <c r="M21" s="179">
        <f>(I21*AA21)+((I21*(1-AA21))*(1-0.3))</f>
        <v>8.6057507987220436E-2</v>
      </c>
      <c r="N21" s="107"/>
      <c r="O21" s="166">
        <f>+G21/Z21</f>
        <v>1.1011904761904763</v>
      </c>
      <c r="P21" s="240"/>
      <c r="Q21" s="166">
        <f>(AF21+$E21-AG21)/AG21</f>
        <v>9.6774193548387101E-3</v>
      </c>
      <c r="R21" s="240"/>
      <c r="S21" s="166">
        <f>(AH21+$E21-AI21)/AI21</f>
        <v>9.6774193548387101E-3</v>
      </c>
      <c r="T21" s="109"/>
      <c r="U21" s="245">
        <f>(AJ21+E21-AK21)/AK21</f>
        <v>0.6096538461538461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19.375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107</v>
      </c>
      <c r="B22" s="78"/>
      <c r="C22" s="144" t="s">
        <v>88</v>
      </c>
      <c r="D22" s="78"/>
      <c r="E22" s="237">
        <f>[1]!TCLPZ.O</f>
        <v>19.375</v>
      </c>
      <c r="F22" s="238"/>
      <c r="G22" s="237">
        <f>[1]!'TCLPZ.O,DIVIDEND'</f>
        <v>1.8</v>
      </c>
      <c r="H22" s="109"/>
      <c r="I22" s="179">
        <f>+G22/E22</f>
        <v>9.290322580645162E-2</v>
      </c>
      <c r="J22" s="179"/>
      <c r="K22" s="244">
        <f t="shared" si="0"/>
        <v>345.66225806451621</v>
      </c>
      <c r="L22" s="107"/>
      <c r="M22" s="179">
        <f>(I22*AA22)+((I22*(1-AA22))*(1-0.3))</f>
        <v>9.1509677419354854E-2</v>
      </c>
      <c r="N22" s="107"/>
      <c r="O22" s="166">
        <f>+G22/Z22</f>
        <v>0.92307692307692313</v>
      </c>
      <c r="P22" s="240"/>
      <c r="Q22" s="166">
        <f>(AF22+$E22-AG22)/AG22</f>
        <v>-1.2738853503184714E-2</v>
      </c>
      <c r="R22" s="240"/>
      <c r="S22" s="166">
        <f>(AH22+$E22-AI22)/AI22</f>
        <v>-1.2738853503184714E-2</v>
      </c>
      <c r="T22" s="109"/>
      <c r="U22" s="245">
        <f>(AJ22+E22-AK22)/AK22</f>
        <v>0.45438596491228078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19.625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25.625</v>
      </c>
      <c r="F23" s="238"/>
      <c r="G23" s="237">
        <f>[1]!'TPP,DIVIDEND'</f>
        <v>2</v>
      </c>
      <c r="H23" s="109"/>
      <c r="I23" s="179">
        <f>+G23/E23</f>
        <v>7.8048780487804878E-2</v>
      </c>
      <c r="J23" s="179"/>
      <c r="K23" s="244">
        <f t="shared" si="0"/>
        <v>197.11780487804879</v>
      </c>
      <c r="L23" s="107"/>
      <c r="M23" s="179">
        <f t="shared" si="1"/>
        <v>7.1024390243902447E-2</v>
      </c>
      <c r="N23" s="107"/>
      <c r="O23" s="166">
        <f t="shared" si="6"/>
        <v>0.94339622641509424</v>
      </c>
      <c r="P23" s="240"/>
      <c r="Q23" s="166">
        <f t="shared" si="2"/>
        <v>-3.5294117647058823E-2</v>
      </c>
      <c r="R23" s="240"/>
      <c r="S23" s="166">
        <f t="shared" si="3"/>
        <v>-3.5294117647058823E-2</v>
      </c>
      <c r="T23" s="109"/>
      <c r="U23" s="245">
        <f t="shared" si="4"/>
        <v>0.40323624595469265</v>
      </c>
      <c r="V23" s="252"/>
      <c r="W23" s="131"/>
      <c r="X23" s="150"/>
      <c r="Y23" s="329">
        <v>1.97</v>
      </c>
      <c r="Z23" s="330">
        <v>2.12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26.5625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0.11047270015577108</v>
      </c>
      <c r="J25" s="272"/>
      <c r="K25" s="273">
        <f>(+I25-E$27)*10000</f>
        <v>521.35700155771087</v>
      </c>
      <c r="L25" s="268"/>
      <c r="M25" s="272">
        <f>AVERAGEA(M13:M23)</f>
        <v>0.10644514479615687</v>
      </c>
      <c r="N25" s="268"/>
      <c r="O25" s="274">
        <f>AVERAGEA(O13:O23)</f>
        <v>4.512665661374939</v>
      </c>
      <c r="P25" s="275"/>
      <c r="Q25" s="274">
        <f>AVERAGEA(Q13:Q23)</f>
        <v>-6.2689083033531327E-3</v>
      </c>
      <c r="R25" s="275"/>
      <c r="S25" s="274">
        <f>AVERAGEA(S13:S23)</f>
        <v>-6.2689083033531327E-3</v>
      </c>
      <c r="T25" s="271"/>
      <c r="U25" s="276">
        <f>AVERAGEA(U13:U23)</f>
        <v>0.33411513994172476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111.10636168571475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110.07520094025907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5.8337E-2</v>
      </c>
      <c r="F27" s="78"/>
      <c r="G27" s="285"/>
      <c r="H27" s="109"/>
      <c r="J27" s="286"/>
      <c r="K27" s="239"/>
      <c r="L27" s="107"/>
      <c r="M27" s="179">
        <f>(E27*AA27)+((E27*(1-AA27))*(1-0.3))</f>
        <v>4.0835899999999994E-2</v>
      </c>
      <c r="N27" s="107"/>
      <c r="O27" s="166"/>
      <c r="P27" s="240"/>
      <c r="Q27" s="166">
        <f>(AF26+$E26-AG26)/AG26</f>
        <v>9.3677843569444814E-3</v>
      </c>
      <c r="R27" s="240"/>
      <c r="S27" s="166">
        <f>(AH26+$E26-AI26)/AI26</f>
        <v>9.3677843569444814E-3</v>
      </c>
      <c r="T27" s="109"/>
      <c r="U27" s="245">
        <f>(AJ26+E26-AK26)/AK26</f>
        <v>0.11106361685714745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5.8883999999999999E-2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2.4939999999999998</v>
      </c>
      <c r="H52" s="109"/>
      <c r="I52" s="108">
        <f>AVERAGEA(I40:I50)</f>
        <v>2.5850000000000004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2000-09-29T22:36:39Z</cp:lastPrinted>
  <dcterms:created xsi:type="dcterms:W3CDTF">1997-07-25T21:20:20Z</dcterms:created>
  <dcterms:modified xsi:type="dcterms:W3CDTF">2023-09-10T15:34:55Z</dcterms:modified>
</cp:coreProperties>
</file>