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<sst xmlns="http://schemas.openxmlformats.org/spreadsheetml/2006/main" count="204" uniqueCount="121">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</sst>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1768.96</val>
          </value>
        </values>
      </ddeItem>
      <ddeItem name=".SPX,LAST,1" advise="1">
        <values>
          <value>
            <val>1104.6099999999999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14.64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38.5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38.450000000000003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15.4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49.96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20.86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27.45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17.55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15.8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52" bestFit="1" customWidth="1"/>
    <col min="2" max="2" width="8.90625" style="253"/>
    <col min="3" max="3" width="2" style="252" customWidth="1"/>
    <col min="4" max="4" width="7.81640625" style="252" customWidth="1"/>
    <col min="5" max="5" width="1.453125" style="252" customWidth="1"/>
    <col min="6" max="6" width="7.1796875" style="252" customWidth="1"/>
    <col min="7" max="7" width="1.453125" style="252" customWidth="1"/>
    <col min="8" max="16384" width="8.90625" style="252"/>
  </cols>
  <sheetData>
    <row r="1" spans="1:8" ht="18.75" customHeight="1" x14ac:dyDescent="0.3">
      <c r="A1" s="252" t="s">
        <v>70</v>
      </c>
      <c r="H1" s="254" t="str">
        <f>+ENRON!AS1</f>
        <v>Friday</v>
      </c>
    </row>
    <row r="2" spans="1:8" ht="18" customHeight="1" x14ac:dyDescent="0.3">
      <c r="A2" s="255" t="s">
        <v>18</v>
      </c>
      <c r="H2" s="256">
        <f>+ENRON!AS2</f>
        <v>37190</v>
      </c>
    </row>
    <row r="3" spans="1:8" ht="16.2" thickBot="1" x14ac:dyDescent="0.35"/>
    <row r="4" spans="1:8" ht="16.2" thickBot="1" x14ac:dyDescent="0.35">
      <c r="B4" s="257">
        <v>2002</v>
      </c>
      <c r="D4" s="297" t="s">
        <v>71</v>
      </c>
      <c r="E4" s="298"/>
      <c r="F4" s="298"/>
      <c r="G4" s="298"/>
      <c r="H4" s="299"/>
    </row>
    <row r="5" spans="1:8" ht="31.8" thickBot="1" x14ac:dyDescent="0.35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3">
      <c r="A6" s="252" t="s">
        <v>72</v>
      </c>
      <c r="B6" s="264">
        <f>ENRON!AG7</f>
        <v>7.2206303724928373</v>
      </c>
      <c r="D6" s="265">
        <f>ENRON!AM7</f>
        <v>-0.40882917466410751</v>
      </c>
      <c r="E6" s="266"/>
      <c r="F6" s="267">
        <f>ENRON!AO7</f>
        <v>-0.43444730077120824</v>
      </c>
      <c r="G6" s="266"/>
      <c r="H6" s="268">
        <f>ENRON!AQ7</f>
        <v>-0.8102255639097744</v>
      </c>
    </row>
    <row r="7" spans="1:8" x14ac:dyDescent="0.3">
      <c r="A7" s="252" t="s">
        <v>73</v>
      </c>
      <c r="B7" s="269">
        <f>ENRON!AG9</f>
        <v>21.423778122575637</v>
      </c>
      <c r="D7" s="270">
        <f>ENRON!AM9</f>
        <v>2.901497931959602E-2</v>
      </c>
      <c r="E7" s="271"/>
      <c r="F7" s="272">
        <f>ENRON!AO9</f>
        <v>6.1903663996003486E-2</v>
      </c>
      <c r="G7" s="271"/>
      <c r="H7" s="273">
        <f>ENRON!AQ9</f>
        <v>-0.15384312418577878</v>
      </c>
    </row>
    <row r="8" spans="1:8" x14ac:dyDescent="0.3">
      <c r="A8" s="252" t="s">
        <v>77</v>
      </c>
      <c r="B8" s="269" t="str">
        <f>ENRON!Z10</f>
        <v xml:space="preserve">N/A </v>
      </c>
      <c r="D8" s="270">
        <f>ENRON!AM10</f>
        <v>5.8475438281577224E-2</v>
      </c>
      <c r="E8" s="271"/>
      <c r="F8" s="272">
        <f>ENRON!AO10</f>
        <v>0.1803763010408328</v>
      </c>
      <c r="G8" s="271"/>
      <c r="H8" s="273">
        <f>ENRON!AQ10</f>
        <v>-0.28197383546783666</v>
      </c>
    </row>
    <row r="9" spans="1:8" ht="16.2" thickBot="1" x14ac:dyDescent="0.35">
      <c r="A9" s="252" t="s">
        <v>87</v>
      </c>
      <c r="B9" s="292">
        <f>ENRON!AG25</f>
        <v>11.8671264260878</v>
      </c>
      <c r="C9" s="274"/>
      <c r="D9" s="293">
        <f>ENRON!AM25</f>
        <v>-6.6147628827346802E-2</v>
      </c>
      <c r="E9" s="294"/>
      <c r="F9" s="295">
        <f>ENRON!AO25</f>
        <v>0.10545251859713982</v>
      </c>
      <c r="G9" s="296"/>
      <c r="H9" s="275">
        <f>ENRON!AQ25</f>
        <v>-0.28704292854305136</v>
      </c>
    </row>
    <row r="10" spans="1:8" x14ac:dyDescent="0.3">
      <c r="D10" s="276"/>
    </row>
    <row r="11" spans="1:8" x14ac:dyDescent="0.3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9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37190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5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37183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6" thickBot="1" x14ac:dyDescent="0.3">
      <c r="A7" s="75" t="s">
        <v>48</v>
      </c>
      <c r="B7" s="76"/>
      <c r="C7" s="77" t="s">
        <v>0</v>
      </c>
      <c r="D7" s="76"/>
      <c r="E7" s="78">
        <f>[1]!'ENE,LAST,1'</f>
        <v>15.4</v>
      </c>
      <c r="F7" s="76"/>
      <c r="G7" s="79">
        <v>2.16</v>
      </c>
      <c r="H7" s="80" t="s">
        <v>49</v>
      </c>
      <c r="I7" s="81">
        <f>E7/G7</f>
        <v>7.1296296296296298</v>
      </c>
      <c r="J7" s="76"/>
      <c r="K7" s="79">
        <v>2.14</v>
      </c>
      <c r="L7" s="82" t="s">
        <v>50</v>
      </c>
      <c r="M7" s="81">
        <f>E7/K7</f>
        <v>7.1962616822429908</v>
      </c>
      <c r="N7" s="76"/>
      <c r="O7" s="79">
        <v>2.16</v>
      </c>
      <c r="P7" s="80" t="s">
        <v>49</v>
      </c>
      <c r="Q7" s="81">
        <f>M7/O7</f>
        <v>3.3316026306680513</v>
      </c>
      <c r="R7" s="76"/>
      <c r="S7" s="83">
        <f>+S58</f>
        <v>1.9988888888888892</v>
      </c>
      <c r="T7" s="81">
        <f>E7/S7</f>
        <v>7.7042801556420226</v>
      </c>
      <c r="U7" s="84"/>
      <c r="V7" s="85">
        <f>(S7-K7)/K7</f>
        <v>-6.5939771547248116E-2</v>
      </c>
      <c r="W7" s="86"/>
      <c r="X7" s="87">
        <f>X58</f>
        <v>1.8068421052631578</v>
      </c>
      <c r="Y7" s="88"/>
      <c r="Z7" s="81">
        <f>E7/X7</f>
        <v>8.5231575881153514</v>
      </c>
      <c r="AA7" s="84"/>
      <c r="AB7" s="89">
        <f>(AE7-X7)/X7</f>
        <v>0.18038968184613394</v>
      </c>
      <c r="AC7" s="289">
        <v>0.10299999999999999</v>
      </c>
      <c r="AD7" s="84"/>
      <c r="AE7" s="87">
        <f>AE58</f>
        <v>2.1327777777777777</v>
      </c>
      <c r="AF7" s="90"/>
      <c r="AG7" s="81">
        <f>E7/AE7</f>
        <v>7.2206303724928373</v>
      </c>
      <c r="AH7" s="91"/>
      <c r="AJ7" s="92"/>
      <c r="AK7" s="93">
        <f>(X7-S7)/S7</f>
        <v>-9.6076767794973983E-2</v>
      </c>
      <c r="AL7" s="86"/>
      <c r="AM7" s="94">
        <f>((+AX7+E7-AY7)/AY7)</f>
        <v>-0.40882917466410751</v>
      </c>
      <c r="AN7" s="86"/>
      <c r="AO7" s="86">
        <f>((+AZ7+E7-BA7)/BA7)</f>
        <v>-0.43444730077120824</v>
      </c>
      <c r="AP7" s="86"/>
      <c r="AQ7" s="93">
        <f>((+BB7+E7-BC7)/BC7)</f>
        <v>-0.8102255639097744</v>
      </c>
      <c r="AR7" s="95"/>
      <c r="AS7" s="1">
        <f>AU7/E7</f>
        <v>3.2467532467532464E-2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26.05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51</v>
      </c>
      <c r="B9" s="18"/>
      <c r="C9" s="19" t="s">
        <v>59</v>
      </c>
      <c r="D9" s="18"/>
      <c r="E9" s="118">
        <f>[1]!'.SPX,LAST,1'</f>
        <v>1104.6099999999999</v>
      </c>
      <c r="F9" s="119"/>
      <c r="G9" s="120">
        <v>40.53</v>
      </c>
      <c r="H9" s="101"/>
      <c r="I9" s="92">
        <f>E9/G9</f>
        <v>27.254132741179369</v>
      </c>
      <c r="J9" s="26"/>
      <c r="K9" s="120">
        <v>42.08</v>
      </c>
      <c r="L9" s="26"/>
      <c r="M9" s="92">
        <f>E9/K9</f>
        <v>26.250237642585549</v>
      </c>
      <c r="N9" s="119"/>
      <c r="O9" s="120">
        <v>40.53</v>
      </c>
      <c r="P9" s="101"/>
      <c r="Q9" s="92">
        <f>M9/O9</f>
        <v>0.64767425715730442</v>
      </c>
      <c r="R9" s="26"/>
      <c r="S9" s="121">
        <v>40.18</v>
      </c>
      <c r="T9" s="92">
        <f>E9/S9</f>
        <v>27.491538078646091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25.042167309000224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21.423778122575637</v>
      </c>
      <c r="AH9" s="91"/>
      <c r="AJ9" s="91"/>
      <c r="AK9" s="122">
        <f>(X9-S9)/S9</f>
        <v>9.7809855649576893E-2</v>
      </c>
      <c r="AL9" s="123"/>
      <c r="AM9" s="96">
        <f>((+AX9+E9-AY9)/AY9)</f>
        <v>2.901497931959602E-2</v>
      </c>
      <c r="AN9" s="123"/>
      <c r="AO9" s="123">
        <f>((+AZ9+E9-BA9)/BA9)</f>
        <v>6.1903663996003486E-2</v>
      </c>
      <c r="AP9" s="123"/>
      <c r="AQ9" s="126">
        <f>((+BB9+E9-BC9)/BC9)</f>
        <v>-0.15384312418577878</v>
      </c>
      <c r="AS9" s="2">
        <v>1.4200000000000001E-2</v>
      </c>
      <c r="AT9" s="96"/>
      <c r="AU9" s="127">
        <f>AS9*E9</f>
        <v>15.685461999999999</v>
      </c>
      <c r="AV9" s="128"/>
      <c r="AW9" s="97"/>
      <c r="AX9" s="129">
        <v>1.7000000000000001E-2</v>
      </c>
      <c r="AY9" s="130">
        <v>1073.48</v>
      </c>
      <c r="AZ9" s="129">
        <f>0.648+0.103+0.017</f>
        <v>0.76800000000000002</v>
      </c>
      <c r="BA9" s="130">
        <v>1040.94</v>
      </c>
      <c r="BB9" s="129">
        <f>12.434+0.103+0.017</f>
        <v>12.553999999999998</v>
      </c>
      <c r="BC9" s="131">
        <v>1320.28</v>
      </c>
    </row>
    <row r="10" spans="1:56" x14ac:dyDescent="0.25">
      <c r="A10" s="17" t="s">
        <v>77</v>
      </c>
      <c r="B10" s="18"/>
      <c r="C10" s="19" t="s">
        <v>74</v>
      </c>
      <c r="D10" s="18"/>
      <c r="E10" s="118">
        <f>[1]!'.IXIC,LAST,1'</f>
        <v>1768.96</v>
      </c>
      <c r="F10" s="119"/>
      <c r="G10" s="120">
        <v>40.53</v>
      </c>
      <c r="H10" s="101"/>
      <c r="I10" s="92">
        <f>E10/G10</f>
        <v>43.645694547248951</v>
      </c>
      <c r="J10" s="26"/>
      <c r="K10" s="120">
        <v>42.08</v>
      </c>
      <c r="L10" s="26"/>
      <c r="M10" s="92">
        <f>E10/K10</f>
        <v>42.038022813688215</v>
      </c>
      <c r="N10" s="119"/>
      <c r="O10" s="120">
        <v>40.53</v>
      </c>
      <c r="P10" s="101"/>
      <c r="Q10" s="92">
        <f>M10/O10</f>
        <v>1.0372075700391861</v>
      </c>
      <c r="R10" s="26"/>
      <c r="S10" s="121">
        <v>40.18</v>
      </c>
      <c r="T10" s="92">
        <f>E10/S10</f>
        <v>44.025883524141364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5.8475438281577224E-2</v>
      </c>
      <c r="AN10" s="123"/>
      <c r="AO10" s="123">
        <f>((+AZ10+E10-BA10)/BA10)</f>
        <v>0.1803763010408328</v>
      </c>
      <c r="AP10" s="123"/>
      <c r="AQ10" s="126">
        <f>((+BB10+E10-BC10)/BC10)</f>
        <v>-0.28197383546783666</v>
      </c>
      <c r="AS10" s="2">
        <v>3.2000000000000002E-3</v>
      </c>
      <c r="AT10" s="96"/>
      <c r="AU10" s="127">
        <f>AS10*E10</f>
        <v>5.6606720000000008</v>
      </c>
      <c r="AV10" s="128"/>
      <c r="AW10" s="97"/>
      <c r="AX10" s="129">
        <v>7.0000000000000007E-2</v>
      </c>
      <c r="AY10" s="130">
        <v>1671.3</v>
      </c>
      <c r="AZ10" s="129">
        <f>0.1+0.018+0.07</f>
        <v>0.188</v>
      </c>
      <c r="BA10" s="130">
        <v>1498.8</v>
      </c>
      <c r="BB10" s="129">
        <v>4.9379999999999997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112</v>
      </c>
      <c r="B13" s="18"/>
      <c r="C13" s="39" t="s">
        <v>108</v>
      </c>
      <c r="D13" s="18"/>
      <c r="E13" s="135">
        <f>[1]!'ILA,LAST,1'</f>
        <v>20.86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18.139130434782608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8.9913793103448274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10.225490196078431</v>
      </c>
      <c r="AH13" s="91"/>
      <c r="AJ13" s="91"/>
      <c r="AK13" s="122">
        <f>(X13-S13)/S13</f>
        <v>1.0173913043478262</v>
      </c>
      <c r="AL13" s="123"/>
      <c r="AM13" s="96">
        <f>((+AX13+E13-AY13)/AY13)</f>
        <v>-0.16892430278884468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25.1</v>
      </c>
      <c r="AZ13" s="141"/>
      <c r="BA13" s="149">
        <v>21.8</v>
      </c>
      <c r="BB13" s="141">
        <v>0</v>
      </c>
      <c r="BC13" s="149" t="s">
        <v>75</v>
      </c>
    </row>
    <row r="14" spans="1:56" x14ac:dyDescent="0.25">
      <c r="A14" s="18" t="s">
        <v>93</v>
      </c>
      <c r="B14" s="150"/>
      <c r="C14" s="39" t="s">
        <v>66</v>
      </c>
      <c r="D14" s="18"/>
      <c r="E14" s="135">
        <f>[1]!'AES,LAST,1'</f>
        <v>14.64</v>
      </c>
      <c r="F14" s="18"/>
      <c r="G14" s="120">
        <v>4.72</v>
      </c>
      <c r="H14" s="143" t="s">
        <v>49</v>
      </c>
      <c r="I14" s="92">
        <f>E14/G14</f>
        <v>3.1016949152542375</v>
      </c>
      <c r="J14" s="18"/>
      <c r="K14" s="120">
        <v>4.9400000000000004</v>
      </c>
      <c r="L14" s="26"/>
      <c r="M14" s="92">
        <f>E14/K14</f>
        <v>2.9635627530364372</v>
      </c>
      <c r="N14" s="18"/>
      <c r="O14" s="120">
        <v>4.72</v>
      </c>
      <c r="P14" s="143" t="s">
        <v>49</v>
      </c>
      <c r="Q14" s="92">
        <f>M14/O14</f>
        <v>0.62787346462636384</v>
      </c>
      <c r="R14" s="18"/>
      <c r="S14" s="121">
        <v>3.43</v>
      </c>
      <c r="T14" s="92">
        <f t="shared" si="0"/>
        <v>4.2682215743440235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11.261538461538462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9.0931677018633543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2.2346368715083817E-2</v>
      </c>
      <c r="AN14" s="123"/>
      <c r="AO14" s="123">
        <f t="shared" ref="AO14:AO23" si="6">((+AZ14+E14-BA14)/BA14)</f>
        <v>0.1419656786271451</v>
      </c>
      <c r="AP14" s="123"/>
      <c r="AQ14" s="126">
        <f t="shared" ref="AQ14:AQ23" si="7">((+BB14+E14-BC14)/BC14)</f>
        <v>-0.73562076749435668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14.32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113</v>
      </c>
      <c r="B15" s="150"/>
      <c r="C15" s="39" t="s">
        <v>114</v>
      </c>
      <c r="D15" s="18"/>
      <c r="E15" s="135">
        <f>[1]!'CPN,LAST,1'</f>
        <v>25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2.0299999999999998</v>
      </c>
      <c r="Y15" s="124"/>
      <c r="Z15" s="92">
        <f t="shared" si="1"/>
        <v>12.315270935960593</v>
      </c>
      <c r="AA15" s="91"/>
      <c r="AB15" s="125">
        <f t="shared" si="2"/>
        <v>0.24137931034482771</v>
      </c>
      <c r="AC15" s="290">
        <v>0.248</v>
      </c>
      <c r="AD15" s="91"/>
      <c r="AE15" s="121">
        <v>2.52</v>
      </c>
      <c r="AF15" s="124"/>
      <c r="AG15" s="92">
        <f t="shared" si="3"/>
        <v>9.9206349206349209</v>
      </c>
      <c r="AH15" s="91"/>
      <c r="AJ15" s="91"/>
      <c r="AK15" s="122"/>
      <c r="AL15" s="123"/>
      <c r="AM15" s="96">
        <f>((+AX15+E15-AY15)/AY15)</f>
        <v>-6.646751306945485E-2</v>
      </c>
      <c r="AN15" s="123"/>
      <c r="AO15" s="123">
        <f>((+AZ15+E15-BA15)/BA15)</f>
        <v>9.6010521701008392E-2</v>
      </c>
      <c r="AP15" s="123"/>
      <c r="AQ15" s="126">
        <f>((+BB15+E15-BC15)/BC15)</f>
        <v>-0.44518419884598315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26.78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52</v>
      </c>
      <c r="B16" s="150"/>
      <c r="C16" s="39" t="s">
        <v>1</v>
      </c>
      <c r="D16" s="18"/>
      <c r="E16" s="135">
        <f>[1]!'DUK,LAST,1'</f>
        <v>38.5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13.050847457627118</v>
      </c>
      <c r="N16" s="18"/>
      <c r="O16" s="120"/>
      <c r="P16" s="143"/>
      <c r="Q16" s="92"/>
      <c r="R16" s="18"/>
      <c r="S16" s="121">
        <v>3.38</v>
      </c>
      <c r="T16" s="92">
        <f t="shared" si="0"/>
        <v>11.390532544378699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14.051094890510948</v>
      </c>
      <c r="AA16" s="91"/>
      <c r="AB16" s="125">
        <f t="shared" si="2"/>
        <v>4.0145985401459805E-2</v>
      </c>
      <c r="AC16" s="290">
        <v>0.185</v>
      </c>
      <c r="AD16" s="91"/>
      <c r="AE16" s="121">
        <v>2.85</v>
      </c>
      <c r="AF16" s="124"/>
      <c r="AG16" s="92">
        <f t="shared" si="3"/>
        <v>13.508771929824562</v>
      </c>
      <c r="AH16" s="91"/>
      <c r="AJ16" s="91"/>
      <c r="AK16" s="122">
        <f t="shared" si="4"/>
        <v>-0.18934911242603542</v>
      </c>
      <c r="AL16" s="123"/>
      <c r="AM16" s="96">
        <f t="shared" si="5"/>
        <v>-1.6351558507920302E-2</v>
      </c>
      <c r="AN16" s="123"/>
      <c r="AO16" s="123">
        <f t="shared" si="6"/>
        <v>1.717305151915452E-2</v>
      </c>
      <c r="AP16" s="123"/>
      <c r="AQ16" s="126">
        <f t="shared" si="7"/>
        <v>-7.7311121539183361E-2</v>
      </c>
      <c r="AS16" s="146">
        <f t="shared" si="8"/>
        <v>2.8571428571428574E-2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39.14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6" x14ac:dyDescent="0.3">
      <c r="A17" s="17" t="s">
        <v>94</v>
      </c>
      <c r="B17" s="150"/>
      <c r="C17" s="39" t="s">
        <v>53</v>
      </c>
      <c r="D17" s="18"/>
      <c r="E17" s="135">
        <f>[1]!'DYN,LAST,1'</f>
        <v>38.450000000000003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54.928571428571438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66.293103448275872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18.30952380952381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15.01953125</v>
      </c>
      <c r="AH17" s="91"/>
      <c r="AJ17" s="91"/>
      <c r="AK17" s="122">
        <f t="shared" si="4"/>
        <v>2.6206896551724141</v>
      </c>
      <c r="AL17" s="123"/>
      <c r="AM17" s="96">
        <f t="shared" si="5"/>
        <v>-0.11892758936755266</v>
      </c>
      <c r="AN17" s="123"/>
      <c r="AO17" s="123">
        <f t="shared" si="6"/>
        <v>0.10966810966810979</v>
      </c>
      <c r="AP17" s="123"/>
      <c r="AQ17" s="126">
        <f t="shared" si="7"/>
        <v>-0.3101449275362318</v>
      </c>
      <c r="AS17" s="146">
        <f t="shared" si="8"/>
        <v>7.8023407022106625E-3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43.64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5">
      <c r="A18" s="17" t="s">
        <v>54</v>
      </c>
      <c r="B18" s="6"/>
      <c r="C18" s="39" t="s">
        <v>2</v>
      </c>
      <c r="D18" s="18"/>
      <c r="E18" s="135">
        <f>[1]!'EPG,LAST,1'</f>
        <v>49.96</v>
      </c>
      <c r="F18" s="18"/>
      <c r="G18" s="120">
        <v>2.85</v>
      </c>
      <c r="H18" s="143" t="s">
        <v>49</v>
      </c>
      <c r="I18" s="92">
        <f>E18/G18</f>
        <v>17.529824561403508</v>
      </c>
      <c r="J18" s="18"/>
      <c r="K18" s="120">
        <v>3.18</v>
      </c>
      <c r="L18" s="26"/>
      <c r="M18" s="92">
        <f>E18/K18</f>
        <v>15.710691823899371</v>
      </c>
      <c r="N18" s="18"/>
      <c r="O18" s="120">
        <v>2.85</v>
      </c>
      <c r="P18" s="143" t="s">
        <v>49</v>
      </c>
      <c r="Q18" s="92">
        <f>M18/O18</f>
        <v>5.5125234469822351</v>
      </c>
      <c r="R18" s="18"/>
      <c r="S18" s="121">
        <v>1.83</v>
      </c>
      <c r="T18" s="92">
        <f t="shared" si="0"/>
        <v>27.300546448087431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15.003003003003004</v>
      </c>
      <c r="AA18" s="91"/>
      <c r="AB18" s="125">
        <f t="shared" si="2"/>
        <v>0.11111111111111115</v>
      </c>
      <c r="AC18" s="290">
        <v>-4.1000000000000002E-2</v>
      </c>
      <c r="AD18" s="91"/>
      <c r="AE18" s="121">
        <v>3.7</v>
      </c>
      <c r="AF18" s="124"/>
      <c r="AG18" s="92">
        <f t="shared" si="3"/>
        <v>13.502702702702702</v>
      </c>
      <c r="AH18" s="91"/>
      <c r="AJ18" s="91"/>
      <c r="AK18" s="122">
        <f t="shared" si="4"/>
        <v>0.81967213114754101</v>
      </c>
      <c r="AL18" s="123"/>
      <c r="AM18" s="96">
        <f t="shared" si="5"/>
        <v>-5.468306527909178E-2</v>
      </c>
      <c r="AN18" s="123"/>
      <c r="AO18" s="123">
        <f t="shared" si="6"/>
        <v>0.20240673886883284</v>
      </c>
      <c r="AP18" s="123"/>
      <c r="AQ18" s="126">
        <f t="shared" si="7"/>
        <v>-0.29357766143106451</v>
      </c>
      <c r="AS18" s="146">
        <f t="shared" si="8"/>
        <v>1.7013610888710968E-2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52.85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5">
      <c r="A19" s="17" t="s">
        <v>63</v>
      </c>
      <c r="B19" s="6"/>
      <c r="C19" s="39" t="s">
        <v>64</v>
      </c>
      <c r="D19" s="18"/>
      <c r="E19" s="135">
        <f>[1]!'KMI,LAST,1'</f>
        <v>50.2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20.65843621399177</v>
      </c>
      <c r="N19" s="18"/>
      <c r="O19" s="120"/>
      <c r="P19" s="143"/>
      <c r="Q19" s="92"/>
      <c r="R19" s="18"/>
      <c r="S19" s="121">
        <v>1.17</v>
      </c>
      <c r="T19" s="92">
        <f t="shared" si="0"/>
        <v>42.90598290598291</v>
      </c>
      <c r="U19" s="91"/>
      <c r="V19" s="122"/>
      <c r="W19" s="123"/>
      <c r="X19" s="121">
        <v>1.9</v>
      </c>
      <c r="Y19" s="124"/>
      <c r="Z19" s="92">
        <f t="shared" si="1"/>
        <v>26.421052631578949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20.241935483870968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-2.5621118012422364E-2</v>
      </c>
      <c r="AN19" s="123"/>
      <c r="AO19" s="123">
        <f t="shared" si="6"/>
        <v>2.0117862223125421E-2</v>
      </c>
      <c r="AP19" s="123"/>
      <c r="AQ19" s="126">
        <f t="shared" si="7"/>
        <v>-3.5209580838323325E-2</v>
      </c>
      <c r="AS19" s="146">
        <f t="shared" si="8"/>
        <v>3.9840637450199202E-3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51.52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5">
      <c r="A20" s="153" t="s">
        <v>103</v>
      </c>
      <c r="B20" s="154"/>
      <c r="C20" s="62" t="s">
        <v>102</v>
      </c>
      <c r="D20" s="18"/>
      <c r="E20" s="135">
        <f>[1]!'MIR,LAST,1'</f>
        <v>27.45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13.934010152284264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10.63953488372093</v>
      </c>
      <c r="AH20" s="91"/>
      <c r="AJ20" s="91"/>
      <c r="AK20" s="122" t="e">
        <f>(X20-S20)/S20</f>
        <v>#DIV/0!</v>
      </c>
      <c r="AL20" s="123"/>
      <c r="AM20" s="96">
        <f>((+AX20+E20-AY20)/AY20)</f>
        <v>-5.2795031055900658E-2</v>
      </c>
      <c r="AN20" s="123"/>
      <c r="AO20" s="123">
        <f>((+AZ20+E20-BA20)/BA20)</f>
        <v>0.25342465753424664</v>
      </c>
      <c r="AP20" s="123"/>
      <c r="AQ20" s="126">
        <f>((+BB20+E20-BC20)/BC20)</f>
        <v>-3.0463576158940422E-2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28.98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91</v>
      </c>
      <c r="B21" s="154"/>
      <c r="C21" s="19" t="s">
        <v>90</v>
      </c>
      <c r="D21" s="5"/>
      <c r="E21" s="135">
        <f>[1]!'NRG,LAST,1'</f>
        <v>17.55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12.62589928057554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10.384615384615385</v>
      </c>
      <c r="AH21" s="91"/>
      <c r="AJ21" s="91"/>
      <c r="AK21" s="122" t="e">
        <f>(X21-S21)/S21</f>
        <v>#DIV/0!</v>
      </c>
      <c r="AL21" s="123"/>
      <c r="AM21" s="96">
        <f t="shared" si="5"/>
        <v>-0.10913705583756339</v>
      </c>
      <c r="AN21" s="123"/>
      <c r="AO21" s="123">
        <f t="shared" si="6"/>
        <v>8.2665021591610099E-2</v>
      </c>
      <c r="AP21" s="123"/>
      <c r="AQ21" s="126">
        <f t="shared" si="7"/>
        <v>-0.3689887640449438</v>
      </c>
      <c r="AS21" s="146">
        <f t="shared" si="8"/>
        <v>3.9316239316239308E-2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19.7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111</v>
      </c>
      <c r="B22" s="18"/>
      <c r="C22" s="39" t="s">
        <v>109</v>
      </c>
      <c r="D22" s="18"/>
      <c r="E22" s="135">
        <f>[1]!'RRI,LAST,1'</f>
        <v>15.8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13.739130434782611</v>
      </c>
      <c r="U22" s="91"/>
      <c r="V22" s="122"/>
      <c r="W22" s="123"/>
      <c r="X22" s="132">
        <v>1.65</v>
      </c>
      <c r="Y22" s="144"/>
      <c r="Z22" s="92">
        <f t="shared" si="1"/>
        <v>9.5757575757575761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7.6699029126213594</v>
      </c>
      <c r="AH22" s="91"/>
      <c r="AJ22" s="91"/>
      <c r="AK22" s="122">
        <f>(X22-S22)/S22</f>
        <v>0.43478260869565222</v>
      </c>
      <c r="AL22" s="123"/>
      <c r="AM22" s="96">
        <f t="shared" si="5"/>
        <v>-0.12124582869855394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17.98</v>
      </c>
      <c r="AZ22" s="141"/>
      <c r="BA22" s="149">
        <v>16.2</v>
      </c>
      <c r="BB22" s="141">
        <v>0</v>
      </c>
      <c r="BC22" s="149" t="s">
        <v>75</v>
      </c>
    </row>
    <row r="23" spans="1:55" x14ac:dyDescent="0.25">
      <c r="A23" s="17" t="s">
        <v>83</v>
      </c>
      <c r="B23" s="18"/>
      <c r="C23" s="39" t="s">
        <v>4</v>
      </c>
      <c r="D23" s="18"/>
      <c r="E23" s="135">
        <f>[1]!'WMB,LAST,1'</f>
        <v>28</v>
      </c>
      <c r="F23" s="18"/>
      <c r="G23" s="120">
        <v>2.08</v>
      </c>
      <c r="H23" s="143" t="s">
        <v>49</v>
      </c>
      <c r="I23" s="92">
        <f>E23/G23</f>
        <v>13.461538461538462</v>
      </c>
      <c r="J23" s="18"/>
      <c r="K23" s="120">
        <v>1.04</v>
      </c>
      <c r="L23" s="26"/>
      <c r="M23" s="92">
        <f>E23/K23</f>
        <v>26.923076923076923</v>
      </c>
      <c r="N23" s="18"/>
      <c r="O23" s="120">
        <v>2.08</v>
      </c>
      <c r="P23" s="143" t="s">
        <v>49</v>
      </c>
      <c r="Q23" s="92">
        <f>M23/O23</f>
        <v>12.94378698224852</v>
      </c>
      <c r="R23" s="18"/>
      <c r="S23" s="121">
        <v>0.82</v>
      </c>
      <c r="T23" s="92">
        <f>E23/S23</f>
        <v>34.146341463414636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11.666666666666668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10.332103321033211</v>
      </c>
      <c r="AH23" s="91"/>
      <c r="AJ23" s="91"/>
      <c r="AK23" s="122">
        <f t="shared" si="4"/>
        <v>1.9268292682926831</v>
      </c>
      <c r="AL23" s="123"/>
      <c r="AM23" s="96">
        <f t="shared" si="5"/>
        <v>-1.5817223198594001E-2</v>
      </c>
      <c r="AN23" s="123"/>
      <c r="AO23" s="123">
        <f t="shared" si="6"/>
        <v>2.5641025641025616E-2</v>
      </c>
      <c r="AP23" s="123"/>
      <c r="AQ23" s="126">
        <f t="shared" si="7"/>
        <v>-0.28688575899843505</v>
      </c>
      <c r="AS23" s="146">
        <f t="shared" si="8"/>
        <v>2.5714285714285714E-2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28.45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5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11.364352646065404</v>
      </c>
      <c r="J25" s="26"/>
      <c r="K25" s="165"/>
      <c r="L25" s="166"/>
      <c r="M25" s="167">
        <f>AVERAGE(M14:M23)</f>
        <v>22.372531100033843</v>
      </c>
      <c r="N25" s="18"/>
      <c r="O25" s="165"/>
      <c r="P25" s="166"/>
      <c r="Q25" s="167">
        <f>AVERAGE(Q14:Q23)</f>
        <v>6.3613946312857061</v>
      </c>
      <c r="R25" s="26"/>
      <c r="S25" s="165"/>
      <c r="T25" s="167">
        <f>AVERAGE(T14:T23)</f>
        <v>28.577694117038028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14.014108792522238</v>
      </c>
      <c r="AA25" s="91"/>
      <c r="AB25" s="171"/>
      <c r="AC25" s="167"/>
      <c r="AD25" s="91"/>
      <c r="AE25" s="172"/>
      <c r="AF25" s="173"/>
      <c r="AG25" s="167">
        <f>AVERAGE(AG13:AG23)</f>
        <v>11.8671264260878</v>
      </c>
      <c r="AH25" s="91"/>
      <c r="AJ25" s="91"/>
      <c r="AK25" s="168" t="e">
        <f>AVERAGE(AK14:AK23)</f>
        <v>#DIV/0!</v>
      </c>
      <c r="AL25" s="123"/>
      <c r="AM25" s="174">
        <f>AVERAGE(AM13:AM23)</f>
        <v>-6.6147628827346802E-2</v>
      </c>
      <c r="AN25" s="175"/>
      <c r="AO25" s="176">
        <f>AVERAGE(AO13:AO23)</f>
        <v>0.10545251859713982</v>
      </c>
      <c r="AP25" s="175"/>
      <c r="AQ25" s="177">
        <f>AVERAGE(AQ13:AQ23)</f>
        <v>-0.28704292854305136</v>
      </c>
      <c r="AS25" s="168">
        <f>AVERAGE(AS13:AS23)</f>
        <v>1.1127451721626831E-2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5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5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5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5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5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1.8068421052631578</v>
      </c>
      <c r="Y30" s="18"/>
      <c r="Z30" s="18"/>
      <c r="AA30" s="18"/>
      <c r="AB30" s="18"/>
      <c r="AC30" s="18"/>
      <c r="AD30" s="18"/>
      <c r="AE30" s="201">
        <f>AVERAGE(AE37:AE56)</f>
        <v>2.1327777777777777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5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2.1800000000000002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5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1.77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5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6" x14ac:dyDescent="0.3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3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2" thickBot="1" x14ac:dyDescent="0.35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2" thickBot="1" x14ac:dyDescent="0.35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6" x14ac:dyDescent="0.3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6" x14ac:dyDescent="0.3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6" x14ac:dyDescent="0.3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6" x14ac:dyDescent="0.3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6" x14ac:dyDescent="0.3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6" x14ac:dyDescent="0.3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2.0499999999999998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6" x14ac:dyDescent="0.3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6" x14ac:dyDescent="0.3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6" x14ac:dyDescent="0.3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1.77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6" x14ac:dyDescent="0.3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6" x14ac:dyDescent="0.3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6" x14ac:dyDescent="0.3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6" x14ac:dyDescent="0.3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6" x14ac:dyDescent="0.3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6" x14ac:dyDescent="0.3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6" x14ac:dyDescent="0.3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1.82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6" x14ac:dyDescent="0.3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6" x14ac:dyDescent="0.3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6" x14ac:dyDescent="0.3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6" x14ac:dyDescent="0.3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1.8068421052631578</v>
      </c>
      <c r="Y58" s="247"/>
      <c r="Z58" s="245"/>
      <c r="AA58" s="245"/>
      <c r="AB58" s="245"/>
      <c r="AC58" s="245"/>
      <c r="AD58" s="245"/>
      <c r="AE58" s="248">
        <f>AVERAGE(AE37:AE56)</f>
        <v>2.1327777777777777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6" x14ac:dyDescent="0.3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2001-10-12T20:18:49Z</cp:lastPrinted>
  <dcterms:created xsi:type="dcterms:W3CDTF">1997-07-25T21:14:12Z</dcterms:created>
  <dcterms:modified xsi:type="dcterms:W3CDTF">2023-09-10T15:35:00Z</dcterms:modified>
</cp:coreProperties>
</file>