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<sst xmlns="http://schemas.openxmlformats.org/spreadsheetml/2006/main" count="187" uniqueCount="129">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</sst>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8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35.299999999999997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47.4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21.35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50.7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39.43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19.809999999999999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6.63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37.299999999999997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43.2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41.01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27.2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26.85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33.25</val>
          </value>
        </values>
      </ddeItem>
      <ddeItem name="UDL,DIVIDEND,1">
        <values>
          <value>
            <val>0.5</val>
          </value>
        </values>
      </ddeItem>
      <ddeItem name="UDL,LAST,1">
        <values>
          <value>
            <val>38.36</val>
          </value>
        </values>
      </ddeItem>
      <ddeItem name="WEG,DIVIDEND,1">
        <values>
          <value>
            <val>2.25</val>
          </value>
        </values>
      </ddeItem>
      <ddeItem name="WEG,LAST,1">
        <values>
          <value>
            <val>40.85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2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37183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37176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" thickBot="1" x14ac:dyDescent="0.35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2.8" x14ac:dyDescent="0.4">
      <c r="A10" s="308" t="s">
        <v>37</v>
      </c>
      <c r="B10" s="182"/>
      <c r="C10" s="183" t="s">
        <v>38</v>
      </c>
      <c r="D10" s="182"/>
      <c r="E10" s="184">
        <f>[1]!'EOT,LAST,1'</f>
        <v>21.35</v>
      </c>
      <c r="F10" s="309"/>
      <c r="G10" s="184">
        <f>[1]!'EOT,DIVIDEND,1'</f>
        <v>1.9</v>
      </c>
      <c r="H10" s="185"/>
      <c r="I10" s="186">
        <f>+G10/E10</f>
        <v>8.8992974238875866E-2</v>
      </c>
      <c r="J10" s="186"/>
      <c r="K10" s="300">
        <f>(+I10-E$30)*10000</f>
        <v>405.92974238875865</v>
      </c>
      <c r="L10" s="183"/>
      <c r="M10" s="186">
        <f>(I10*AA10)+((I10*(1-AA10))*(1-0.3))</f>
        <v>8.7658079625292734E-2</v>
      </c>
      <c r="N10" s="183"/>
      <c r="O10" s="187">
        <f>+G10/Z10</f>
        <v>1.7117117117117118</v>
      </c>
      <c r="P10" s="188"/>
      <c r="Q10" s="187">
        <f>(AF10+$E10-AG10)/AG10</f>
        <v>1.4251781472684119E-2</v>
      </c>
      <c r="R10" s="188"/>
      <c r="S10" s="187">
        <f>(AH10+$E10-AI10)/AI10</f>
        <v>7.8282828282828315E-2</v>
      </c>
      <c r="T10" s="185"/>
      <c r="U10" s="189">
        <f>(AJ10+E10-AK10)/AK10</f>
        <v>0.39083969465648866</v>
      </c>
      <c r="V10" s="190"/>
      <c r="W10" s="115"/>
      <c r="X10" s="134"/>
      <c r="Y10" s="289">
        <f>G58</f>
        <v>0.8859999999999999</v>
      </c>
      <c r="Z10" s="290">
        <f>I58</f>
        <v>1.1099999999999999</v>
      </c>
      <c r="AA10" s="191">
        <v>0.95</v>
      </c>
      <c r="AB10" s="192"/>
      <c r="AD10" s="193">
        <v>37099</v>
      </c>
      <c r="AE10" s="303">
        <v>0.47499999999999998</v>
      </c>
      <c r="AF10" s="306"/>
      <c r="AG10" s="208">
        <v>21.05</v>
      </c>
      <c r="AH10" s="354"/>
      <c r="AI10" s="355">
        <v>19.8</v>
      </c>
      <c r="AJ10" s="195">
        <f>0.475*3</f>
        <v>1.4249999999999998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3.4" thickBot="1" x14ac:dyDescent="0.45">
      <c r="A11" s="301" t="s">
        <v>35</v>
      </c>
      <c r="B11" s="200"/>
      <c r="C11" s="201" t="s">
        <v>36</v>
      </c>
      <c r="D11" s="200"/>
      <c r="E11" s="202">
        <f>[1]!'NBP,LAST,1'</f>
        <v>41.01</v>
      </c>
      <c r="F11" s="310"/>
      <c r="G11" s="202">
        <f>[1]!'NBP,DIVIDEND,1'</f>
        <v>3.05</v>
      </c>
      <c r="H11" s="203"/>
      <c r="I11" s="204">
        <f>+G11/E11</f>
        <v>7.4372104364789068E-2</v>
      </c>
      <c r="J11" s="204"/>
      <c r="K11" s="311">
        <f>(+I11-E$30)*10000</f>
        <v>259.72104364789072</v>
      </c>
      <c r="L11" s="201"/>
      <c r="M11" s="204">
        <f>(I11*AA11)+((I11*(1-AA11))*(1-0.3))</f>
        <v>7.3256522799317228E-2</v>
      </c>
      <c r="N11" s="201"/>
      <c r="O11" s="205">
        <f>+G11/Z11</f>
        <v>1.0385925085130534</v>
      </c>
      <c r="P11" s="206"/>
      <c r="Q11" s="205">
        <f>(AF11+$E11-AG11)/AG11</f>
        <v>2.2948366176103629E-2</v>
      </c>
      <c r="R11" s="206"/>
      <c r="S11" s="205">
        <f>(AH11+$E11-AI11)/AI11</f>
        <v>5.5598455598455505E-2</v>
      </c>
      <c r="T11" s="203"/>
      <c r="U11" s="207">
        <f>(AJ11+$E11-AK11)/AK11</f>
        <v>0.37800796812749005</v>
      </c>
      <c r="V11" s="190"/>
      <c r="W11" s="115"/>
      <c r="X11" s="134"/>
      <c r="Y11" s="289">
        <f>S58</f>
        <v>2.5149999999999997</v>
      </c>
      <c r="Z11" s="290">
        <f>U58</f>
        <v>2.9366666666666661</v>
      </c>
      <c r="AA11" s="191">
        <v>0.95</v>
      </c>
      <c r="AB11" s="192"/>
      <c r="AC11" s="74"/>
      <c r="AD11" s="193">
        <v>37099</v>
      </c>
      <c r="AE11" s="303">
        <v>0.76249999999999996</v>
      </c>
      <c r="AF11" s="306"/>
      <c r="AG11" s="208">
        <v>40.090000000000003</v>
      </c>
      <c r="AH11" s="354"/>
      <c r="AI11" s="355">
        <v>38.85</v>
      </c>
      <c r="AJ11" s="195">
        <f>0.7+0.7625+0.7625</f>
        <v>2.2249999999999996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2.8" x14ac:dyDescent="0.4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4" x14ac:dyDescent="0.4">
      <c r="A13" s="111" t="s">
        <v>68</v>
      </c>
      <c r="B13" s="74"/>
      <c r="C13" s="128" t="s">
        <v>39</v>
      </c>
      <c r="D13" s="74"/>
      <c r="E13" s="208">
        <f>[1]!'APU,LAST,1'</f>
        <v>23.85</v>
      </c>
      <c r="F13" s="209"/>
      <c r="G13" s="208">
        <f>[1]!'APU,DIVIDEND,1'</f>
        <v>2.2000000000000002</v>
      </c>
      <c r="H13" s="96"/>
      <c r="I13" s="160">
        <f t="shared" ref="I13:I24" si="0">+G13/E13</f>
        <v>9.2243186582809222E-2</v>
      </c>
      <c r="J13" s="160"/>
      <c r="K13" s="215">
        <f t="shared" ref="K13:K24" si="1">(+I13-E$30)*10000</f>
        <v>438.43186582809221</v>
      </c>
      <c r="L13" s="94"/>
      <c r="M13" s="160">
        <f t="shared" ref="M13:M24" si="2">(I13*AA13)+((I13*(1-AA13))*(1-0.3))</f>
        <v>8.3941299790356388E-2</v>
      </c>
      <c r="N13" s="94"/>
      <c r="O13" s="149">
        <f>+G13/Y13</f>
        <v>2</v>
      </c>
      <c r="P13" s="211"/>
      <c r="Q13" s="149">
        <f t="shared" ref="Q13:Q24" si="3">(AF13+$E13-AG13)/AG13</f>
        <v>-5.8357649020423933E-3</v>
      </c>
      <c r="R13" s="211"/>
      <c r="S13" s="149">
        <f t="shared" ref="S13:S24" si="4">(AH13+$E13-AI13)/AI13</f>
        <v>3.8763066202090614E-2</v>
      </c>
      <c r="T13" s="96"/>
      <c r="U13" s="216">
        <f>(AJ13+E13-AK13)/AK13</f>
        <v>0.53383458646616544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193">
        <v>37111</v>
      </c>
      <c r="AE13" s="303">
        <v>0.55000000000000004</v>
      </c>
      <c r="AF13" s="307"/>
      <c r="AG13" s="208">
        <v>23.99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08">
        <f>[1]!'BPL,LAST,1'</f>
        <v>35.299999999999997</v>
      </c>
      <c r="F14" s="209"/>
      <c r="G14" s="208">
        <f>[1]!'BPL,DIVIDEND,1'</f>
        <v>2.5</v>
      </c>
      <c r="H14" s="96"/>
      <c r="I14" s="160">
        <f t="shared" si="0"/>
        <v>7.0821529745042494E-2</v>
      </c>
      <c r="J14" s="160"/>
      <c r="K14" s="215">
        <f t="shared" si="1"/>
        <v>224.21529745042494</v>
      </c>
      <c r="L14" s="94"/>
      <c r="M14" s="160">
        <f t="shared" si="2"/>
        <v>6.5509915014164311E-2</v>
      </c>
      <c r="N14" s="94"/>
      <c r="O14" s="149">
        <f t="shared" ref="O14:O26" si="5">+G14/Z14</f>
        <v>1.0040160642570279</v>
      </c>
      <c r="P14" s="211"/>
      <c r="Q14" s="149">
        <f t="shared" si="3"/>
        <v>-2.3513139695712351E-2</v>
      </c>
      <c r="R14" s="211"/>
      <c r="S14" s="149">
        <f t="shared" si="4"/>
        <v>1.8759018759018718E-2</v>
      </c>
      <c r="T14" s="96"/>
      <c r="U14" s="216">
        <f t="shared" ref="U14:U24" si="6">(AJ14+E14-AK14)/AK14</f>
        <v>0.2857142857142857</v>
      </c>
      <c r="V14" s="190"/>
      <c r="W14" s="115"/>
      <c r="X14" s="134"/>
      <c r="Y14" s="289">
        <v>2.41</v>
      </c>
      <c r="Z14" s="290">
        <v>2.4900000000000002</v>
      </c>
      <c r="AA14" s="191">
        <v>0.75</v>
      </c>
      <c r="AB14" s="192"/>
      <c r="AC14" s="74"/>
      <c r="AD14" s="193">
        <v>37105</v>
      </c>
      <c r="AE14" s="303">
        <v>0.625</v>
      </c>
      <c r="AF14" s="306"/>
      <c r="AG14" s="208">
        <v>36.15</v>
      </c>
      <c r="AH14" s="354"/>
      <c r="AI14" s="355">
        <v>34.65</v>
      </c>
      <c r="AJ14" s="195">
        <f>(0.6*2)+0.625</f>
        <v>1.825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2.8" x14ac:dyDescent="0.4">
      <c r="A15" s="111" t="s">
        <v>95</v>
      </c>
      <c r="B15" s="74"/>
      <c r="C15" s="128" t="s">
        <v>96</v>
      </c>
      <c r="D15" s="74"/>
      <c r="E15" s="208">
        <f>[1]!'EPN,LAST,1'</f>
        <v>39.43</v>
      </c>
      <c r="F15" s="209"/>
      <c r="G15" s="208">
        <f>[1]!'EPN,DIVIDEND,1'</f>
        <v>2.4500000000000002</v>
      </c>
      <c r="H15" s="96"/>
      <c r="I15" s="160">
        <f t="shared" si="0"/>
        <v>6.2135429875729148E-2</v>
      </c>
      <c r="J15" s="160"/>
      <c r="K15" s="215">
        <f t="shared" si="1"/>
        <v>137.3542987572915</v>
      </c>
      <c r="L15" s="94"/>
      <c r="M15" s="160">
        <f>(I15*AA15)+((I15*(1-AA15))*(1-0.3))</f>
        <v>6.1389804717220393E-2</v>
      </c>
      <c r="N15" s="94"/>
      <c r="O15" s="149">
        <f>+G15/Z15</f>
        <v>2.8160919540229887</v>
      </c>
      <c r="P15" s="211"/>
      <c r="Q15" s="149">
        <f>(AF15+$E15-AG15)/AG15</f>
        <v>-1.4496375906023453E-2</v>
      </c>
      <c r="R15" s="211"/>
      <c r="S15" s="149">
        <f>(AH15+$E15-AI15)/AI15</f>
        <v>8.3241758241758279E-2</v>
      </c>
      <c r="T15" s="96"/>
      <c r="U15" s="216">
        <f t="shared" si="6"/>
        <v>0.49904328018223243</v>
      </c>
      <c r="V15" s="223"/>
      <c r="W15" s="115"/>
      <c r="X15" s="134"/>
      <c r="Y15" s="291">
        <v>0.54</v>
      </c>
      <c r="Z15" s="292">
        <v>0.87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/>
      <c r="AG15" s="208">
        <v>40.01</v>
      </c>
      <c r="AH15" s="328"/>
      <c r="AI15" s="355">
        <v>36.4</v>
      </c>
      <c r="AJ15" s="222">
        <f>0.55+(0.575*2)</f>
        <v>1.7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2.8" x14ac:dyDescent="0.4">
      <c r="A16" s="111" t="s">
        <v>121</v>
      </c>
      <c r="B16" s="74"/>
      <c r="C16" s="128" t="s">
        <v>122</v>
      </c>
      <c r="D16" s="74"/>
      <c r="E16" s="208">
        <f>[1]!'EPD,LAST,1'</f>
        <v>50.7</v>
      </c>
      <c r="F16" s="209"/>
      <c r="G16" s="208">
        <f>[1]!'EPD,DIVIDEND,1'</f>
        <v>2.5</v>
      </c>
      <c r="H16" s="96"/>
      <c r="I16" s="160">
        <f t="shared" si="0"/>
        <v>4.9309664694280074E-2</v>
      </c>
      <c r="J16" s="160"/>
      <c r="K16" s="215">
        <f>(+I16-E$30)*10000</f>
        <v>9.0966469428007546</v>
      </c>
      <c r="L16" s="94"/>
      <c r="M16" s="160">
        <f>(I16*AA16)+((I16*(1-AA16))*(1-0.3))</f>
        <v>3.4516765285996051E-2</v>
      </c>
      <c r="N16" s="94"/>
      <c r="O16" s="149">
        <f>+G16/Z16</f>
        <v>0.98039215686274517</v>
      </c>
      <c r="P16" s="211"/>
      <c r="Q16" s="149">
        <f>(AF16+$E16-AG16)/AG16</f>
        <v>1.5015015015015015E-2</v>
      </c>
      <c r="R16" s="211"/>
      <c r="S16" s="149">
        <f>(AH16+$E16-AI16)/AI16</f>
        <v>9.5032397408207472E-2</v>
      </c>
      <c r="T16" s="96"/>
      <c r="U16" s="216">
        <f>(AJ16+E16-AK16)/AK16</f>
        <v>0.66640159045725655</v>
      </c>
      <c r="V16" s="223"/>
      <c r="W16" s="115"/>
      <c r="X16" s="134"/>
      <c r="Y16" s="291">
        <v>2.2799999999999998</v>
      </c>
      <c r="Z16" s="292">
        <v>2.5499999999999998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49.95</v>
      </c>
      <c r="AH16" s="328"/>
      <c r="AI16" s="355">
        <v>46.3</v>
      </c>
      <c r="AJ16" s="222">
        <f>(0.55*2)+0.5875</f>
        <v>1.6875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4" x14ac:dyDescent="0.4">
      <c r="A17" s="111" t="s">
        <v>69</v>
      </c>
      <c r="B17" s="74"/>
      <c r="C17" s="128" t="s">
        <v>42</v>
      </c>
      <c r="D17" s="74"/>
      <c r="E17" s="208">
        <f>[1]!'FGP,LAST,1'</f>
        <v>19.809999999999999</v>
      </c>
      <c r="F17" s="209"/>
      <c r="G17" s="208">
        <f>[1]!'FGP,DIVIDEND,1'</f>
        <v>2</v>
      </c>
      <c r="H17" s="96"/>
      <c r="I17" s="160">
        <f t="shared" si="0"/>
        <v>0.10095911155981828</v>
      </c>
      <c r="J17" s="160"/>
      <c r="K17" s="215">
        <f t="shared" si="1"/>
        <v>525.5911155981828</v>
      </c>
      <c r="L17" s="94"/>
      <c r="M17" s="160">
        <f t="shared" si="2"/>
        <v>0.10035335689045938</v>
      </c>
      <c r="N17" s="94"/>
      <c r="O17" s="149">
        <f t="shared" si="5"/>
        <v>2.150537634408602</v>
      </c>
      <c r="P17" s="220"/>
      <c r="Q17" s="149">
        <f t="shared" si="3"/>
        <v>3.0379746835442391E-3</v>
      </c>
      <c r="R17" s="220"/>
      <c r="S17" s="149">
        <f t="shared" si="4"/>
        <v>3.3924843423799506E-2</v>
      </c>
      <c r="T17" s="96"/>
      <c r="U17" s="216">
        <f t="shared" si="6"/>
        <v>0.6159241706161136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193">
        <v>37132</v>
      </c>
      <c r="AE17" s="303">
        <v>0.5</v>
      </c>
      <c r="AF17" s="306"/>
      <c r="AG17" s="208">
        <v>19.75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2.8" x14ac:dyDescent="0.4">
      <c r="A18" s="111" t="s">
        <v>104</v>
      </c>
      <c r="B18" s="74"/>
      <c r="C18" s="128" t="s">
        <v>43</v>
      </c>
      <c r="D18" s="74"/>
      <c r="E18" s="208">
        <f>[1]!'GEL,LAST,1'</f>
        <v>6.63</v>
      </c>
      <c r="F18" s="209"/>
      <c r="G18" s="208">
        <f>[1]!'GEL,DIVIDEND,1'</f>
        <v>0.8</v>
      </c>
      <c r="H18" s="293" t="s">
        <v>107</v>
      </c>
      <c r="I18" s="160">
        <f t="shared" si="0"/>
        <v>0.1206636500754148</v>
      </c>
      <c r="J18" s="160"/>
      <c r="K18" s="215">
        <f t="shared" si="1"/>
        <v>722.63650075414796</v>
      </c>
      <c r="L18" s="94"/>
      <c r="M18" s="160">
        <f t="shared" si="2"/>
        <v>0.1206636500754148</v>
      </c>
      <c r="N18" s="94"/>
      <c r="O18" s="149">
        <f>+G18/Z18</f>
        <v>5.3333333333333339</v>
      </c>
      <c r="P18" s="211"/>
      <c r="Q18" s="149">
        <f t="shared" si="3"/>
        <v>4.4094488188976419E-2</v>
      </c>
      <c r="R18" s="211"/>
      <c r="S18" s="149">
        <f t="shared" si="4"/>
        <v>0.13917525773195868</v>
      </c>
      <c r="T18" s="96"/>
      <c r="U18" s="216">
        <f t="shared" si="6"/>
        <v>0.9944827586206898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/>
      <c r="AG18" s="208">
        <v>6.35</v>
      </c>
      <c r="AH18" s="328"/>
      <c r="AI18" s="355">
        <v>5.82</v>
      </c>
      <c r="AJ18" s="222">
        <f>0.2*3</f>
        <v>0.60000000000000009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2.8" x14ac:dyDescent="0.4">
      <c r="A19" s="111" t="s">
        <v>44</v>
      </c>
      <c r="B19" s="74"/>
      <c r="C19" s="128" t="s">
        <v>45</v>
      </c>
      <c r="D19" s="74"/>
      <c r="E19" s="208">
        <f>[1]!'KPP,LAST,1'</f>
        <v>43.2</v>
      </c>
      <c r="F19" s="209"/>
      <c r="G19" s="208">
        <f>[1]!'KPP,DIVIDEND,1'</f>
        <v>3</v>
      </c>
      <c r="H19" s="96"/>
      <c r="I19" s="160">
        <f t="shared" si="0"/>
        <v>6.9444444444444434E-2</v>
      </c>
      <c r="J19" s="160"/>
      <c r="K19" s="215">
        <f t="shared" si="1"/>
        <v>210.44444444444434</v>
      </c>
      <c r="L19" s="94"/>
      <c r="M19" s="160">
        <f t="shared" si="2"/>
        <v>6.5277777777777768E-2</v>
      </c>
      <c r="N19" s="94"/>
      <c r="O19" s="149">
        <f t="shared" si="5"/>
        <v>0.97719869706840401</v>
      </c>
      <c r="P19" s="211"/>
      <c r="Q19" s="149">
        <f t="shared" si="3"/>
        <v>1.95893320745812E-2</v>
      </c>
      <c r="R19" s="211"/>
      <c r="S19" s="149">
        <f t="shared" si="4"/>
        <v>9.2840880344042545E-2</v>
      </c>
      <c r="T19" s="96"/>
      <c r="U19" s="216">
        <f t="shared" si="6"/>
        <v>0.44746450304259638</v>
      </c>
      <c r="V19" s="223"/>
      <c r="W19" s="115"/>
      <c r="X19" s="134"/>
      <c r="Y19" s="289">
        <v>2.98</v>
      </c>
      <c r="Z19" s="290">
        <v>3.07</v>
      </c>
      <c r="AA19" s="191">
        <v>0.8</v>
      </c>
      <c r="AB19" s="192"/>
      <c r="AC19" s="74"/>
      <c r="AD19" s="193">
        <v>37193</v>
      </c>
      <c r="AE19" s="304">
        <v>0.75</v>
      </c>
      <c r="AF19" s="305"/>
      <c r="AG19" s="208">
        <v>42.37</v>
      </c>
      <c r="AH19" s="328"/>
      <c r="AI19" s="355">
        <v>39.53</v>
      </c>
      <c r="AJ19" s="222">
        <f>0.7*2</f>
        <v>1.4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4" x14ac:dyDescent="0.4">
      <c r="A20" s="111" t="s">
        <v>46</v>
      </c>
      <c r="B20" s="74"/>
      <c r="C20" s="128" t="s">
        <v>97</v>
      </c>
      <c r="D20" s="74"/>
      <c r="E20" s="208">
        <f>[1]!'KMP,LAST,1'</f>
        <v>37.299999999999997</v>
      </c>
      <c r="F20" s="209"/>
      <c r="G20" s="208">
        <f>[1]!'KMP,DIVIDEND,1'</f>
        <v>2.2000000000000002</v>
      </c>
      <c r="H20" s="286"/>
      <c r="I20" s="160">
        <f t="shared" si="0"/>
        <v>5.898123324396784E-2</v>
      </c>
      <c r="J20" s="160"/>
      <c r="K20" s="215">
        <f t="shared" si="1"/>
        <v>105.81233243967841</v>
      </c>
      <c r="L20" s="94"/>
      <c r="M20" s="160">
        <f t="shared" si="2"/>
        <v>5.7211796246648801E-2</v>
      </c>
      <c r="N20" s="94"/>
      <c r="O20" s="149">
        <f t="shared" si="5"/>
        <v>1.2941176470588236</v>
      </c>
      <c r="P20" s="211"/>
      <c r="Q20" s="149">
        <f t="shared" si="3"/>
        <v>2.6417171161254641E-2</v>
      </c>
      <c r="R20" s="211"/>
      <c r="S20" s="149">
        <f t="shared" si="4"/>
        <v>7.7723201386882337E-2</v>
      </c>
      <c r="T20" s="96"/>
      <c r="U20" s="216">
        <f t="shared" si="6"/>
        <v>-0.28346281908990023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195"/>
      <c r="AG20" s="208">
        <v>36.340000000000003</v>
      </c>
      <c r="AH20" s="354"/>
      <c r="AI20" s="355">
        <v>34.61</v>
      </c>
      <c r="AJ20" s="195">
        <f>0.95+(1.05*2)</f>
        <v>3.05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2.8" x14ac:dyDescent="0.4">
      <c r="A21" s="111" t="s">
        <v>124</v>
      </c>
      <c r="B21" s="74"/>
      <c r="C21" s="128" t="s">
        <v>123</v>
      </c>
      <c r="D21" s="74"/>
      <c r="E21" s="208">
        <f>[1]!'EEP,LAST,1'</f>
        <v>47.4</v>
      </c>
      <c r="F21" s="209"/>
      <c r="G21" s="208">
        <f>[1]!'EEP,DIVIDEND,1'</f>
        <v>3.5</v>
      </c>
      <c r="H21" s="96"/>
      <c r="I21" s="160">
        <f t="shared" si="0"/>
        <v>7.3839662447257384E-2</v>
      </c>
      <c r="J21" s="160"/>
      <c r="K21" s="215">
        <f t="shared" si="1"/>
        <v>254.39662447257385</v>
      </c>
      <c r="L21" s="94"/>
      <c r="M21" s="160">
        <f t="shared" si="2"/>
        <v>7.2732067510548531E-2</v>
      </c>
      <c r="N21" s="94"/>
      <c r="O21" s="149">
        <f t="shared" si="5"/>
        <v>1.6055045871559632</v>
      </c>
      <c r="P21" s="211"/>
      <c r="Q21" s="149">
        <f t="shared" si="3"/>
        <v>-1.6801493466085921E-2</v>
      </c>
      <c r="R21" s="211"/>
      <c r="S21" s="149">
        <f t="shared" si="4"/>
        <v>4.015799868334427E-2</v>
      </c>
      <c r="T21" s="96"/>
      <c r="U21" s="216">
        <f t="shared" si="6"/>
        <v>0.21272727272727268</v>
      </c>
      <c r="V21" s="223"/>
      <c r="W21" s="115"/>
      <c r="X21" s="134"/>
      <c r="Y21" s="291">
        <v>1.92</v>
      </c>
      <c r="Z21" s="292">
        <v>2.1800000000000002</v>
      </c>
      <c r="AA21" s="224">
        <v>0.95</v>
      </c>
      <c r="AB21" s="226"/>
      <c r="AC21" s="74"/>
      <c r="AD21" s="193">
        <v>37099</v>
      </c>
      <c r="AE21" s="303">
        <v>0.875</v>
      </c>
      <c r="AF21" s="306"/>
      <c r="AG21" s="208">
        <v>48.21</v>
      </c>
      <c r="AH21" s="354"/>
      <c r="AI21" s="355">
        <v>45.57</v>
      </c>
      <c r="AJ21" s="195">
        <f>0.875*3</f>
        <v>2.625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4" x14ac:dyDescent="0.4">
      <c r="A22" s="111" t="s">
        <v>78</v>
      </c>
      <c r="B22" s="74"/>
      <c r="C22" s="128" t="s">
        <v>80</v>
      </c>
      <c r="D22" s="74"/>
      <c r="E22" s="208">
        <f>[1]!'PAA,LAST,1'</f>
        <v>27.2</v>
      </c>
      <c r="F22" s="209"/>
      <c r="G22" s="208">
        <f>[1]!'PAA,DIVIDEND,1'</f>
        <v>2.0499999999999998</v>
      </c>
      <c r="H22" s="286"/>
      <c r="I22" s="160">
        <f t="shared" si="0"/>
        <v>7.5367647058823525E-2</v>
      </c>
      <c r="J22" s="160"/>
      <c r="K22" s="215">
        <f t="shared" si="1"/>
        <v>269.67647058823525</v>
      </c>
      <c r="L22" s="94"/>
      <c r="M22" s="160">
        <f>(I22*AA22)+((I22*(1-AA22))*(1-0.3))</f>
        <v>6.8584558823529401E-2</v>
      </c>
      <c r="N22" s="94"/>
      <c r="O22" s="149">
        <f>+G22/Z22</f>
        <v>1.1849710982658959</v>
      </c>
      <c r="P22" s="211"/>
      <c r="Q22" s="149">
        <f>(AF22+$E22-AG22)/AG22</f>
        <v>-7.2992700729926753E-3</v>
      </c>
      <c r="R22" s="211"/>
      <c r="S22" s="149">
        <f>(AH22+$E22-AI22)/AI22</f>
        <v>6.2499999999999917E-2</v>
      </c>
      <c r="T22" s="96"/>
      <c r="U22" s="216">
        <f t="shared" si="6"/>
        <v>0.49738562091503263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27.4</v>
      </c>
      <c r="AH22" s="328"/>
      <c r="AI22" s="355">
        <v>25.6</v>
      </c>
      <c r="AJ22" s="222">
        <f>0.4625+0.475+0.5</f>
        <v>1.4375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2.8" x14ac:dyDescent="0.4">
      <c r="A23" s="111" t="s">
        <v>100</v>
      </c>
      <c r="B23" s="74"/>
      <c r="C23" s="128" t="s">
        <v>82</v>
      </c>
      <c r="D23" s="74"/>
      <c r="E23" s="208">
        <f>[1]!'TCLPZ.O,LAST,1'</f>
        <v>26.85</v>
      </c>
      <c r="F23" s="209"/>
      <c r="G23" s="208">
        <f>[1]!'TCLPZ.O,DIVIDEND,1'</f>
        <v>2</v>
      </c>
      <c r="H23" s="96"/>
      <c r="I23" s="160">
        <f t="shared" si="0"/>
        <v>7.4487895716945987E-2</v>
      </c>
      <c r="J23" s="160"/>
      <c r="K23" s="215">
        <f t="shared" si="1"/>
        <v>260.87895716945991</v>
      </c>
      <c r="L23" s="94"/>
      <c r="M23" s="160">
        <f>(I23*AA23)+((I23*(1-AA23))*(1-0.3))</f>
        <v>7.3370577281191798E-2</v>
      </c>
      <c r="N23" s="94"/>
      <c r="O23" s="149">
        <f>+G23/Z23</f>
        <v>0.86956521739130443</v>
      </c>
      <c r="P23" s="211"/>
      <c r="Q23" s="149">
        <f>(AF23+$E23-AG23)/AG23</f>
        <v>1.8975332068311195E-2</v>
      </c>
      <c r="R23" s="211"/>
      <c r="S23" s="149">
        <f>(AH23+$E23-AI23)/AI23</f>
        <v>2.4809160305343594E-2</v>
      </c>
      <c r="T23" s="96"/>
      <c r="U23" s="216">
        <f t="shared" si="6"/>
        <v>0.47012987012987018</v>
      </c>
      <c r="V23" s="223"/>
      <c r="W23" s="115"/>
      <c r="X23" s="134"/>
      <c r="Y23" s="291">
        <v>2.23</v>
      </c>
      <c r="Z23" s="292">
        <v>2.2999999999999998</v>
      </c>
      <c r="AA23" s="224">
        <v>0.95</v>
      </c>
      <c r="AB23" s="226"/>
      <c r="AC23" s="74"/>
      <c r="AD23" s="193">
        <v>37099</v>
      </c>
      <c r="AE23" s="304">
        <v>0.5</v>
      </c>
      <c r="AF23" s="305"/>
      <c r="AG23" s="283">
        <v>26.35</v>
      </c>
      <c r="AH23" s="328"/>
      <c r="AI23" s="357">
        <v>26.2</v>
      </c>
      <c r="AJ23" s="222">
        <f>(0.475*2)+0.5</f>
        <v>1.45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08">
        <f>[1]!'TPP,LAST,1'</f>
        <v>33.25</v>
      </c>
      <c r="F24" s="209"/>
      <c r="G24" s="208">
        <f>[1]!'TPP,DIVIDEND,1'</f>
        <v>2.2999999999999998</v>
      </c>
      <c r="H24" s="96"/>
      <c r="I24" s="160">
        <f t="shared" si="0"/>
        <v>6.9172932330827067E-2</v>
      </c>
      <c r="J24" s="160"/>
      <c r="K24" s="215">
        <f t="shared" si="1"/>
        <v>207.72932330827069</v>
      </c>
      <c r="L24" s="94"/>
      <c r="M24" s="160">
        <f t="shared" si="2"/>
        <v>6.2947368421052627E-2</v>
      </c>
      <c r="N24" s="94"/>
      <c r="O24" s="149">
        <f t="shared" si="5"/>
        <v>1.1386138613861385</v>
      </c>
      <c r="P24" s="211"/>
      <c r="Q24" s="149">
        <f t="shared" si="3"/>
        <v>-1.5015015015014163E-3</v>
      </c>
      <c r="R24" s="211"/>
      <c r="S24" s="149">
        <f t="shared" si="4"/>
        <v>3.90625E-2</v>
      </c>
      <c r="T24" s="96"/>
      <c r="U24" s="216">
        <f t="shared" si="6"/>
        <v>0.41781170483460572</v>
      </c>
      <c r="V24" s="223"/>
      <c r="W24" s="115"/>
      <c r="X24" s="134"/>
      <c r="Y24" s="291">
        <v>1.94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33.299999999999997</v>
      </c>
      <c r="AH24" s="328"/>
      <c r="AI24" s="355">
        <v>32</v>
      </c>
      <c r="AJ24" s="222">
        <f>0.525*3</f>
        <v>1.5750000000000002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4" x14ac:dyDescent="0.4">
      <c r="A25" s="321" t="s">
        <v>116</v>
      </c>
      <c r="B25" s="80"/>
      <c r="C25" s="147" t="s">
        <v>115</v>
      </c>
      <c r="D25" s="80"/>
      <c r="E25" s="208">
        <f>[1]!'UDL,LAST,1'</f>
        <v>38.36</v>
      </c>
      <c r="F25" s="322"/>
      <c r="G25" s="208">
        <f>[1]!'UDL,DIVIDEND,1'</f>
        <v>0.5</v>
      </c>
      <c r="H25" s="286"/>
      <c r="I25" s="160">
        <f>+G25/E25</f>
        <v>1.3034410844629822E-2</v>
      </c>
      <c r="J25" s="160"/>
      <c r="K25" s="215">
        <f>(+I25-E$30)*10000</f>
        <v>-353.65589155370179</v>
      </c>
      <c r="L25" s="94"/>
      <c r="M25" s="160">
        <f>(I25*AA25)+((I25*(1-AA25))*(1-0.3))</f>
        <v>9.1240875912408752E-3</v>
      </c>
      <c r="N25" s="94"/>
      <c r="O25" s="149">
        <f t="shared" si="5"/>
        <v>0.19455252918287938</v>
      </c>
      <c r="P25" s="211"/>
      <c r="Q25" s="149">
        <f>(AF25+$E25-AG25)/AG25</f>
        <v>5.8498896247240542E-2</v>
      </c>
      <c r="R25" s="211"/>
      <c r="S25" s="149">
        <f>(AH25+$E25-AI25)/AI25</f>
        <v>0.1766871165644171</v>
      </c>
      <c r="T25" s="96"/>
      <c r="U25" s="323">
        <f>(AJ25+E25-AK25)/AK25</f>
        <v>0.58616734693877548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36.24</v>
      </c>
      <c r="AH25" s="328"/>
      <c r="AI25" s="355">
        <v>32.6</v>
      </c>
      <c r="AJ25" s="222">
        <v>0.50109999999999999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4" x14ac:dyDescent="0.4">
      <c r="A26" s="321" t="s">
        <v>117</v>
      </c>
      <c r="B26" s="80"/>
      <c r="C26" s="147" t="s">
        <v>118</v>
      </c>
      <c r="D26" s="80"/>
      <c r="E26" s="208">
        <f>[1]!'WEG,LAST,1'</f>
        <v>40.85</v>
      </c>
      <c r="F26" s="322"/>
      <c r="G26" s="208">
        <f>[1]!'WEG,DIVIDEND,1'</f>
        <v>2.25</v>
      </c>
      <c r="H26" s="286"/>
      <c r="I26" s="160">
        <f>+G26/E26</f>
        <v>5.5079559363525092E-2</v>
      </c>
      <c r="J26" s="160"/>
      <c r="K26" s="215">
        <f>(+I26-E$30)*10000</f>
        <v>66.795593635250938</v>
      </c>
      <c r="L26" s="94"/>
      <c r="M26" s="160">
        <f>(I26*AA26)+((I26*(1-AA26))*(1-0.3))</f>
        <v>3.8555691554467565E-2</v>
      </c>
      <c r="N26" s="94"/>
      <c r="O26" s="149">
        <f t="shared" si="5"/>
        <v>1.2931034482758621</v>
      </c>
      <c r="P26" s="211"/>
      <c r="Q26" s="149">
        <f>(AF26+$E26-AG26)/AG26</f>
        <v>1.4906832298136682E-2</v>
      </c>
      <c r="R26" s="211"/>
      <c r="S26" s="149">
        <f>(AH26+$E26-AI26)/AI26</f>
        <v>0.10405405405405409</v>
      </c>
      <c r="T26" s="96"/>
      <c r="U26" s="323">
        <f>(AJ26+E26-AK26)/AK26</f>
        <v>0.93974418604651178</v>
      </c>
      <c r="V26" s="223"/>
      <c r="W26" s="115"/>
      <c r="X26" s="134"/>
      <c r="Y26" s="291">
        <v>1.65</v>
      </c>
      <c r="Z26" s="297">
        <v>1.74</v>
      </c>
      <c r="AA26" s="329">
        <v>0</v>
      </c>
      <c r="AB26" s="224"/>
      <c r="AC26" s="327"/>
      <c r="AD26" s="193">
        <v>37103</v>
      </c>
      <c r="AE26" s="305">
        <v>0.5625</v>
      </c>
      <c r="AF26" s="328"/>
      <c r="AG26" s="208">
        <v>40.25</v>
      </c>
      <c r="AH26" s="328"/>
      <c r="AI26" s="355">
        <v>37</v>
      </c>
      <c r="AJ26" s="222">
        <f>0.292+0.5625</f>
        <v>0.85450000000000004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3.4" thickBot="1" x14ac:dyDescent="0.45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7.0395739855965381E-2</v>
      </c>
      <c r="J28" s="242"/>
      <c r="K28" s="243">
        <f>(+I28-E$30)*10000</f>
        <v>219.95739855965383</v>
      </c>
      <c r="L28" s="238"/>
      <c r="M28" s="242">
        <f>AVERAGEA(M13:M24)</f>
        <v>7.2208244819530018E-2</v>
      </c>
      <c r="N28" s="238"/>
      <c r="O28" s="244">
        <f>AVERAGEA(O13:O26)</f>
        <v>1.6315713020478546</v>
      </c>
      <c r="P28" s="245"/>
      <c r="Q28" s="244">
        <f>AVERAGEA(Q13:Q26)</f>
        <v>9.363392585192979E-3</v>
      </c>
      <c r="R28" s="245"/>
      <c r="S28" s="244">
        <f>AVERAGEA(S13:S26)</f>
        <v>7.3337946650351218E-2</v>
      </c>
      <c r="T28" s="241"/>
      <c r="U28" s="246">
        <f>AVERAGEA(U13:U26)</f>
        <v>0.49166916840010771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4">
      <c r="A30" s="111" t="s">
        <v>127</v>
      </c>
      <c r="B30" s="74"/>
      <c r="C30" s="112"/>
      <c r="D30" s="74"/>
      <c r="E30" s="256">
        <v>4.8399999999999999E-2</v>
      </c>
      <c r="F30" s="74"/>
      <c r="G30" s="255"/>
      <c r="H30" s="96"/>
      <c r="J30" s="256"/>
      <c r="K30" s="210"/>
      <c r="L30" s="94"/>
      <c r="M30" s="160">
        <f>(E30*AA30)+((E30*(1-AA30))*(1-0.3))</f>
        <v>3.3879999999999993E-2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4.8399999999999999E-2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6" t="s">
        <v>88</v>
      </c>
      <c r="AQ30" s="367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4" x14ac:dyDescent="0.4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4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4" x14ac:dyDescent="0.4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4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5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5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4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4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65" t="s">
        <v>37</v>
      </c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32"/>
      <c r="Q43" s="365" t="s">
        <v>35</v>
      </c>
      <c r="R43" s="365"/>
      <c r="S43" s="365"/>
      <c r="T43" s="365"/>
      <c r="U43" s="365"/>
      <c r="V43" s="365"/>
      <c r="W43" s="365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2.52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2.65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2.4</v>
      </c>
      <c r="T50" s="83"/>
      <c r="U50" s="89">
        <v>2.9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4">
      <c r="A55" s="93" t="s">
        <v>61</v>
      </c>
      <c r="B55" s="83"/>
      <c r="C55" s="83"/>
      <c r="D55" s="83"/>
      <c r="E55" s="90" t="s">
        <v>60</v>
      </c>
      <c r="F55" s="336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3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45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4">
      <c r="A56" s="93" t="s">
        <v>109</v>
      </c>
      <c r="B56" s="83"/>
      <c r="C56" s="83"/>
      <c r="D56" s="83"/>
      <c r="E56" s="90" t="s">
        <v>54</v>
      </c>
      <c r="F56" s="336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3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47</v>
      </c>
      <c r="X56" s="89"/>
      <c r="Y56" s="345">
        <v>37098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4">
      <c r="A57" s="93" t="s">
        <v>128</v>
      </c>
      <c r="B57" s="83"/>
      <c r="C57" s="83"/>
      <c r="D57" s="83"/>
      <c r="E57" s="80"/>
      <c r="F57" s="336"/>
      <c r="G57" s="88"/>
      <c r="H57" s="83"/>
      <c r="I57" s="80"/>
      <c r="J57" s="80"/>
      <c r="K57" s="83"/>
      <c r="L57" s="80"/>
      <c r="M57" s="80"/>
      <c r="N57" s="83"/>
      <c r="O57" s="343"/>
      <c r="P57" s="83"/>
      <c r="Q57" s="80"/>
      <c r="R57" s="83"/>
      <c r="S57" s="89">
        <v>2.4700000000000002</v>
      </c>
      <c r="T57" s="83"/>
      <c r="U57" s="89">
        <v>2.9</v>
      </c>
      <c r="V57" s="83"/>
      <c r="W57" s="89">
        <v>43</v>
      </c>
      <c r="X57" s="83"/>
      <c r="Y57" s="345">
        <v>37168</v>
      </c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5">
      <c r="A58" s="93" t="s">
        <v>16</v>
      </c>
      <c r="B58" s="80"/>
      <c r="C58" s="94"/>
      <c r="D58" s="80"/>
      <c r="E58" s="80"/>
      <c r="F58" s="336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23</v>
      </c>
      <c r="L58" s="80"/>
      <c r="M58" s="80"/>
      <c r="N58" s="96"/>
      <c r="O58" s="344"/>
      <c r="P58" s="96"/>
      <c r="Q58" s="80"/>
      <c r="R58" s="80"/>
      <c r="S58" s="95">
        <f>AVERAGEA(S45:S57)</f>
        <v>2.5149999999999997</v>
      </c>
      <c r="T58" s="96"/>
      <c r="U58" s="95">
        <f>AVERAGEA(U45:U57)</f>
        <v>2.9366666666666661</v>
      </c>
      <c r="V58" s="97"/>
      <c r="W58" s="95">
        <f>AVERAGEA(W45:W57)</f>
        <v>42.916666666666664</v>
      </c>
      <c r="X58" s="99"/>
      <c r="Y58" s="346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3.4" thickTop="1" x14ac:dyDescent="0.4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36"/>
      <c r="S59" s="80"/>
      <c r="T59" s="98"/>
      <c r="U59" s="80"/>
      <c r="V59" s="99"/>
      <c r="W59" s="228"/>
      <c r="X59" s="73"/>
      <c r="Y59" s="230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2.8" x14ac:dyDescent="0.4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8"/>
      <c r="W60" s="228"/>
      <c r="X60" s="73"/>
      <c r="Y60" s="230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2.8" x14ac:dyDescent="0.4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2.8" x14ac:dyDescent="0.4">
      <c r="A62" s="274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3"/>
      <c r="X62" s="337"/>
      <c r="Y62" s="248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X67" s="21"/>
      <c r="Y67" s="21"/>
      <c r="Z67" s="21"/>
      <c r="AA67" s="21"/>
      <c r="AB67" s="21"/>
      <c r="AE67" s="12"/>
      <c r="AF67" s="208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2001-10-12T20:19:05Z</cp:lastPrinted>
  <dcterms:created xsi:type="dcterms:W3CDTF">1997-07-25T21:20:20Z</dcterms:created>
  <dcterms:modified xsi:type="dcterms:W3CDTF">2023-09-10T15:35:01Z</dcterms:modified>
</cp:coreProperties>
</file>