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856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'MLP''s'!$W$10:$AR$33</definedName>
    <definedName name="ene">'MLP''s'!$A$1:$BA$43</definedName>
    <definedName name="enep">'MLP''s'!$A:$K</definedName>
    <definedName name="eog">'MLP''s'!$V$1:$BA$40</definedName>
    <definedName name="eogp">'MLP''s'!$V$1:$AZ$43</definedName>
    <definedName name="_xlnm.Print_Area" localSheetId="0">'MLP''s'!$A$1:$W$56</definedName>
    <definedName name="Print_Area_MI">'MLP''s'!$A$1:$N$43</definedName>
    <definedName name="_xlnm.Print_Titles" localSheetId="0">'MLP''s'!$A:$C,'MLP''s'!$1:$9</definedName>
    <definedName name="report">'MLP''s'!$C$10:$U$33</definedName>
  </definedNames>
  <calcPr calcId="0" fullCalcOnLoad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E13" i="1"/>
  <c r="G13" i="1"/>
  <c r="I13" i="1"/>
  <c r="K13" i="1"/>
  <c r="M13" i="1"/>
  <c r="O13" i="1"/>
  <c r="Q13" i="1"/>
  <c r="S13" i="1"/>
  <c r="U13" i="1"/>
  <c r="AJ13" i="1"/>
  <c r="AL13" i="1"/>
  <c r="AN13" i="1"/>
  <c r="E14" i="1"/>
  <c r="G14" i="1"/>
  <c r="I14" i="1"/>
  <c r="K14" i="1"/>
  <c r="M14" i="1"/>
  <c r="O14" i="1"/>
  <c r="Q14" i="1"/>
  <c r="S14" i="1"/>
  <c r="U14" i="1"/>
  <c r="AJ14" i="1"/>
  <c r="AL14" i="1"/>
  <c r="AN14" i="1"/>
  <c r="AO14" i="1"/>
  <c r="E15" i="1"/>
  <c r="G15" i="1"/>
  <c r="I15" i="1"/>
  <c r="K15" i="1"/>
  <c r="M15" i="1"/>
  <c r="O15" i="1"/>
  <c r="Q15" i="1"/>
  <c r="S15" i="1"/>
  <c r="U15" i="1"/>
  <c r="AJ15" i="1"/>
  <c r="AL15" i="1"/>
  <c r="AN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E18" i="1"/>
  <c r="G18" i="1"/>
  <c r="I18" i="1"/>
  <c r="K18" i="1"/>
  <c r="M18" i="1"/>
  <c r="O18" i="1"/>
  <c r="Q18" i="1"/>
  <c r="S18" i="1"/>
  <c r="U18" i="1"/>
  <c r="AJ18" i="1"/>
  <c r="AL18" i="1"/>
  <c r="AN18" i="1"/>
  <c r="E19" i="1"/>
  <c r="G19" i="1"/>
  <c r="I19" i="1"/>
  <c r="K19" i="1"/>
  <c r="M19" i="1"/>
  <c r="O19" i="1"/>
  <c r="Q19" i="1"/>
  <c r="S19" i="1"/>
  <c r="U19" i="1"/>
  <c r="AJ19" i="1"/>
  <c r="AL19" i="1"/>
  <c r="AN19" i="1"/>
  <c r="E20" i="1"/>
  <c r="G20" i="1"/>
  <c r="I20" i="1"/>
  <c r="K20" i="1"/>
  <c r="M20" i="1"/>
  <c r="O20" i="1"/>
  <c r="Q20" i="1"/>
  <c r="S20" i="1"/>
  <c r="U20" i="1"/>
  <c r="AJ20" i="1"/>
  <c r="AL20" i="1"/>
  <c r="AN20" i="1"/>
  <c r="E21" i="1"/>
  <c r="G21" i="1"/>
  <c r="I21" i="1"/>
  <c r="K21" i="1"/>
  <c r="M21" i="1"/>
  <c r="O21" i="1"/>
  <c r="Q21" i="1"/>
  <c r="S21" i="1"/>
  <c r="U21" i="1"/>
  <c r="AJ21" i="1"/>
  <c r="AL21" i="1"/>
  <c r="E22" i="1"/>
  <c r="G22" i="1"/>
  <c r="I22" i="1"/>
  <c r="K22" i="1"/>
  <c r="M22" i="1"/>
  <c r="O22" i="1"/>
  <c r="Q22" i="1"/>
  <c r="S22" i="1"/>
  <c r="U22" i="1"/>
  <c r="AJ22" i="1"/>
  <c r="AL22" i="1"/>
  <c r="E23" i="1"/>
  <c r="G23" i="1"/>
  <c r="I23" i="1"/>
  <c r="K23" i="1"/>
  <c r="M23" i="1"/>
  <c r="O23" i="1"/>
  <c r="Q23" i="1"/>
  <c r="S23" i="1"/>
  <c r="U23" i="1"/>
  <c r="AJ23" i="1"/>
  <c r="AL23" i="1"/>
  <c r="AN23" i="1"/>
  <c r="AO23" i="1"/>
  <c r="I25" i="1"/>
  <c r="K25" i="1"/>
  <c r="M25" i="1"/>
  <c r="O25" i="1"/>
  <c r="Q25" i="1"/>
  <c r="S25" i="1"/>
  <c r="U25" i="1"/>
  <c r="E26" i="1"/>
  <c r="AK26" i="1"/>
  <c r="AL26" i="1"/>
  <c r="E27" i="1"/>
  <c r="M27" i="1"/>
  <c r="Q27" i="1"/>
  <c r="S27" i="1"/>
  <c r="U27" i="1"/>
  <c r="G52" i="1"/>
  <c r="I52" i="1"/>
  <c r="K52" i="1"/>
  <c r="S52" i="1"/>
  <c r="U52" i="1"/>
  <c r="W52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<sst xmlns="http://schemas.openxmlformats.org/spreadsheetml/2006/main" count="158" uniqueCount="118">
  <si>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</si>
  <si>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</si>
  <si>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</si>
  <si>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</si>
  <si>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</si>
  <si>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</si>
  <si>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</si>
  <si>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</si>
  <si>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</si>
  <si>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</si>
  <si>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</si>
  <si>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</si>
  <si>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</si>
  <si>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</si>
  <si>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</si>
  <si>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</si>
  <si>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</si>
  <si>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</si>
  <si>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</si>
  <si>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</si>
  <si>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</si>
  <si>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</si>
  <si>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</si>
  <si>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</si>
  <si>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</si>
  <si>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</si>
  <si>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</si>
  <si>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</si>
  <si>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</si>
  <si>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</si>
  <si>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</si>
  <si>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</si>
  <si>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</si>
  <si>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</si>
  <si>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</si>
  <si>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</si>
  <si>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</si>
  <si>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</si>
  <si>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</si>
  <si>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</si>
  <si>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</si>
  <si>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</si>
  <si>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</si>
  <si>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</si>
  <si>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</si>
  <si>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</si>
  <si>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</si>
  <si>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</si>
  <si>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</si>
  <si>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</si>
  <si>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</si>
  <si>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</si>
  <si>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</si>
  <si>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</si>
  <si>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</si>
  <si>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</si>
  <si>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</si>
  <si>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</si>
  <si>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</si>
  <si>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</si>
  <si>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</si>
  <si>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</si>
  <si>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</si>
  <si>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</si>
  <si>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</si>
  <si>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</si>
  <si>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</si>
  <si>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</si>
  <si>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</si>
  <si>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</si>
  <si>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</si>
  <si>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</si>
  <si>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</si>
  <si>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</si>
  <si>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</si>
  <si>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</si>
  <si>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</si>
  <si>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</si>
  <si>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</si>
  <si>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David LaBonte</t>
  </si>
  <si>
    <t>Primary Contact</t>
  </si>
  <si>
    <t>Accum./Buy</t>
  </si>
  <si>
    <t>x Div</t>
  </si>
  <si>
    <t>2000 EPS *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</si>
  <si>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</si>
  <si>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</si>
  <si>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</si>
  <si>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</si>
  <si>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</si>
  <si>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</si>
  <si>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</si>
  <si>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</si>
  <si>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</si>
  <si>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</si>
  <si>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</si>
  <si>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</si>
  <si>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</si>
  <si>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</si>
  <si>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</si>
  <si>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</si>
  <si>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</si>
  <si>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</si>
  <si>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</si>
  <si>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PaineWebber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</si>
  <si>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</si>
  <si>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</si>
  <si>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</si>
  <si>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</si>
  <si>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</si>
  <si>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</si>
  <si>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</si>
  <si>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Friday</t>
  </si>
  <si>
    <t>Genesis (3)</t>
  </si>
  <si>
    <t>(3) Proposed restructuring would reduce distribution to $0.80 per year.</t>
  </si>
  <si>
    <t>Donato Eassey (NBP) Andrew Fairbanks (EOT)</t>
  </si>
  <si>
    <t>???</t>
  </si>
  <si>
    <t>(3)</t>
  </si>
  <si>
    <t>Accumulate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</si>
</sst>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73" fontId="17" fillId="0" borderId="16" xfId="2" applyNumberFormat="1" applyFont="1" applyFill="1" applyBorder="1" applyAlignment="1">
      <alignment horizontal="left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4" fontId="18" fillId="0" borderId="6" xfId="0" quotePrefix="1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">
        <values>
          <value>
            <val>18.5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28.1875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15.1875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26.6875</val>
          </value>
        </values>
      </ddeItem>
      <ddeItem name="EPN,DIVIDEND" advise="1">
        <values>
          <value>
            <val>2.15</val>
          </value>
        </values>
      </ddeItem>
      <ddeItem name="FGP">
        <values>
          <value>
            <val>14.125</val>
          </value>
        </values>
      </ddeItem>
      <ddeItem name="FGP,DIVIDEND">
        <values>
          <value>
            <val>2</val>
          </value>
        </values>
      </ddeItem>
      <ddeItem name="GEL">
        <values>
          <value>
            <val>6.9375</val>
          </value>
        </values>
      </ddeItem>
      <ddeItem name="GEL,DIVIDEND">
        <values>
          <value>
            <val>2</val>
          </value>
        </values>
      </ddeItem>
      <ddeItem name="KMP" advise="1">
        <values>
          <value>
            <val>47.875</val>
          </value>
        </values>
      </ddeItem>
      <ddeItem name="KMP,DIVIDEND" advise="1">
        <values>
          <value>
            <val>3.4</val>
          </value>
        </values>
      </ddeItem>
      <ddeItem name="KPP">
        <values>
          <value>
            <val>29.25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40.5625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32.875</val>
          </value>
        </values>
      </ddeItem>
      <ddeItem name="NBP,DIVIDEND">
        <values>
          <value>
            <val>2.8</val>
          </value>
        </values>
      </ddeItem>
      <ddeItem name="PAA">
        <values>
          <value>
            <val>19.125</val>
          </value>
        </values>
      </ddeItem>
      <ddeItem name="PAA,DIVIDEND" advise="1">
        <values>
          <value>
            <val>1.85</val>
          </value>
        </values>
      </ddeItem>
      <ddeItem name="TCLPZ.O" advise="1">
        <values>
          <value>
            <val>19.625</val>
          </value>
        </values>
      </ddeItem>
      <ddeItem name="TCLPZ.O,DIVIDEND" advise="1">
        <values>
          <value>
            <val>1.8</val>
          </value>
        </values>
      </ddeItem>
      <ddeItem name="TPP">
        <values>
          <value>
            <val>25.375</val>
          </value>
        </values>
      </ddeItem>
      <ddeItem name="TPP,DIVIDEND">
        <values>
          <value>
            <val>2</val>
          </value>
        </values>
      </ddeItem>
      <ddeItem name="US30YT=RR,RT YIELD 1">
        <values>
          <value>
            <val>5.8091999999999997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25" transitionEvaluation="1">
    <pageSetUpPr fitToPage="1"/>
  </sheetPr>
  <dimension ref="A1:BA124"/>
  <sheetViews>
    <sheetView showGridLines="0" tabSelected="1" topLeftCell="A25" zoomScale="50" workbookViewId="0">
      <pane xSplit="3" topLeftCell="D1" activePane="topRight" state="frozen"/>
      <selection pane="topRight" activeCell="G50" sqref="G50"/>
    </sheetView>
  </sheetViews>
  <sheetFormatPr defaultColWidth="9.81640625" defaultRowHeight="17.399999999999999" x14ac:dyDescent="0.3"/>
  <cols>
    <col min="1" max="1" width="37.6328125" style="7" customWidth="1"/>
    <col min="2" max="2" width="2.81640625" style="7" customWidth="1"/>
    <col min="3" max="3" width="7.81640625" style="16" customWidth="1"/>
    <col min="4" max="4" width="2.54296875" style="7" customWidth="1"/>
    <col min="5" max="5" width="23.453125" style="7" customWidth="1"/>
    <col min="6" max="6" width="10.36328125" style="7" customWidth="1"/>
    <col min="7" max="7" width="19.08984375" style="28" customWidth="1"/>
    <col min="8" max="8" width="3.90625" style="7" customWidth="1"/>
    <col min="9" max="9" width="16.54296875" style="39" customWidth="1"/>
    <col min="10" max="10" width="1.90625" style="39" customWidth="1"/>
    <col min="11" max="11" width="21.6328125" style="42" customWidth="1"/>
    <col min="12" max="12" width="1.6328125" style="7" customWidth="1"/>
    <col min="13" max="13" width="11.1796875" style="39" hidden="1" customWidth="1"/>
    <col min="14" max="14" width="0.36328125" style="7" customWidth="1"/>
    <col min="15" max="15" width="11.36328125" style="40" customWidth="1"/>
    <col min="16" max="16" width="8" style="38" customWidth="1"/>
    <col min="17" max="17" width="16.90625" style="40" customWidth="1"/>
    <col min="18" max="18" width="4" style="38" customWidth="1"/>
    <col min="19" max="19" width="12.453125" style="40" customWidth="1"/>
    <col min="20" max="20" width="2.81640625" style="7" customWidth="1"/>
    <col min="21" max="21" width="19.36328125" style="7" customWidth="1"/>
    <col min="22" max="22" width="2.08984375" style="20" customWidth="1"/>
    <col min="23" max="23" width="21.1796875" style="20" customWidth="1"/>
    <col min="24" max="24" width="3.90625" style="20" customWidth="1"/>
    <col min="25" max="25" width="17" style="20" customWidth="1"/>
    <col min="26" max="27" width="15.90625" style="20" customWidth="1"/>
    <col min="28" max="28" width="20.36328125" style="20" customWidth="1"/>
    <col min="29" max="29" width="2.36328125" style="7" customWidth="1"/>
    <col min="30" max="30" width="14.90625" style="7" customWidth="1"/>
    <col min="31" max="31" width="11.36328125" style="22" customWidth="1"/>
    <col min="32" max="32" width="12.1796875" style="22" customWidth="1"/>
    <col min="33" max="33" width="15.36328125" style="22" customWidth="1"/>
    <col min="34" max="34" width="12.1796875" style="22" customWidth="1"/>
    <col min="35" max="35" width="15" style="22" customWidth="1"/>
    <col min="36" max="36" width="10.453125" style="22" customWidth="1"/>
    <col min="37" max="39" width="15.453125" style="22" customWidth="1"/>
    <col min="40" max="40" width="12.90625" style="7" customWidth="1"/>
    <col min="41" max="41" width="16.453125" style="7" customWidth="1"/>
    <col min="42" max="52" width="11.36328125" style="7" customWidth="1"/>
    <col min="53" max="16384" width="9.81640625" style="7"/>
  </cols>
  <sheetData>
    <row r="1" spans="1:52" s="85" customFormat="1" ht="22.8" x14ac:dyDescent="0.4">
      <c r="A1" s="127" t="s">
        <v>0</v>
      </c>
      <c r="B1" s="78"/>
      <c r="C1" s="128"/>
      <c r="D1" s="78"/>
      <c r="E1" s="78"/>
      <c r="F1" s="78"/>
      <c r="G1" s="109"/>
      <c r="H1" s="84"/>
      <c r="I1" s="110"/>
      <c r="J1" s="110"/>
      <c r="K1" s="129"/>
      <c r="L1" s="84"/>
      <c r="M1" s="110"/>
      <c r="N1" s="84"/>
      <c r="O1" s="78"/>
      <c r="P1" s="84"/>
      <c r="Q1" s="78"/>
      <c r="R1" s="84"/>
      <c r="S1" s="78"/>
      <c r="T1" s="84"/>
      <c r="U1" s="130" t="s">
        <v>111</v>
      </c>
      <c r="V1" s="131"/>
      <c r="W1" s="131"/>
      <c r="X1" s="131"/>
      <c r="Y1" s="131"/>
      <c r="Z1" s="131"/>
      <c r="AA1" s="131"/>
      <c r="AB1" s="131"/>
      <c r="AC1" s="78"/>
      <c r="AD1" s="84"/>
      <c r="AE1" s="117"/>
      <c r="AF1" s="117"/>
      <c r="AG1" s="117"/>
      <c r="AH1" s="117"/>
      <c r="AI1" s="117"/>
      <c r="AJ1" s="117"/>
      <c r="AK1" s="117"/>
      <c r="AL1" s="117"/>
      <c r="AM1" s="117"/>
      <c r="AN1" s="84"/>
      <c r="AO1" s="84"/>
      <c r="AP1" s="80"/>
      <c r="AQ1" s="84"/>
      <c r="AR1" s="80"/>
      <c r="AS1" s="80"/>
      <c r="AT1" s="80"/>
      <c r="AU1" s="80"/>
      <c r="AV1" s="80"/>
      <c r="AW1" s="132"/>
      <c r="AX1" s="80"/>
      <c r="AY1" s="80"/>
    </row>
    <row r="2" spans="1:52" s="85" customFormat="1" ht="22.8" x14ac:dyDescent="0.4">
      <c r="A2" s="127" t="s">
        <v>1</v>
      </c>
      <c r="B2" s="78"/>
      <c r="C2" s="128"/>
      <c r="D2" s="78"/>
      <c r="E2" s="78"/>
      <c r="F2" s="78"/>
      <c r="G2" s="109"/>
      <c r="H2" s="107"/>
      <c r="I2" s="110"/>
      <c r="J2" s="110"/>
      <c r="K2" s="133"/>
      <c r="L2" s="107"/>
      <c r="M2" s="110"/>
      <c r="N2" s="107"/>
      <c r="O2" s="78"/>
      <c r="P2" s="84"/>
      <c r="Q2" s="78"/>
      <c r="R2" s="84"/>
      <c r="S2" s="78"/>
      <c r="T2" s="107"/>
      <c r="U2" s="134">
        <v>36812</v>
      </c>
      <c r="V2" s="135"/>
      <c r="W2" s="311"/>
      <c r="X2" s="135"/>
      <c r="Y2" s="135"/>
      <c r="Z2" s="135"/>
      <c r="AA2" s="135"/>
      <c r="AB2" s="135"/>
      <c r="AC2" s="78"/>
      <c r="AD2" s="107"/>
      <c r="AE2" s="136"/>
      <c r="AF2" s="136"/>
      <c r="AG2" s="136"/>
      <c r="AH2" s="136"/>
      <c r="AI2" s="136"/>
      <c r="AJ2" s="136"/>
      <c r="AK2" s="136"/>
      <c r="AL2" s="136"/>
      <c r="AM2" s="136"/>
      <c r="AN2" s="107"/>
      <c r="AO2" s="107"/>
      <c r="AP2" s="107"/>
      <c r="AQ2" s="107"/>
      <c r="AR2" s="137"/>
      <c r="AS2" s="137"/>
      <c r="AT2" s="137"/>
      <c r="AU2" s="137"/>
      <c r="AV2" s="138"/>
      <c r="AW2" s="137"/>
      <c r="AX2" s="137"/>
      <c r="AY2" s="84"/>
      <c r="AZ2" s="139"/>
    </row>
    <row r="3" spans="1:52" s="85" customFormat="1" ht="22.8" x14ac:dyDescent="0.4">
      <c r="A3" s="78"/>
      <c r="B3" s="78"/>
      <c r="C3" s="128"/>
      <c r="D3" s="78"/>
      <c r="E3" s="78"/>
      <c r="F3" s="78"/>
      <c r="G3" s="109"/>
      <c r="H3" s="107"/>
      <c r="I3" s="110"/>
      <c r="J3" s="110"/>
      <c r="K3" s="140"/>
      <c r="L3" s="107"/>
      <c r="M3" s="110"/>
      <c r="N3" s="107"/>
      <c r="O3" s="78"/>
      <c r="P3" s="84"/>
      <c r="Q3" s="78"/>
      <c r="R3" s="84"/>
      <c r="S3" s="78"/>
      <c r="T3" s="107"/>
      <c r="U3" s="141"/>
      <c r="V3" s="135"/>
      <c r="W3" s="135"/>
      <c r="X3" s="135"/>
      <c r="Y3" s="135"/>
      <c r="Z3" s="135"/>
      <c r="AA3" s="135"/>
      <c r="AB3" s="135"/>
      <c r="AC3" s="78"/>
      <c r="AD3" s="107"/>
      <c r="AE3" s="136"/>
      <c r="AF3" s="136"/>
      <c r="AG3" s="136"/>
      <c r="AH3" s="136"/>
      <c r="AI3" s="136"/>
      <c r="AJ3" s="136"/>
      <c r="AK3" s="136"/>
      <c r="AL3" s="136"/>
      <c r="AM3" s="136"/>
      <c r="AN3" s="107"/>
      <c r="AO3" s="107"/>
      <c r="AP3" s="107"/>
      <c r="AQ3" s="107"/>
      <c r="AR3" s="137"/>
      <c r="AS3" s="137"/>
      <c r="AT3" s="137"/>
      <c r="AU3" s="137"/>
      <c r="AV3" s="138"/>
      <c r="AW3" s="137"/>
      <c r="AX3" s="137"/>
      <c r="AY3" s="84"/>
      <c r="AZ3" s="139"/>
    </row>
    <row r="4" spans="1:52" s="85" customFormat="1" ht="22.8" x14ac:dyDescent="0.4">
      <c r="A4" s="78"/>
      <c r="B4" s="78"/>
      <c r="C4" s="128"/>
      <c r="D4" s="78"/>
      <c r="E4" s="78"/>
      <c r="F4" s="78"/>
      <c r="G4" s="109"/>
      <c r="H4" s="107"/>
      <c r="I4" s="110"/>
      <c r="J4" s="110"/>
      <c r="K4" s="133"/>
      <c r="L4" s="107"/>
      <c r="M4" s="110" t="s">
        <v>2</v>
      </c>
      <c r="N4" s="107"/>
      <c r="O4" s="78"/>
      <c r="P4" s="84"/>
      <c r="Q4" s="142"/>
      <c r="R4" s="142"/>
      <c r="S4" s="143"/>
      <c r="T4" s="143"/>
      <c r="U4" s="143"/>
      <c r="V4" s="135"/>
      <c r="W4" s="135"/>
      <c r="X4" s="135"/>
      <c r="Y4" s="135"/>
      <c r="Z4" s="135"/>
      <c r="AA4" s="135"/>
      <c r="AB4" s="135"/>
      <c r="AC4" s="78"/>
      <c r="AD4" s="107"/>
      <c r="AE4" s="136"/>
      <c r="AF4" s="136"/>
      <c r="AG4" s="136"/>
      <c r="AH4" s="136"/>
      <c r="AI4" s="136"/>
      <c r="AJ4" s="136"/>
      <c r="AK4" s="136"/>
      <c r="AL4" s="136"/>
      <c r="AM4" s="136"/>
      <c r="AN4" s="107"/>
      <c r="AO4" s="107"/>
      <c r="AP4" s="137"/>
      <c r="AQ4" s="137"/>
      <c r="AR4" s="137"/>
      <c r="AS4" s="137"/>
      <c r="AT4" s="138"/>
      <c r="AU4" s="137"/>
      <c r="AV4" s="137"/>
      <c r="AW4" s="84"/>
      <c r="AX4" s="139"/>
    </row>
    <row r="5" spans="1:52" s="85" customFormat="1" ht="22.8" x14ac:dyDescent="0.4">
      <c r="A5" s="78"/>
      <c r="B5" s="78"/>
      <c r="C5" s="128"/>
      <c r="D5" s="78"/>
      <c r="E5" s="144"/>
      <c r="F5" s="144"/>
      <c r="G5" s="109"/>
      <c r="H5" s="109"/>
      <c r="I5" s="110"/>
      <c r="J5" s="110"/>
      <c r="K5" s="114"/>
      <c r="L5" s="109"/>
      <c r="M5" s="110" t="s">
        <v>3</v>
      </c>
      <c r="N5" s="109"/>
      <c r="O5" s="111"/>
      <c r="P5" s="111"/>
      <c r="Q5" s="145" t="s">
        <v>4</v>
      </c>
      <c r="R5" s="146"/>
      <c r="S5" s="146"/>
      <c r="T5" s="147"/>
      <c r="U5" s="148"/>
      <c r="V5" s="149"/>
      <c r="W5" s="131"/>
      <c r="X5" s="150"/>
      <c r="Y5" s="151">
        <v>2000</v>
      </c>
      <c r="Z5" s="152">
        <v>2001</v>
      </c>
      <c r="AA5" s="153" t="s">
        <v>6</v>
      </c>
      <c r="AB5" s="154"/>
      <c r="AC5" s="155"/>
      <c r="AD5" s="156"/>
      <c r="AE5" s="157"/>
      <c r="AF5" s="158" t="s">
        <v>7</v>
      </c>
      <c r="AG5" s="159"/>
      <c r="AH5" s="158" t="s">
        <v>8</v>
      </c>
      <c r="AI5" s="160"/>
      <c r="AJ5" s="319" t="s">
        <v>9</v>
      </c>
      <c r="AK5" s="159"/>
      <c r="AL5" s="160"/>
      <c r="AM5" s="160"/>
      <c r="AN5" s="161"/>
      <c r="AO5" s="162"/>
      <c r="AP5" s="163"/>
      <c r="AQ5" s="107"/>
      <c r="AR5" s="107"/>
      <c r="AS5" s="107"/>
      <c r="AT5" s="107"/>
      <c r="AU5" s="107"/>
      <c r="AV5" s="107"/>
      <c r="AW5" s="107"/>
      <c r="AX5" s="78"/>
    </row>
    <row r="6" spans="1:52" s="85" customFormat="1" ht="22.8" x14ac:dyDescent="0.4">
      <c r="A6" s="78"/>
      <c r="B6" s="78"/>
      <c r="C6" s="128"/>
      <c r="D6" s="78"/>
      <c r="E6" s="164" t="s">
        <v>10</v>
      </c>
      <c r="F6" s="164"/>
      <c r="G6" s="144" t="s">
        <v>11</v>
      </c>
      <c r="H6" s="109"/>
      <c r="I6" s="165" t="s">
        <v>12</v>
      </c>
      <c r="J6" s="165"/>
      <c r="K6" s="114"/>
      <c r="L6" s="109"/>
      <c r="M6" s="165" t="s">
        <v>12</v>
      </c>
      <c r="N6" s="109"/>
      <c r="O6" s="166" t="s">
        <v>13</v>
      </c>
      <c r="P6" s="166"/>
      <c r="Q6" s="166" t="s">
        <v>12</v>
      </c>
      <c r="R6" s="166"/>
      <c r="S6" s="107" t="s">
        <v>14</v>
      </c>
      <c r="T6" s="143"/>
      <c r="U6" s="107" t="s">
        <v>5</v>
      </c>
      <c r="V6" s="167"/>
      <c r="W6" s="131"/>
      <c r="X6" s="150"/>
      <c r="Y6" s="168" t="s">
        <v>16</v>
      </c>
      <c r="Z6" s="169" t="s">
        <v>16</v>
      </c>
      <c r="AA6" s="167" t="s">
        <v>17</v>
      </c>
      <c r="AB6" s="169" t="s">
        <v>18</v>
      </c>
      <c r="AC6" s="78"/>
      <c r="AD6" s="170" t="s">
        <v>19</v>
      </c>
      <c r="AE6" s="171" t="s">
        <v>19</v>
      </c>
      <c r="AF6" s="300" t="s">
        <v>82</v>
      </c>
      <c r="AG6" s="333">
        <v>36805</v>
      </c>
      <c r="AH6" s="300" t="s">
        <v>82</v>
      </c>
      <c r="AI6" s="172">
        <v>36798</v>
      </c>
      <c r="AJ6" s="300" t="s">
        <v>82</v>
      </c>
      <c r="AK6" s="172">
        <v>36525</v>
      </c>
      <c r="AL6" s="320" t="s">
        <v>105</v>
      </c>
      <c r="AM6" s="174">
        <v>36160</v>
      </c>
      <c r="AN6" s="173">
        <v>1998</v>
      </c>
      <c r="AO6" s="174">
        <v>35795</v>
      </c>
      <c r="AP6" s="163"/>
      <c r="AQ6" s="107"/>
      <c r="AR6" s="107"/>
      <c r="AS6" s="164"/>
      <c r="AT6" s="164"/>
      <c r="AU6" s="107"/>
      <c r="AV6" s="107"/>
      <c r="AW6" s="107"/>
      <c r="AX6" s="84"/>
    </row>
    <row r="7" spans="1:52" s="85" customFormat="1" ht="26.4" x14ac:dyDescent="0.4">
      <c r="A7" s="175" t="s">
        <v>20</v>
      </c>
      <c r="B7" s="78"/>
      <c r="C7" s="175" t="s">
        <v>21</v>
      </c>
      <c r="D7" s="78"/>
      <c r="E7" s="176" t="s">
        <v>22</v>
      </c>
      <c r="F7" s="177"/>
      <c r="G7" s="175" t="s">
        <v>23</v>
      </c>
      <c r="H7" s="109"/>
      <c r="I7" s="178" t="s">
        <v>24</v>
      </c>
      <c r="J7" s="179"/>
      <c r="K7" s="180" t="s">
        <v>25</v>
      </c>
      <c r="L7" s="109"/>
      <c r="M7" s="178" t="s">
        <v>71</v>
      </c>
      <c r="N7" s="109"/>
      <c r="O7" s="181" t="s">
        <v>26</v>
      </c>
      <c r="P7" s="166"/>
      <c r="Q7" s="181" t="s">
        <v>27</v>
      </c>
      <c r="R7" s="166"/>
      <c r="S7" s="182" t="s">
        <v>15</v>
      </c>
      <c r="T7" s="109"/>
      <c r="U7" s="182" t="s">
        <v>15</v>
      </c>
      <c r="V7" s="167"/>
      <c r="W7" s="131"/>
      <c r="X7" s="150"/>
      <c r="Y7" s="183" t="s">
        <v>28</v>
      </c>
      <c r="Z7" s="184" t="s">
        <v>28</v>
      </c>
      <c r="AA7" s="185" t="s">
        <v>29</v>
      </c>
      <c r="AB7" s="185" t="s">
        <v>29</v>
      </c>
      <c r="AC7" s="186"/>
      <c r="AD7" s="187" t="s">
        <v>30</v>
      </c>
      <c r="AE7" s="188" t="s">
        <v>31</v>
      </c>
      <c r="AF7" s="189" t="s">
        <v>27</v>
      </c>
      <c r="AG7" s="190" t="s">
        <v>32</v>
      </c>
      <c r="AH7" s="189" t="s">
        <v>33</v>
      </c>
      <c r="AI7" s="190" t="s">
        <v>32</v>
      </c>
      <c r="AJ7" s="191" t="s">
        <v>106</v>
      </c>
      <c r="AK7" s="190" t="s">
        <v>32</v>
      </c>
      <c r="AL7" s="190" t="s">
        <v>34</v>
      </c>
      <c r="AM7" s="193" t="s">
        <v>32</v>
      </c>
      <c r="AN7" s="192" t="s">
        <v>34</v>
      </c>
      <c r="AO7" s="193" t="s">
        <v>32</v>
      </c>
      <c r="AP7" s="137"/>
      <c r="AQ7" s="107"/>
      <c r="AR7" s="107"/>
      <c r="AS7" s="80"/>
      <c r="AT7" s="84"/>
      <c r="AU7" s="84"/>
      <c r="AV7" s="84"/>
      <c r="AW7" s="84"/>
      <c r="AX7" s="84"/>
    </row>
    <row r="8" spans="1:52" s="85" customFormat="1" ht="22.8" x14ac:dyDescent="0.4">
      <c r="A8" s="78"/>
      <c r="B8" s="78"/>
      <c r="C8" s="128"/>
      <c r="D8" s="78"/>
      <c r="E8" s="78"/>
      <c r="F8" s="78"/>
      <c r="G8" s="109"/>
      <c r="H8" s="109"/>
      <c r="I8" s="110"/>
      <c r="J8" s="110"/>
      <c r="K8" s="114"/>
      <c r="L8" s="109"/>
      <c r="M8" s="110"/>
      <c r="N8" s="109"/>
      <c r="O8" s="111"/>
      <c r="P8" s="111"/>
      <c r="Q8" s="111"/>
      <c r="R8" s="111"/>
      <c r="S8" s="111"/>
      <c r="T8" s="109"/>
      <c r="U8" s="78"/>
      <c r="V8" s="194"/>
      <c r="W8" s="131"/>
      <c r="X8" s="150"/>
      <c r="Y8" s="195"/>
      <c r="Z8" s="196"/>
      <c r="AA8" s="197"/>
      <c r="AB8" s="196"/>
      <c r="AC8" s="78"/>
      <c r="AD8" s="198"/>
      <c r="AE8" s="199"/>
      <c r="AF8" s="200"/>
      <c r="AG8" s="199"/>
      <c r="AH8" s="200"/>
      <c r="AI8" s="199"/>
      <c r="AJ8" s="200"/>
      <c r="AK8" s="200"/>
      <c r="AL8" s="200"/>
      <c r="AM8" s="200"/>
      <c r="AN8" s="294"/>
      <c r="AO8" s="265"/>
      <c r="AP8" s="201"/>
      <c r="AQ8" s="201"/>
      <c r="AR8" s="201"/>
      <c r="AS8" s="202"/>
      <c r="AT8" s="202"/>
      <c r="AU8" s="202"/>
      <c r="AV8" s="202"/>
      <c r="AW8" s="107"/>
      <c r="AX8" s="164"/>
    </row>
    <row r="9" spans="1:52" s="85" customFormat="1" ht="23.4" thickBot="1" x14ac:dyDescent="0.45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  <c r="Q9" s="78"/>
      <c r="R9" s="84"/>
      <c r="S9" s="78"/>
      <c r="T9" s="78"/>
      <c r="U9" s="78"/>
      <c r="V9" s="92"/>
      <c r="W9" s="84"/>
      <c r="X9" s="80"/>
      <c r="Y9" s="203"/>
      <c r="Z9" s="204"/>
      <c r="AA9" s="150"/>
      <c r="AB9" s="204"/>
      <c r="AD9" s="198"/>
      <c r="AE9" s="199"/>
      <c r="AF9" s="200"/>
      <c r="AG9" s="200"/>
      <c r="AH9" s="322"/>
      <c r="AI9" s="199"/>
      <c r="AJ9" s="200"/>
      <c r="AK9" s="200"/>
      <c r="AL9" s="200"/>
      <c r="AM9" s="200"/>
      <c r="AN9" s="295"/>
      <c r="AO9" s="265"/>
    </row>
    <row r="10" spans="1:52" s="85" customFormat="1" ht="22.8" x14ac:dyDescent="0.4">
      <c r="A10" s="205" t="s">
        <v>35</v>
      </c>
      <c r="B10" s="206"/>
      <c r="C10" s="207" t="s">
        <v>36</v>
      </c>
      <c r="D10" s="206"/>
      <c r="E10" s="208">
        <f>[1]!NBP</f>
        <v>32.875</v>
      </c>
      <c r="F10" s="209"/>
      <c r="G10" s="208">
        <f>[1]!'NBP,DIVIDEND'</f>
        <v>2.8</v>
      </c>
      <c r="H10" s="210"/>
      <c r="I10" s="211">
        <f>+G10/E10</f>
        <v>8.5171102661596956E-2</v>
      </c>
      <c r="J10" s="211"/>
      <c r="K10" s="212">
        <f>(+I10-E$27)*10000</f>
        <v>270.7910266159696</v>
      </c>
      <c r="L10" s="207"/>
      <c r="M10" s="211">
        <f>(I10*AA10)+((I10*(1-AA10))*(1-0.3))</f>
        <v>8.3893536121672996E-2</v>
      </c>
      <c r="N10" s="207"/>
      <c r="O10" s="213">
        <f>+G10/Z10</f>
        <v>1.0769230769230766</v>
      </c>
      <c r="P10" s="214"/>
      <c r="Q10" s="213">
        <f>(AF10+$E10-AG10)/AG10</f>
        <v>2.3346303501945526E-2</v>
      </c>
      <c r="R10" s="214"/>
      <c r="S10" s="213">
        <f>(AH10+$E10-AI10)/AI10</f>
        <v>3.9525691699604744E-2</v>
      </c>
      <c r="T10" s="210"/>
      <c r="U10" s="215">
        <f>(AJ10+$E10-AK10)/AK10</f>
        <v>0.51413043478260878</v>
      </c>
      <c r="V10" s="216"/>
      <c r="W10" s="131"/>
      <c r="X10" s="150"/>
      <c r="Y10" s="327">
        <f>ROUND(G52,2)</f>
        <v>2.5</v>
      </c>
      <c r="Z10" s="328">
        <f>+I52</f>
        <v>2.6000000000000005</v>
      </c>
      <c r="AA10" s="217">
        <v>0.95</v>
      </c>
      <c r="AB10" s="218"/>
      <c r="AC10" s="78"/>
      <c r="AD10" s="219">
        <v>36734</v>
      </c>
      <c r="AE10" s="220">
        <v>0.65</v>
      </c>
      <c r="AF10" s="221"/>
      <c r="AG10" s="208">
        <v>32.125</v>
      </c>
      <c r="AH10" s="323"/>
      <c r="AI10" s="208">
        <v>31.625</v>
      </c>
      <c r="AJ10" s="323">
        <f>0.65*3</f>
        <v>1.9500000000000002</v>
      </c>
      <c r="AK10" s="220">
        <v>23</v>
      </c>
      <c r="AL10" s="221">
        <f>0.61*4</f>
        <v>2.44</v>
      </c>
      <c r="AM10" s="220">
        <v>32.5625</v>
      </c>
      <c r="AN10" s="296">
        <f>0.575+0.575+0.575+0.575</f>
        <v>2.2999999999999998</v>
      </c>
      <c r="AO10" s="222">
        <v>34</v>
      </c>
      <c r="AP10" s="201"/>
      <c r="AQ10" s="202"/>
      <c r="AR10" s="202"/>
      <c r="AS10" s="202"/>
      <c r="AT10" s="202"/>
      <c r="AU10" s="84"/>
      <c r="AV10" s="224"/>
      <c r="AW10" s="225"/>
    </row>
    <row r="11" spans="1:52" s="85" customFormat="1" ht="23.4" thickBot="1" x14ac:dyDescent="0.45">
      <c r="A11" s="226" t="s">
        <v>37</v>
      </c>
      <c r="B11" s="227"/>
      <c r="C11" s="228" t="s">
        <v>38</v>
      </c>
      <c r="D11" s="227"/>
      <c r="E11" s="229">
        <f>[1]!EOT</f>
        <v>15.1875</v>
      </c>
      <c r="F11" s="230"/>
      <c r="G11" s="229">
        <f>[1]!'EOT,DIVIDEND'</f>
        <v>1.9</v>
      </c>
      <c r="H11" s="231"/>
      <c r="I11" s="232">
        <f>+G11/E11</f>
        <v>0.12510288065843622</v>
      </c>
      <c r="J11" s="232"/>
      <c r="K11" s="233">
        <f>(+I11-E$27)*10000</f>
        <v>670.10880658436213</v>
      </c>
      <c r="L11" s="228"/>
      <c r="M11" s="232">
        <f>(I11*AA11)+((I11*(1-AA11))*(1-0.3))</f>
        <v>0.12322633744855967</v>
      </c>
      <c r="N11" s="228"/>
      <c r="O11" s="234">
        <f>+G11/Z11</f>
        <v>3.2094594594594597</v>
      </c>
      <c r="P11" s="235"/>
      <c r="Q11" s="234">
        <f>(AF11+$E11-AG11)/AG11</f>
        <v>8.2987551867219917E-3</v>
      </c>
      <c r="R11" s="235"/>
      <c r="S11" s="234">
        <f>(AH11+$E11-AI11)/AI11</f>
        <v>1.2500000000000001E-2</v>
      </c>
      <c r="T11" s="231"/>
      <c r="U11" s="236">
        <f>(AJ11+E11-AK11)/AK11</f>
        <v>0.27788461538461545</v>
      </c>
      <c r="V11" s="216"/>
      <c r="W11" s="131"/>
      <c r="X11" s="150"/>
      <c r="Y11" s="327">
        <f>S52</f>
        <v>0.48399999999999999</v>
      </c>
      <c r="Z11" s="328">
        <f>U52</f>
        <v>0.59199999999999997</v>
      </c>
      <c r="AA11" s="217">
        <v>0.95</v>
      </c>
      <c r="AB11" s="218"/>
      <c r="AD11" s="219">
        <v>36734</v>
      </c>
      <c r="AE11" s="220">
        <v>0.47499999999999998</v>
      </c>
      <c r="AF11" s="221"/>
      <c r="AG11" s="229">
        <v>15.0625</v>
      </c>
      <c r="AH11" s="323"/>
      <c r="AI11" s="229">
        <v>15</v>
      </c>
      <c r="AJ11" s="323">
        <f>0.475*3</f>
        <v>1.4249999999999998</v>
      </c>
      <c r="AK11" s="220">
        <v>13</v>
      </c>
      <c r="AL11" s="221">
        <f>0.475*4</f>
        <v>1.9</v>
      </c>
      <c r="AM11" s="220">
        <v>15.75</v>
      </c>
      <c r="AN11" s="223">
        <f>0.475+0.475+0.475+0.475</f>
        <v>1.9</v>
      </c>
      <c r="AO11" s="222">
        <v>17.125</v>
      </c>
      <c r="AP11" s="201"/>
      <c r="AQ11" s="202"/>
      <c r="AR11" s="84"/>
      <c r="AS11" s="202"/>
      <c r="AT11" s="202"/>
      <c r="AU11" s="84"/>
      <c r="AV11" s="224"/>
      <c r="AW11" s="225"/>
      <c r="AX11" s="80"/>
      <c r="AY11" s="80"/>
    </row>
    <row r="12" spans="1:52" s="85" customFormat="1" ht="22.8" x14ac:dyDescent="0.4">
      <c r="A12" s="78"/>
      <c r="B12" s="78"/>
      <c r="C12" s="128"/>
      <c r="D12" s="78"/>
      <c r="E12" s="237"/>
      <c r="F12" s="238"/>
      <c r="G12" s="237"/>
      <c r="H12" s="109"/>
      <c r="I12" s="110"/>
      <c r="J12" s="110"/>
      <c r="K12" s="239"/>
      <c r="L12" s="107"/>
      <c r="M12" s="110"/>
      <c r="N12" s="107"/>
      <c r="O12" s="166"/>
      <c r="P12" s="240"/>
      <c r="Q12" s="166"/>
      <c r="R12" s="240"/>
      <c r="S12" s="166"/>
      <c r="T12" s="109"/>
      <c r="U12" s="241"/>
      <c r="V12" s="216"/>
      <c r="W12" s="131"/>
      <c r="X12" s="150"/>
      <c r="Y12" s="327"/>
      <c r="Z12" s="328"/>
      <c r="AA12" s="217"/>
      <c r="AB12" s="218"/>
      <c r="AC12" s="78"/>
      <c r="AD12" s="242"/>
      <c r="AE12" s="220"/>
      <c r="AF12" s="221"/>
      <c r="AG12" s="237"/>
      <c r="AH12" s="323"/>
      <c r="AI12" s="237"/>
      <c r="AJ12" s="323"/>
      <c r="AK12" s="220"/>
      <c r="AL12" s="221"/>
      <c r="AM12" s="220"/>
      <c r="AN12" s="296"/>
      <c r="AO12" s="243"/>
      <c r="AP12" s="201"/>
      <c r="AQ12" s="202"/>
      <c r="AR12" s="84"/>
      <c r="AS12" s="202"/>
      <c r="AT12" s="202"/>
      <c r="AU12" s="84"/>
      <c r="AV12" s="224"/>
      <c r="AW12" s="225"/>
      <c r="AX12" s="80"/>
      <c r="AY12" s="80"/>
    </row>
    <row r="13" spans="1:52" s="85" customFormat="1" ht="26.4" x14ac:dyDescent="0.4">
      <c r="A13" s="127" t="s">
        <v>72</v>
      </c>
      <c r="B13" s="78"/>
      <c r="C13" s="144" t="s">
        <v>39</v>
      </c>
      <c r="D13" s="78"/>
      <c r="E13" s="237">
        <f>[1]!APU</f>
        <v>18.5</v>
      </c>
      <c r="F13" s="238"/>
      <c r="G13" s="237">
        <f>[1]!'APU,DIVIDEND'</f>
        <v>2.2000000000000002</v>
      </c>
      <c r="H13" s="109"/>
      <c r="I13" s="179">
        <f>+G13/E13</f>
        <v>0.11891891891891893</v>
      </c>
      <c r="J13" s="179"/>
      <c r="K13" s="244">
        <f t="shared" ref="K13:K23" si="0">(+I13-E$27)*10000</f>
        <v>608.26918918918932</v>
      </c>
      <c r="L13" s="107"/>
      <c r="M13" s="179">
        <f t="shared" ref="M13:M23" si="1">(I13*AA13)+((I13*(1-AA13))*(1-0.3))</f>
        <v>0.10821621621621622</v>
      </c>
      <c r="N13" s="107"/>
      <c r="O13" s="166">
        <f>+G13/Y13</f>
        <v>4.8888888888888893</v>
      </c>
      <c r="P13" s="240"/>
      <c r="Q13" s="166">
        <f t="shared" ref="Q13:Q23" si="2">(AF13+$E13-AG13)/AG13</f>
        <v>-3.896103896103896E-2</v>
      </c>
      <c r="R13" s="240"/>
      <c r="S13" s="166">
        <f t="shared" ref="S13:S23" si="3">(AH13+$E13-AI13)/AI13</f>
        <v>-2.6315789473684209E-2</v>
      </c>
      <c r="T13" s="109"/>
      <c r="U13" s="245">
        <f t="shared" ref="U13:U23" si="4">(AJ13+E13-AK13)/AK13</f>
        <v>0.3546218487394957</v>
      </c>
      <c r="V13" s="216"/>
      <c r="W13" s="131"/>
      <c r="X13" s="150"/>
      <c r="Y13" s="327">
        <v>0.45</v>
      </c>
      <c r="Z13" s="328">
        <v>1.01</v>
      </c>
      <c r="AA13" s="217">
        <v>0.7</v>
      </c>
      <c r="AB13" s="246"/>
      <c r="AC13" s="78"/>
      <c r="AD13" s="219">
        <v>36746</v>
      </c>
      <c r="AE13" s="220">
        <v>0.55000000000000004</v>
      </c>
      <c r="AF13" s="332"/>
      <c r="AG13" s="237">
        <v>19.25</v>
      </c>
      <c r="AH13" s="323"/>
      <c r="AI13" s="237">
        <v>19</v>
      </c>
      <c r="AJ13" s="323">
        <f>0.55*3</f>
        <v>1.6500000000000001</v>
      </c>
      <c r="AK13" s="220">
        <v>14.875</v>
      </c>
      <c r="AL13" s="221">
        <f>0.55*4</f>
        <v>2.2000000000000002</v>
      </c>
      <c r="AM13" s="220">
        <v>22.875</v>
      </c>
      <c r="AN13" s="223">
        <f>0.55+0.55+0.55+0.55</f>
        <v>2.2000000000000002</v>
      </c>
      <c r="AO13" s="247">
        <v>25.1875</v>
      </c>
      <c r="AP13" s="201"/>
      <c r="AQ13" s="202"/>
      <c r="AR13" s="84"/>
      <c r="AS13" s="202"/>
      <c r="AT13" s="202"/>
      <c r="AU13" s="84"/>
      <c r="AV13" s="248"/>
      <c r="AW13" s="225"/>
    </row>
    <row r="14" spans="1:52" s="85" customFormat="1" ht="22.8" x14ac:dyDescent="0.4">
      <c r="A14" s="127" t="s">
        <v>40</v>
      </c>
      <c r="B14" s="78"/>
      <c r="C14" s="144" t="s">
        <v>41</v>
      </c>
      <c r="D14" s="78"/>
      <c r="E14" s="237">
        <f>[1]!BPL</f>
        <v>28.1875</v>
      </c>
      <c r="F14" s="238"/>
      <c r="G14" s="237">
        <f>[1]!'BPL,DIVIDEND'</f>
        <v>2.4</v>
      </c>
      <c r="H14" s="109"/>
      <c r="I14" s="179">
        <f t="shared" ref="I14:I20" si="5">+G14/E14</f>
        <v>8.5144124168514412E-2</v>
      </c>
      <c r="J14" s="179"/>
      <c r="K14" s="244">
        <f t="shared" si="0"/>
        <v>270.52124168514416</v>
      </c>
      <c r="L14" s="107"/>
      <c r="M14" s="179">
        <f t="shared" si="1"/>
        <v>7.8758314855875824E-2</v>
      </c>
      <c r="N14" s="107"/>
      <c r="O14" s="166">
        <f t="shared" ref="O14:O23" si="6">+G14/Z14</f>
        <v>0.91603053435114501</v>
      </c>
      <c r="P14" s="240"/>
      <c r="Q14" s="166">
        <f t="shared" si="2"/>
        <v>-2.1691973969631236E-2</v>
      </c>
      <c r="R14" s="240"/>
      <c r="S14" s="166">
        <f t="shared" si="3"/>
        <v>-1.9565217391304349E-2</v>
      </c>
      <c r="T14" s="109"/>
      <c r="U14" s="245">
        <f t="shared" si="4"/>
        <v>0.15336538461538465</v>
      </c>
      <c r="V14" s="216"/>
      <c r="W14" s="131"/>
      <c r="X14" s="150"/>
      <c r="Y14" s="327">
        <v>2.4</v>
      </c>
      <c r="Z14" s="328">
        <v>2.62</v>
      </c>
      <c r="AA14" s="217">
        <v>0.75</v>
      </c>
      <c r="AB14" s="218"/>
      <c r="AC14" s="78"/>
      <c r="AD14" s="219">
        <v>36740</v>
      </c>
      <c r="AE14" s="220">
        <v>0.6</v>
      </c>
      <c r="AF14" s="221"/>
      <c r="AG14" s="237">
        <v>28.8125</v>
      </c>
      <c r="AH14" s="323"/>
      <c r="AI14" s="237">
        <v>28.75</v>
      </c>
      <c r="AJ14" s="323">
        <f>0.6*3</f>
        <v>1.7999999999999998</v>
      </c>
      <c r="AK14" s="220">
        <v>26</v>
      </c>
      <c r="AL14" s="221">
        <f>0.525+0.55*3</f>
        <v>2.1750000000000003</v>
      </c>
      <c r="AM14" s="220">
        <v>29</v>
      </c>
      <c r="AN14" s="223">
        <f>0.525+0.525+0.525+0.525</f>
        <v>2.1</v>
      </c>
      <c r="AO14" s="247">
        <f>57.9375/2</f>
        <v>28.96875</v>
      </c>
      <c r="AP14" s="201"/>
      <c r="AQ14" s="202"/>
      <c r="AR14" s="84"/>
      <c r="AS14" s="202"/>
      <c r="AT14" s="202"/>
      <c r="AU14" s="84"/>
      <c r="AV14" s="224"/>
      <c r="AW14" s="225"/>
    </row>
    <row r="15" spans="1:52" s="85" customFormat="1" ht="22.8" x14ac:dyDescent="0.4">
      <c r="A15" s="127" t="s">
        <v>101</v>
      </c>
      <c r="B15" s="78"/>
      <c r="C15" s="144" t="s">
        <v>102</v>
      </c>
      <c r="D15" s="78"/>
      <c r="E15" s="237">
        <f>[1]!EPN</f>
        <v>26.6875</v>
      </c>
      <c r="F15" s="238"/>
      <c r="G15" s="237">
        <f>[1]!'EPN,DIVIDEND'</f>
        <v>2.15</v>
      </c>
      <c r="H15" s="109"/>
      <c r="I15" s="179">
        <f>+G15/E15</f>
        <v>8.0562060889929746E-2</v>
      </c>
      <c r="J15" s="179"/>
      <c r="K15" s="244">
        <f t="shared" si="0"/>
        <v>224.70060889929749</v>
      </c>
      <c r="L15" s="107"/>
      <c r="M15" s="179">
        <f>(I15*AA15)+((I15*(1-AA15))*(1-0.3))</f>
        <v>7.9595316159250584E-2</v>
      </c>
      <c r="N15" s="107"/>
      <c r="O15" s="166">
        <f>+G15/Z15</f>
        <v>13.4375</v>
      </c>
      <c r="P15" s="240"/>
      <c r="Q15" s="166">
        <f>(AF15+$E15-AG15)/AG15</f>
        <v>-9.2807424593967514E-3</v>
      </c>
      <c r="R15" s="240"/>
      <c r="S15" s="166">
        <f>(AH15+$E15-AI15)/AI15</f>
        <v>-2.3364485981308409E-3</v>
      </c>
      <c r="T15" s="109"/>
      <c r="U15" s="245">
        <f>(AJ15+E15-AK15)/AK15</f>
        <v>0.48881578947368426</v>
      </c>
      <c r="V15" s="252"/>
      <c r="W15" s="131"/>
      <c r="X15" s="150"/>
      <c r="Y15" s="329">
        <v>0.1</v>
      </c>
      <c r="Z15" s="330">
        <v>0.16</v>
      </c>
      <c r="AA15" s="253">
        <v>0.96</v>
      </c>
      <c r="AB15" s="255"/>
      <c r="AC15" s="78"/>
      <c r="AD15" s="219">
        <v>36734</v>
      </c>
      <c r="AE15" s="250">
        <v>0.53749999999999998</v>
      </c>
      <c r="AF15" s="251"/>
      <c r="AG15" s="237">
        <v>26.9375</v>
      </c>
      <c r="AH15" s="324"/>
      <c r="AI15" s="237">
        <v>26.75</v>
      </c>
      <c r="AJ15" s="324">
        <f>0.525+0.5375*2</f>
        <v>1.6</v>
      </c>
      <c r="AK15" s="250">
        <v>19</v>
      </c>
      <c r="AL15" s="251">
        <f>0.525*4</f>
        <v>2.1</v>
      </c>
      <c r="AM15" s="250">
        <v>20.125</v>
      </c>
      <c r="AN15" s="223">
        <f>0.5+0.525+0.525+0.525</f>
        <v>2.0749999999999997</v>
      </c>
      <c r="AO15" s="247">
        <v>30.625</v>
      </c>
      <c r="AP15" s="201"/>
      <c r="AQ15" s="202"/>
      <c r="AR15" s="84"/>
      <c r="AS15" s="202"/>
      <c r="AT15" s="202"/>
      <c r="AU15" s="84"/>
      <c r="AV15" s="224"/>
      <c r="AW15" s="225"/>
    </row>
    <row r="16" spans="1:52" s="85" customFormat="1" ht="26.4" x14ac:dyDescent="0.4">
      <c r="A16" s="127" t="s">
        <v>73</v>
      </c>
      <c r="B16" s="78"/>
      <c r="C16" s="144" t="s">
        <v>42</v>
      </c>
      <c r="D16" s="78"/>
      <c r="E16" s="237">
        <f>[1]!FGP</f>
        <v>14.125</v>
      </c>
      <c r="F16" s="238"/>
      <c r="G16" s="237">
        <f>[1]!'FGP,DIVIDEND'</f>
        <v>2</v>
      </c>
      <c r="H16" s="109"/>
      <c r="I16" s="179">
        <f>+G16/E16</f>
        <v>0.1415929203539823</v>
      </c>
      <c r="J16" s="179"/>
      <c r="K16" s="244">
        <f t="shared" si="0"/>
        <v>835.00920353982292</v>
      </c>
      <c r="L16" s="107"/>
      <c r="M16" s="179">
        <f t="shared" si="1"/>
        <v>0.1407433628318584</v>
      </c>
      <c r="N16" s="107"/>
      <c r="O16" s="166">
        <f t="shared" si="6"/>
        <v>2.6666666666666665</v>
      </c>
      <c r="P16" s="249"/>
      <c r="Q16" s="166">
        <f t="shared" si="2"/>
        <v>-7.3770491803278687E-2</v>
      </c>
      <c r="R16" s="249"/>
      <c r="S16" s="166">
        <f t="shared" si="3"/>
        <v>-0.13740458015267176</v>
      </c>
      <c r="T16" s="109"/>
      <c r="U16" s="245">
        <f t="shared" si="4"/>
        <v>0.23762376237623761</v>
      </c>
      <c r="V16" s="216"/>
      <c r="W16" s="131"/>
      <c r="X16" s="150"/>
      <c r="Y16" s="327">
        <v>0.41</v>
      </c>
      <c r="Z16" s="328">
        <v>0.75</v>
      </c>
      <c r="AA16" s="217">
        <v>0.98</v>
      </c>
      <c r="AB16" s="218"/>
      <c r="AC16" s="78"/>
      <c r="AD16" s="219">
        <v>36767</v>
      </c>
      <c r="AE16" s="220">
        <v>0.5</v>
      </c>
      <c r="AF16" s="221"/>
      <c r="AG16" s="237">
        <v>15.25</v>
      </c>
      <c r="AH16" s="323"/>
      <c r="AI16" s="237">
        <v>16.375</v>
      </c>
      <c r="AJ16" s="323">
        <f>0.5+0.5+0.5</f>
        <v>1.5</v>
      </c>
      <c r="AK16" s="220">
        <v>12.625</v>
      </c>
      <c r="AL16" s="221">
        <f>0.5*4</f>
        <v>2</v>
      </c>
      <c r="AM16" s="220">
        <v>17.25</v>
      </c>
      <c r="AN16" s="223">
        <f>0.5+0.5+0.5+0.5</f>
        <v>2</v>
      </c>
      <c r="AO16" s="247">
        <v>22.375</v>
      </c>
      <c r="AP16" s="201"/>
      <c r="AQ16" s="202"/>
      <c r="AR16" s="84"/>
      <c r="AS16" s="202"/>
      <c r="AT16" s="202"/>
      <c r="AU16" s="84"/>
      <c r="AV16" s="224"/>
      <c r="AW16" s="225"/>
    </row>
    <row r="17" spans="1:52" s="85" customFormat="1" ht="22.8" x14ac:dyDescent="0.4">
      <c r="A17" s="127" t="s">
        <v>112</v>
      </c>
      <c r="B17" s="78"/>
      <c r="C17" s="144" t="s">
        <v>43</v>
      </c>
      <c r="D17" s="78"/>
      <c r="E17" s="237">
        <f>[1]!GEL</f>
        <v>6.9375</v>
      </c>
      <c r="F17" s="238"/>
      <c r="G17" s="237">
        <f>[1]!'GEL,DIVIDEND'</f>
        <v>2</v>
      </c>
      <c r="H17" s="331" t="s">
        <v>116</v>
      </c>
      <c r="I17" s="179">
        <f>+G17/E17</f>
        <v>0.28828828828828829</v>
      </c>
      <c r="J17" s="179"/>
      <c r="K17" s="244">
        <f t="shared" si="0"/>
        <v>2301.9628828828827</v>
      </c>
      <c r="L17" s="107"/>
      <c r="M17" s="179">
        <f t="shared" si="1"/>
        <v>0.28828828828828829</v>
      </c>
      <c r="N17" s="107"/>
      <c r="O17" s="166">
        <f t="shared" si="6"/>
        <v>20</v>
      </c>
      <c r="P17" s="240"/>
      <c r="Q17" s="166">
        <f t="shared" si="2"/>
        <v>9.0909090909090905E-3</v>
      </c>
      <c r="R17" s="240"/>
      <c r="S17" s="166">
        <f t="shared" si="3"/>
        <v>1.834862385321101E-2</v>
      </c>
      <c r="T17" s="109"/>
      <c r="U17" s="245">
        <f t="shared" si="4"/>
        <v>4.6511627906976744E-2</v>
      </c>
      <c r="V17" s="216"/>
      <c r="W17" s="131"/>
      <c r="X17" s="150"/>
      <c r="Y17" s="327">
        <v>0</v>
      </c>
      <c r="Z17" s="328">
        <v>0.1</v>
      </c>
      <c r="AA17" s="217">
        <v>1</v>
      </c>
      <c r="AB17" s="218"/>
      <c r="AC17" s="78"/>
      <c r="AD17" s="219">
        <v>36734</v>
      </c>
      <c r="AE17" s="250">
        <v>0.5</v>
      </c>
      <c r="AF17" s="251"/>
      <c r="AG17" s="237">
        <v>6.875</v>
      </c>
      <c r="AH17" s="324"/>
      <c r="AI17" s="237">
        <v>6.8125</v>
      </c>
      <c r="AJ17" s="324">
        <f>0.5*3</f>
        <v>1.5</v>
      </c>
      <c r="AK17" s="250">
        <v>8.0625</v>
      </c>
      <c r="AL17" s="251">
        <f>0.5*4</f>
        <v>2</v>
      </c>
      <c r="AM17" s="250">
        <v>14.4375</v>
      </c>
      <c r="AN17" s="297">
        <f>0.5+0.5+0.5+0.5</f>
        <v>2</v>
      </c>
      <c r="AO17" s="247">
        <v>16.375</v>
      </c>
      <c r="AP17" s="201"/>
      <c r="AQ17" s="202"/>
      <c r="AR17" s="84"/>
      <c r="AS17" s="202"/>
      <c r="AT17" s="202"/>
      <c r="AU17" s="84"/>
      <c r="AV17" s="224"/>
      <c r="AW17" s="225"/>
    </row>
    <row r="18" spans="1:52" s="85" customFormat="1" ht="22.8" x14ac:dyDescent="0.4">
      <c r="A18" s="127" t="s">
        <v>44</v>
      </c>
      <c r="B18" s="78"/>
      <c r="C18" s="144" t="s">
        <v>45</v>
      </c>
      <c r="D18" s="78"/>
      <c r="E18" s="237">
        <f>[1]!KPP</f>
        <v>29.25</v>
      </c>
      <c r="F18" s="238"/>
      <c r="G18" s="237">
        <f>[1]!'KPP,DIVIDEND'</f>
        <v>2.8</v>
      </c>
      <c r="H18" s="109"/>
      <c r="I18" s="179">
        <f t="shared" si="5"/>
        <v>9.5726495726495719E-2</v>
      </c>
      <c r="J18" s="179"/>
      <c r="K18" s="244">
        <f t="shared" si="0"/>
        <v>376.3449572649572</v>
      </c>
      <c r="L18" s="107"/>
      <c r="M18" s="179">
        <f t="shared" si="1"/>
        <v>8.9982905982905981E-2</v>
      </c>
      <c r="N18" s="107"/>
      <c r="O18" s="166">
        <f t="shared" si="6"/>
        <v>0.98939929328621901</v>
      </c>
      <c r="P18" s="240"/>
      <c r="Q18" s="166">
        <f t="shared" si="2"/>
        <v>-1.0570824524312896E-2</v>
      </c>
      <c r="R18" s="240"/>
      <c r="S18" s="166">
        <f t="shared" si="3"/>
        <v>-1.0570824524312896E-2</v>
      </c>
      <c r="T18" s="109"/>
      <c r="U18" s="245">
        <f t="shared" si="4"/>
        <v>0.26987341772151907</v>
      </c>
      <c r="V18" s="252"/>
      <c r="W18" s="131"/>
      <c r="X18" s="150"/>
      <c r="Y18" s="327">
        <v>2.54</v>
      </c>
      <c r="Z18" s="328">
        <v>2.83</v>
      </c>
      <c r="AA18" s="217">
        <v>0.8</v>
      </c>
      <c r="AB18" s="218"/>
      <c r="AC18" s="78"/>
      <c r="AD18" s="219">
        <v>36734</v>
      </c>
      <c r="AE18" s="250">
        <v>0.7</v>
      </c>
      <c r="AF18" s="251"/>
      <c r="AG18" s="237">
        <v>29.5625</v>
      </c>
      <c r="AH18" s="324"/>
      <c r="AI18" s="237">
        <v>29.5625</v>
      </c>
      <c r="AJ18" s="324">
        <f>0.7*3</f>
        <v>2.0999999999999996</v>
      </c>
      <c r="AK18" s="250">
        <v>24.6875</v>
      </c>
      <c r="AL18" s="251">
        <f>0.65*2+0.7*2</f>
        <v>2.7</v>
      </c>
      <c r="AM18" s="250">
        <v>33</v>
      </c>
      <c r="AN18" s="223">
        <f>0.65+0.65+0.65+0.65</f>
        <v>2.6</v>
      </c>
      <c r="AO18" s="247">
        <v>35.75</v>
      </c>
      <c r="AP18" s="201"/>
      <c r="AQ18" s="80"/>
      <c r="AR18" s="80"/>
      <c r="AS18" s="80"/>
      <c r="AT18" s="80"/>
      <c r="AU18" s="84"/>
      <c r="AV18" s="224"/>
      <c r="AW18" s="225"/>
    </row>
    <row r="19" spans="1:52" s="85" customFormat="1" ht="26.4" x14ac:dyDescent="0.4">
      <c r="A19" s="127" t="s">
        <v>46</v>
      </c>
      <c r="B19" s="78"/>
      <c r="C19" s="144" t="s">
        <v>104</v>
      </c>
      <c r="D19" s="78"/>
      <c r="E19" s="237">
        <f>[1]!KMP</f>
        <v>47.875</v>
      </c>
      <c r="F19" s="238"/>
      <c r="G19" s="237">
        <f>[1]!'KMP,DIVIDEND'</f>
        <v>3.4</v>
      </c>
      <c r="H19" s="321"/>
      <c r="I19" s="179">
        <f>+G19/E19</f>
        <v>7.1018276762402091E-2</v>
      </c>
      <c r="J19" s="179"/>
      <c r="K19" s="244">
        <f t="shared" si="0"/>
        <v>129.26276762402094</v>
      </c>
      <c r="L19" s="107"/>
      <c r="M19" s="179">
        <f t="shared" si="1"/>
        <v>6.8887728459530034E-2</v>
      </c>
      <c r="N19" s="107"/>
      <c r="O19" s="166">
        <f t="shared" si="6"/>
        <v>1.1525423728813557</v>
      </c>
      <c r="P19" s="240"/>
      <c r="Q19" s="166">
        <f t="shared" si="2"/>
        <v>1.456953642384106E-2</v>
      </c>
      <c r="R19" s="240"/>
      <c r="S19" s="166">
        <f t="shared" si="3"/>
        <v>1.0554089709762533E-2</v>
      </c>
      <c r="T19" s="109"/>
      <c r="U19" s="245">
        <f t="shared" si="4"/>
        <v>0.2120663650075415</v>
      </c>
      <c r="V19" s="252"/>
      <c r="W19" s="131"/>
      <c r="X19" s="150"/>
      <c r="Y19" s="329">
        <v>2.65</v>
      </c>
      <c r="Z19" s="330">
        <v>2.95</v>
      </c>
      <c r="AA19" s="253">
        <v>0.9</v>
      </c>
      <c r="AB19" s="254"/>
      <c r="AC19" s="78"/>
      <c r="AD19" s="219">
        <v>36734</v>
      </c>
      <c r="AE19" s="220">
        <v>0.85</v>
      </c>
      <c r="AF19" s="221"/>
      <c r="AG19" s="237">
        <v>47.1875</v>
      </c>
      <c r="AH19" s="323"/>
      <c r="AI19" s="237">
        <v>47.375</v>
      </c>
      <c r="AJ19" s="323">
        <f>0.725+0.775+0.85</f>
        <v>2.35</v>
      </c>
      <c r="AK19" s="220">
        <v>41.4375</v>
      </c>
      <c r="AL19" s="221">
        <f>0.65+0.7*2+0.725</f>
        <v>2.7749999999999999</v>
      </c>
      <c r="AM19" s="220">
        <v>36.25</v>
      </c>
      <c r="AN19" s="223">
        <f>0.5625+0.5625+0.63+0.63</f>
        <v>2.3849999999999998</v>
      </c>
      <c r="AO19" s="247">
        <v>33.875</v>
      </c>
      <c r="AP19" s="201"/>
      <c r="AQ19" s="80"/>
      <c r="AR19" s="84"/>
      <c r="AS19" s="84"/>
      <c r="AT19" s="84"/>
      <c r="AU19" s="84"/>
      <c r="AV19" s="84"/>
      <c r="AW19" s="225"/>
    </row>
    <row r="20" spans="1:52" s="85" customFormat="1" ht="22.8" x14ac:dyDescent="0.4">
      <c r="A20" s="127" t="s">
        <v>47</v>
      </c>
      <c r="B20" s="78"/>
      <c r="C20" s="144" t="s">
        <v>48</v>
      </c>
      <c r="D20" s="78"/>
      <c r="E20" s="237">
        <f>[1]!LHP</f>
        <v>40.5625</v>
      </c>
      <c r="F20" s="238"/>
      <c r="G20" s="237">
        <f>[1]!'LHP,DIVIDEND'</f>
        <v>3.5</v>
      </c>
      <c r="H20" s="109"/>
      <c r="I20" s="179">
        <f t="shared" si="5"/>
        <v>8.6286594761171037E-2</v>
      </c>
      <c r="J20" s="179"/>
      <c r="K20" s="244">
        <f t="shared" si="0"/>
        <v>281.94594761171038</v>
      </c>
      <c r="L20" s="107"/>
      <c r="M20" s="179">
        <f t="shared" si="1"/>
        <v>8.4992295839753471E-2</v>
      </c>
      <c r="N20" s="107"/>
      <c r="O20" s="166">
        <f t="shared" si="6"/>
        <v>1.3059701492537312</v>
      </c>
      <c r="P20" s="240"/>
      <c r="Q20" s="166">
        <f t="shared" si="2"/>
        <v>-3.2786885245901641E-2</v>
      </c>
      <c r="R20" s="240"/>
      <c r="S20" s="166">
        <f t="shared" si="3"/>
        <v>-2.2590361445783132E-2</v>
      </c>
      <c r="T20" s="109"/>
      <c r="U20" s="245">
        <f t="shared" si="4"/>
        <v>0.24057450628366248</v>
      </c>
      <c r="V20" s="252"/>
      <c r="W20" s="131"/>
      <c r="X20" s="150"/>
      <c r="Y20" s="329">
        <v>2.16</v>
      </c>
      <c r="Z20" s="330">
        <v>2.68</v>
      </c>
      <c r="AA20" s="253">
        <v>0.95</v>
      </c>
      <c r="AB20" s="255"/>
      <c r="AC20" s="78"/>
      <c r="AD20" s="219">
        <v>36734</v>
      </c>
      <c r="AE20" s="220">
        <v>0.875</v>
      </c>
      <c r="AF20" s="221"/>
      <c r="AG20" s="237">
        <v>41.9375</v>
      </c>
      <c r="AH20" s="323"/>
      <c r="AI20" s="237">
        <v>41.5</v>
      </c>
      <c r="AJ20" s="323">
        <f>0.875*3</f>
        <v>2.625</v>
      </c>
      <c r="AK20" s="220">
        <v>34.8125</v>
      </c>
      <c r="AL20" s="221">
        <f>0.875*4</f>
        <v>3.5</v>
      </c>
      <c r="AM20" s="220">
        <v>48.5</v>
      </c>
      <c r="AN20" s="223">
        <f>0.78+0.86+0.86+0.86</f>
        <v>3.36</v>
      </c>
      <c r="AO20" s="247">
        <v>43.6875</v>
      </c>
      <c r="AP20" s="201"/>
      <c r="AQ20" s="202"/>
      <c r="AR20" s="202"/>
      <c r="AS20" s="202"/>
      <c r="AT20" s="202"/>
      <c r="AU20" s="84"/>
      <c r="AV20" s="224"/>
      <c r="AW20" s="225"/>
    </row>
    <row r="21" spans="1:52" s="85" customFormat="1" ht="26.4" x14ac:dyDescent="0.4">
      <c r="A21" s="127" t="s">
        <v>84</v>
      </c>
      <c r="B21" s="78"/>
      <c r="C21" s="144" t="s">
        <v>86</v>
      </c>
      <c r="D21" s="78"/>
      <c r="E21" s="237">
        <f>[1]!PAA</f>
        <v>19.125</v>
      </c>
      <c r="F21" s="238"/>
      <c r="G21" s="237">
        <f>[1]!'PAA,DIVIDEND'</f>
        <v>1.85</v>
      </c>
      <c r="H21" s="321"/>
      <c r="I21" s="179">
        <f>+G21/E21</f>
        <v>9.6732026143790853E-2</v>
      </c>
      <c r="J21" s="179"/>
      <c r="K21" s="244">
        <f t="shared" si="0"/>
        <v>386.40026143790857</v>
      </c>
      <c r="L21" s="107"/>
      <c r="M21" s="179">
        <f>(I21*AA21)+((I21*(1-AA21))*(1-0.3))</f>
        <v>8.8026143790849679E-2</v>
      </c>
      <c r="N21" s="107"/>
      <c r="O21" s="166">
        <f>+G21/Z21</f>
        <v>1.1011904761904763</v>
      </c>
      <c r="P21" s="240"/>
      <c r="Q21" s="166">
        <f>(AF21+$E21-AG21)/AG21</f>
        <v>-2.2364217252396165E-2</v>
      </c>
      <c r="R21" s="240"/>
      <c r="S21" s="166">
        <f>(AH21+$E21-AI21)/AI21</f>
        <v>-1.2903225806451613E-2</v>
      </c>
      <c r="T21" s="109"/>
      <c r="U21" s="245">
        <f>(AJ21+E21-AK21)/AK21</f>
        <v>0.57599999999999996</v>
      </c>
      <c r="V21" s="252"/>
      <c r="W21" s="131"/>
      <c r="X21" s="150"/>
      <c r="Y21" s="329">
        <v>1.45</v>
      </c>
      <c r="Z21" s="330">
        <v>1.68</v>
      </c>
      <c r="AA21" s="253">
        <v>0.7</v>
      </c>
      <c r="AB21" s="255"/>
      <c r="AC21" s="78"/>
      <c r="AD21" s="219">
        <v>36740</v>
      </c>
      <c r="AE21" s="250">
        <v>0.46250000000000002</v>
      </c>
      <c r="AF21" s="251"/>
      <c r="AG21" s="237">
        <v>19.5625</v>
      </c>
      <c r="AH21" s="324"/>
      <c r="AI21" s="237">
        <v>19.375</v>
      </c>
      <c r="AJ21" s="324">
        <f>0.45*2+0.463</f>
        <v>1.363</v>
      </c>
      <c r="AK21" s="250">
        <v>13</v>
      </c>
      <c r="AL21" s="251">
        <f>0.193+0.45+0.463+0.48125</f>
        <v>1.58725</v>
      </c>
      <c r="AM21" s="250">
        <v>17.3125</v>
      </c>
      <c r="AN21" s="223" t="s">
        <v>87</v>
      </c>
      <c r="AO21" s="301" t="s">
        <v>87</v>
      </c>
      <c r="AP21" s="201"/>
      <c r="AQ21" s="256"/>
      <c r="AR21" s="202"/>
      <c r="AS21" s="202"/>
      <c r="AT21" s="202"/>
      <c r="AU21" s="84"/>
      <c r="AV21" s="224"/>
      <c r="AW21" s="225"/>
    </row>
    <row r="22" spans="1:52" s="85" customFormat="1" ht="22.8" x14ac:dyDescent="0.4">
      <c r="A22" s="127" t="s">
        <v>107</v>
      </c>
      <c r="B22" s="78"/>
      <c r="C22" s="144" t="s">
        <v>88</v>
      </c>
      <c r="D22" s="78"/>
      <c r="E22" s="237">
        <f>[1]!TCLPZ.O</f>
        <v>19.625</v>
      </c>
      <c r="F22" s="238"/>
      <c r="G22" s="237">
        <f>[1]!'TCLPZ.O,DIVIDEND'</f>
        <v>1.8</v>
      </c>
      <c r="H22" s="109"/>
      <c r="I22" s="179">
        <f>+G22/E22</f>
        <v>9.1719745222929944E-2</v>
      </c>
      <c r="J22" s="179"/>
      <c r="K22" s="244">
        <f t="shared" si="0"/>
        <v>336.27745222929946</v>
      </c>
      <c r="L22" s="107"/>
      <c r="M22" s="179">
        <f>(I22*AA22)+((I22*(1-AA22))*(1-0.3))</f>
        <v>9.0343949044585981E-2</v>
      </c>
      <c r="N22" s="107"/>
      <c r="O22" s="166">
        <f>+G22/Z22</f>
        <v>0.92307692307692313</v>
      </c>
      <c r="P22" s="240"/>
      <c r="Q22" s="166">
        <f>(AF22+$E22-AG22)/AG22</f>
        <v>1.2903225806451613E-2</v>
      </c>
      <c r="R22" s="240"/>
      <c r="S22" s="166">
        <f>(AH22+$E22-AI22)/AI22</f>
        <v>0</v>
      </c>
      <c r="T22" s="109"/>
      <c r="U22" s="245">
        <f>(AJ22+E22-AK22)/AK22</f>
        <v>0.47192982456140359</v>
      </c>
      <c r="V22" s="252"/>
      <c r="W22" s="131"/>
      <c r="X22" s="150"/>
      <c r="Y22" s="329">
        <v>1.91</v>
      </c>
      <c r="Z22" s="330">
        <v>1.95</v>
      </c>
      <c r="AA22" s="253">
        <v>0.95</v>
      </c>
      <c r="AB22" s="255"/>
      <c r="AC22" s="78"/>
      <c r="AD22" s="219">
        <v>36734</v>
      </c>
      <c r="AE22" s="250">
        <v>0.45</v>
      </c>
      <c r="AF22" s="251"/>
      <c r="AG22" s="237">
        <v>19.375</v>
      </c>
      <c r="AH22" s="324"/>
      <c r="AI22" s="317">
        <v>19.625</v>
      </c>
      <c r="AJ22" s="324">
        <f>0.45*3</f>
        <v>1.35</v>
      </c>
      <c r="AK22" s="250">
        <v>14.25</v>
      </c>
      <c r="AL22" s="251">
        <f>0.168+0.45</f>
        <v>0.61799999999999999</v>
      </c>
      <c r="AM22" s="250" t="s">
        <v>87</v>
      </c>
      <c r="AN22" s="223"/>
      <c r="AO22" s="301"/>
      <c r="AP22" s="201"/>
      <c r="AQ22" s="256"/>
      <c r="AR22" s="202"/>
      <c r="AS22" s="202"/>
      <c r="AT22" s="202"/>
      <c r="AU22" s="84"/>
      <c r="AV22" s="224"/>
      <c r="AW22" s="225"/>
    </row>
    <row r="23" spans="1:52" s="85" customFormat="1" ht="22.8" x14ac:dyDescent="0.4">
      <c r="A23" s="127" t="s">
        <v>49</v>
      </c>
      <c r="B23" s="78"/>
      <c r="C23" s="144" t="s">
        <v>50</v>
      </c>
      <c r="D23" s="78"/>
      <c r="E23" s="237">
        <f>[1]!TPP</f>
        <v>25.375</v>
      </c>
      <c r="F23" s="238"/>
      <c r="G23" s="237">
        <f>[1]!'TPP,DIVIDEND'</f>
        <v>2</v>
      </c>
      <c r="H23" s="109"/>
      <c r="I23" s="179">
        <f>+G23/E23</f>
        <v>7.8817733990147784E-2</v>
      </c>
      <c r="J23" s="179"/>
      <c r="K23" s="244">
        <f t="shared" si="0"/>
        <v>207.25733990147788</v>
      </c>
      <c r="L23" s="107"/>
      <c r="M23" s="179">
        <f t="shared" si="1"/>
        <v>7.1724137931034493E-2</v>
      </c>
      <c r="N23" s="107"/>
      <c r="O23" s="166">
        <f t="shared" si="6"/>
        <v>0.94339622641509424</v>
      </c>
      <c r="P23" s="240"/>
      <c r="Q23" s="166">
        <f t="shared" si="2"/>
        <v>-9.7560975609756097E-3</v>
      </c>
      <c r="R23" s="240"/>
      <c r="S23" s="166">
        <f t="shared" si="3"/>
        <v>-4.4705882352941179E-2</v>
      </c>
      <c r="T23" s="109"/>
      <c r="U23" s="245">
        <f t="shared" si="4"/>
        <v>0.39029126213592241</v>
      </c>
      <c r="V23" s="252"/>
      <c r="W23" s="131"/>
      <c r="X23" s="150"/>
      <c r="Y23" s="329">
        <v>1.97</v>
      </c>
      <c r="Z23" s="330">
        <v>2.12</v>
      </c>
      <c r="AA23" s="253">
        <v>0.7</v>
      </c>
      <c r="AB23" s="255"/>
      <c r="AC23" s="78"/>
      <c r="AD23" s="219">
        <v>36734</v>
      </c>
      <c r="AE23" s="250">
        <v>0.5</v>
      </c>
      <c r="AF23" s="251"/>
      <c r="AG23" s="237">
        <v>25.625</v>
      </c>
      <c r="AH23" s="324"/>
      <c r="AI23" s="237">
        <v>26.5625</v>
      </c>
      <c r="AJ23" s="324">
        <f>0.475+0.5+0.5</f>
        <v>1.4750000000000001</v>
      </c>
      <c r="AK23" s="250">
        <v>19.3125</v>
      </c>
      <c r="AL23" s="251">
        <f>0.45*2+0.475*2</f>
        <v>1.85</v>
      </c>
      <c r="AM23" s="250">
        <v>24.5625</v>
      </c>
      <c r="AN23" s="223">
        <f>(0.85+0.85+0.9)/2+0.45</f>
        <v>1.75</v>
      </c>
      <c r="AO23" s="247">
        <f>52.6875/2</f>
        <v>26.34375</v>
      </c>
      <c r="AP23" s="201"/>
      <c r="AQ23" s="80"/>
      <c r="AR23" s="80"/>
      <c r="AS23" s="80"/>
      <c r="AT23" s="80"/>
      <c r="AU23" s="80"/>
      <c r="AV23" s="224"/>
      <c r="AW23" s="225"/>
    </row>
    <row r="24" spans="1:52" s="85" customFormat="1" ht="23.4" thickBot="1" x14ac:dyDescent="0.45">
      <c r="A24" s="78"/>
      <c r="B24" s="78"/>
      <c r="C24" s="128"/>
      <c r="D24" s="78"/>
      <c r="E24" s="78"/>
      <c r="F24" s="78"/>
      <c r="G24" s="109"/>
      <c r="H24" s="109"/>
      <c r="I24" s="110"/>
      <c r="J24" s="110"/>
      <c r="K24" s="239"/>
      <c r="L24" s="107"/>
      <c r="M24" s="110"/>
      <c r="N24" s="107"/>
      <c r="O24" s="166"/>
      <c r="P24" s="240"/>
      <c r="Q24" s="166"/>
      <c r="R24" s="240"/>
      <c r="S24" s="166"/>
      <c r="T24" s="109"/>
      <c r="U24" s="128"/>
      <c r="V24" s="257"/>
      <c r="W24" s="131"/>
      <c r="X24" s="150"/>
      <c r="Y24" s="258"/>
      <c r="Z24" s="259"/>
      <c r="AA24" s="260"/>
      <c r="AB24" s="261"/>
      <c r="AD24" s="262"/>
      <c r="AE24" s="263"/>
      <c r="AF24" s="117"/>
      <c r="AG24" s="78"/>
      <c r="AH24" s="325"/>
      <c r="AI24" s="78"/>
      <c r="AJ24" s="264"/>
      <c r="AK24" s="265"/>
      <c r="AL24" s="264"/>
      <c r="AM24" s="265"/>
      <c r="AN24" s="298"/>
      <c r="AO24" s="292"/>
      <c r="AP24" s="80"/>
      <c r="AQ24" s="80"/>
      <c r="AR24" s="80"/>
      <c r="AS24" s="80"/>
      <c r="AT24" s="80"/>
      <c r="AU24" s="80"/>
      <c r="AV24" s="224"/>
      <c r="AW24" s="224"/>
      <c r="AX24" s="225"/>
    </row>
    <row r="25" spans="1:52" s="85" customFormat="1" ht="23.4" thickBot="1" x14ac:dyDescent="0.45">
      <c r="A25" s="266" t="s">
        <v>51</v>
      </c>
      <c r="B25" s="267"/>
      <c r="C25" s="268"/>
      <c r="D25" s="267"/>
      <c r="E25" s="269"/>
      <c r="F25" s="269"/>
      <c r="G25" s="270"/>
      <c r="H25" s="271"/>
      <c r="I25" s="272">
        <f>AVERAGEA(I13:I23)</f>
        <v>0.112255198656961</v>
      </c>
      <c r="J25" s="272"/>
      <c r="K25" s="273">
        <f>(+I25-E$27)*10000</f>
        <v>541.63198656961004</v>
      </c>
      <c r="L25" s="268"/>
      <c r="M25" s="272">
        <f>AVERAGEA(M13:M23)</f>
        <v>0.10814169630910443</v>
      </c>
      <c r="N25" s="268"/>
      <c r="O25" s="274">
        <f>AVERAGEA(O13:O23)</f>
        <v>4.3931510482736815</v>
      </c>
      <c r="P25" s="275"/>
      <c r="Q25" s="274">
        <f>AVERAGEA(Q13:Q23)</f>
        <v>-1.6601690950520925E-2</v>
      </c>
      <c r="R25" s="275"/>
      <c r="S25" s="274">
        <f>AVERAGEA(S13:S23)</f>
        <v>-2.2499056016573312E-2</v>
      </c>
      <c r="T25" s="271"/>
      <c r="U25" s="276">
        <f>AVERAGEA(U13:U23)</f>
        <v>0.31287943534743889</v>
      </c>
      <c r="V25" s="257"/>
      <c r="W25" s="131"/>
      <c r="X25" s="150"/>
      <c r="Y25" s="277"/>
      <c r="Z25" s="278"/>
      <c r="AA25" s="279"/>
      <c r="AB25" s="280"/>
      <c r="AC25" s="119"/>
      <c r="AD25" s="281"/>
      <c r="AE25" s="282"/>
      <c r="AF25" s="283"/>
      <c r="AG25" s="269"/>
      <c r="AH25" s="326"/>
      <c r="AI25" s="269"/>
      <c r="AJ25" s="284"/>
      <c r="AK25" s="282"/>
      <c r="AL25" s="284"/>
      <c r="AM25" s="282"/>
      <c r="AN25" s="299"/>
      <c r="AO25" s="293"/>
      <c r="AP25" s="80"/>
      <c r="AQ25" s="80"/>
      <c r="AR25" s="80"/>
      <c r="AS25" s="80"/>
      <c r="AT25" s="80"/>
      <c r="AU25" s="80"/>
      <c r="AV25" s="84"/>
      <c r="AW25" s="84"/>
      <c r="AX25" s="225"/>
    </row>
    <row r="26" spans="1:52" s="85" customFormat="1" ht="22.8" x14ac:dyDescent="0.4">
      <c r="A26" s="78"/>
      <c r="B26" s="78"/>
      <c r="C26" s="128"/>
      <c r="D26" s="78"/>
      <c r="E26" s="1">
        <f>PV(E27/2,(58-((+VALUE($AG$6+7)-VALUE($AR$27))/(365/2))),-$AK$27*100/2,-100,0)</f>
        <v>109.27962084817582</v>
      </c>
      <c r="F26" s="78"/>
      <c r="G26" s="109"/>
      <c r="H26" s="109"/>
      <c r="I26" s="110"/>
      <c r="J26" s="110"/>
      <c r="K26" s="133"/>
      <c r="L26" s="107"/>
      <c r="M26" s="110"/>
      <c r="N26" s="107"/>
      <c r="O26" s="166"/>
      <c r="P26" s="240"/>
      <c r="Q26" s="166"/>
      <c r="R26" s="240"/>
      <c r="S26" s="166"/>
      <c r="T26" s="109"/>
      <c r="U26" s="78"/>
      <c r="V26" s="257"/>
      <c r="W26" s="257"/>
      <c r="X26" s="77"/>
      <c r="Y26" s="77"/>
      <c r="Z26" s="77"/>
      <c r="AA26" s="77"/>
      <c r="AB26" s="77"/>
      <c r="AC26" s="78"/>
      <c r="AD26" s="262"/>
      <c r="AE26" s="117"/>
      <c r="AF26" s="312"/>
      <c r="AG26" s="1">
        <v>111.10636168571475</v>
      </c>
      <c r="AH26" s="313"/>
      <c r="AI26" s="1">
        <v>110.07520094025907</v>
      </c>
      <c r="AJ26" s="313"/>
      <c r="AK26" s="1">
        <f>PV(AK27/2,60,-$AK$27*100/2,-100,0)</f>
        <v>100</v>
      </c>
      <c r="AL26" s="313">
        <f>+AM27*100</f>
        <v>5.0999999999999996</v>
      </c>
      <c r="AM26" s="1">
        <v>100</v>
      </c>
      <c r="AN26" s="1"/>
      <c r="AO26" s="1"/>
      <c r="AP26" s="309" t="s">
        <v>98</v>
      </c>
      <c r="AQ26" s="32"/>
      <c r="AR26" s="8"/>
      <c r="AS26" s="84"/>
      <c r="AT26" s="80"/>
      <c r="AU26" s="84"/>
      <c r="AV26" s="84"/>
      <c r="AW26" s="84"/>
      <c r="AX26" s="84"/>
      <c r="AY26" s="248"/>
      <c r="AZ26" s="225"/>
    </row>
    <row r="27" spans="1:52" s="85" customFormat="1" ht="23.25" customHeight="1" x14ac:dyDescent="0.4">
      <c r="A27" s="127" t="s">
        <v>94</v>
      </c>
      <c r="B27" s="78"/>
      <c r="C27" s="128"/>
      <c r="D27" s="78"/>
      <c r="E27" s="286">
        <f>[1]!'US30YT=RR,RT YIELD 1'/100</f>
        <v>5.8091999999999998E-2</v>
      </c>
      <c r="F27" s="78"/>
      <c r="G27" s="285"/>
      <c r="H27" s="109"/>
      <c r="J27" s="286"/>
      <c r="K27" s="239"/>
      <c r="L27" s="107"/>
      <c r="M27" s="179">
        <f>(E27*AA27)+((E27*(1-AA27))*(1-0.3))</f>
        <v>4.0664399999999996E-2</v>
      </c>
      <c r="N27" s="107"/>
      <c r="O27" s="166"/>
      <c r="P27" s="240"/>
      <c r="Q27" s="166">
        <f>(AF26+$E26-AG26)/AG26</f>
        <v>-1.644137032140609E-2</v>
      </c>
      <c r="R27" s="240"/>
      <c r="S27" s="166">
        <f>(AH26+$E26-AI26)/AI26</f>
        <v>-7.2276051761652063E-3</v>
      </c>
      <c r="T27" s="109"/>
      <c r="U27" s="245">
        <f>(AJ26+E26-AK26)/AK26</f>
        <v>9.2796208481758236E-2</v>
      </c>
      <c r="V27" s="257"/>
      <c r="W27" s="257"/>
      <c r="X27" s="77"/>
      <c r="Y27" s="77"/>
      <c r="Z27" s="77"/>
      <c r="AA27" s="77"/>
      <c r="AB27" s="77"/>
      <c r="AC27" s="80"/>
      <c r="AD27" s="287"/>
      <c r="AE27" s="287"/>
      <c r="AF27" s="287"/>
      <c r="AG27" s="286">
        <v>5.8337E-2</v>
      </c>
      <c r="AH27" s="289"/>
      <c r="AI27" s="286">
        <v>5.8883999999999999E-2</v>
      </c>
      <c r="AJ27" s="289"/>
      <c r="AK27" s="286">
        <v>6.4820000000000003E-2</v>
      </c>
      <c r="AL27" s="288"/>
      <c r="AM27" s="288">
        <v>5.0999999999999997E-2</v>
      </c>
      <c r="AN27" s="287"/>
      <c r="AO27" s="287"/>
      <c r="AP27" s="316" t="s">
        <v>97</v>
      </c>
      <c r="AQ27" s="287"/>
      <c r="AR27" s="314">
        <v>36525</v>
      </c>
      <c r="AS27" s="84"/>
      <c r="AT27" s="80"/>
      <c r="AU27" s="84"/>
      <c r="AV27" s="84"/>
      <c r="AW27" s="84"/>
      <c r="AX27" s="84"/>
      <c r="AY27" s="84"/>
      <c r="AZ27" s="225"/>
    </row>
    <row r="28" spans="1:52" ht="20.100000000000001" customHeight="1" x14ac:dyDescent="0.4">
      <c r="A28" s="127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10" t="s">
        <v>95</v>
      </c>
      <c r="S28" s="310" t="s">
        <v>95</v>
      </c>
      <c r="U28" s="310" t="s">
        <v>95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G28" s="22" t="s">
        <v>24</v>
      </c>
      <c r="AK28" s="313"/>
      <c r="AL28" s="313"/>
      <c r="AM28" s="313"/>
      <c r="AS28" s="8"/>
      <c r="AT28" s="5"/>
      <c r="AU28" s="8"/>
      <c r="AV28" s="8"/>
      <c r="AW28" s="8"/>
      <c r="AX28" s="8"/>
      <c r="AY28" s="8"/>
    </row>
    <row r="29" spans="1:52" ht="19.5" hidden="1" customHeight="1" x14ac:dyDescent="0.3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32"/>
      <c r="AQ29" s="32"/>
      <c r="AR29" s="8"/>
      <c r="AS29" s="8"/>
      <c r="AT29" s="5"/>
      <c r="AU29" s="8"/>
      <c r="AV29" s="8"/>
      <c r="AW29" s="8"/>
      <c r="AX29" s="8"/>
      <c r="AY29" s="8"/>
    </row>
    <row r="30" spans="1:52" ht="19.5" customHeight="1" x14ac:dyDescent="0.3">
      <c r="A30" s="49"/>
      <c r="B30" s="6"/>
      <c r="C30" s="10"/>
      <c r="D30" s="6"/>
      <c r="E30" s="318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315" t="s">
        <v>99</v>
      </c>
      <c r="AI30" s="315" t="s">
        <v>100</v>
      </c>
      <c r="AJ30" s="1"/>
      <c r="AK30" s="1"/>
      <c r="AL30" s="1"/>
      <c r="AM30" s="1"/>
      <c r="AN30" s="1"/>
      <c r="AO30" s="1"/>
      <c r="AP30" s="32"/>
      <c r="AQ30" s="32"/>
      <c r="AR30" s="8"/>
      <c r="AS30" s="8"/>
      <c r="AT30" s="5"/>
      <c r="AU30" s="8"/>
      <c r="AV30" s="8"/>
      <c r="AW30" s="8"/>
      <c r="AX30" s="8"/>
      <c r="AY30" s="8"/>
    </row>
    <row r="31" spans="1:52" s="62" customFormat="1" ht="26.4" x14ac:dyDescent="0.4">
      <c r="A31" s="302" t="s">
        <v>90</v>
      </c>
      <c r="B31" s="51"/>
      <c r="C31" s="52"/>
      <c r="D31" s="51"/>
      <c r="E31" s="237"/>
      <c r="F31" s="53"/>
      <c r="G31" s="54"/>
      <c r="H31" s="54"/>
      <c r="I31" s="55"/>
      <c r="J31" s="55"/>
      <c r="K31" s="56"/>
      <c r="L31" s="54"/>
      <c r="M31" s="55"/>
      <c r="N31" s="54"/>
      <c r="O31" s="57"/>
      <c r="P31" s="57"/>
      <c r="Q31" s="57"/>
      <c r="R31" s="57"/>
      <c r="S31" s="57"/>
      <c r="T31" s="54"/>
      <c r="U31" s="53"/>
      <c r="V31" s="58"/>
      <c r="W31" s="34"/>
      <c r="X31" s="34"/>
      <c r="Y31" s="34"/>
      <c r="Z31" s="34"/>
      <c r="AA31" s="34"/>
      <c r="AB31" s="34"/>
      <c r="AC31" s="34"/>
      <c r="AD31" s="34"/>
      <c r="AE31" s="59"/>
      <c r="AF31" s="2"/>
      <c r="AG31" s="2"/>
      <c r="AH31" s="2"/>
      <c r="AJ31" s="2"/>
      <c r="AK31" s="2"/>
      <c r="AL31" s="2"/>
      <c r="AM31" s="2"/>
      <c r="AN31" s="2"/>
      <c r="AO31" s="1"/>
      <c r="AP31" s="33"/>
      <c r="AQ31" s="33"/>
      <c r="AR31" s="60"/>
      <c r="AS31" s="60"/>
      <c r="AT31" s="61"/>
      <c r="AU31" s="60"/>
      <c r="AV31" s="60"/>
      <c r="AW31" s="60"/>
      <c r="AX31" s="60"/>
      <c r="AY31" s="60"/>
    </row>
    <row r="32" spans="1:52" s="62" customFormat="1" ht="9.75" customHeight="1" x14ac:dyDescent="0.4">
      <c r="A32" s="302"/>
      <c r="B32" s="51"/>
      <c r="C32" s="52"/>
      <c r="D32" s="51"/>
      <c r="E32" s="1"/>
      <c r="F32" s="53"/>
      <c r="G32" s="54"/>
      <c r="H32" s="54"/>
      <c r="I32" s="55"/>
      <c r="J32" s="55"/>
      <c r="K32" s="56"/>
      <c r="L32" s="54"/>
      <c r="M32" s="55"/>
      <c r="N32" s="54"/>
      <c r="O32" s="57"/>
      <c r="P32" s="57"/>
      <c r="Q32" s="57"/>
      <c r="R32" s="57"/>
      <c r="S32" s="57"/>
      <c r="T32" s="54"/>
      <c r="U32" s="53"/>
      <c r="V32" s="58"/>
      <c r="W32" s="34"/>
      <c r="X32" s="34"/>
      <c r="Y32" s="34"/>
      <c r="Z32" s="34"/>
      <c r="AA32" s="34"/>
      <c r="AB32" s="34"/>
      <c r="AC32" s="34"/>
      <c r="AD32" s="34"/>
      <c r="AE32" s="59"/>
      <c r="AF32" s="2"/>
      <c r="AG32" s="2"/>
      <c r="AH32" s="2"/>
      <c r="AI32" s="2"/>
      <c r="AJ32" s="2"/>
      <c r="AK32" s="2"/>
      <c r="AL32" s="2"/>
      <c r="AM32" s="2"/>
      <c r="AN32" s="2"/>
      <c r="AO32" s="1"/>
      <c r="AP32" s="33"/>
      <c r="AQ32" s="33"/>
      <c r="AR32" s="60"/>
      <c r="AS32" s="60"/>
      <c r="AT32" s="61"/>
      <c r="AU32" s="60"/>
      <c r="AV32" s="60"/>
      <c r="AW32" s="60"/>
      <c r="AX32" s="60"/>
      <c r="AY32" s="60"/>
    </row>
    <row r="33" spans="1:51" s="62" customFormat="1" ht="26.4" x14ac:dyDescent="0.4">
      <c r="A33" s="302" t="s">
        <v>91</v>
      </c>
      <c r="B33" s="51"/>
      <c r="C33" s="52"/>
      <c r="D33" s="51"/>
      <c r="E33" s="53"/>
      <c r="F33" s="53"/>
      <c r="G33" s="54"/>
      <c r="H33" s="54"/>
      <c r="I33" s="55"/>
      <c r="J33" s="55"/>
      <c r="K33" s="56"/>
      <c r="L33" s="54"/>
      <c r="M33" s="55"/>
      <c r="N33" s="54"/>
      <c r="O33" s="57"/>
      <c r="P33" s="57"/>
      <c r="Q33" s="57"/>
      <c r="R33" s="57"/>
      <c r="S33" s="57"/>
      <c r="T33" s="54"/>
      <c r="U33" s="53"/>
      <c r="V33" s="58"/>
      <c r="W33" s="63"/>
      <c r="X33" s="63"/>
      <c r="Y33" s="63"/>
      <c r="Z33" s="63"/>
      <c r="AA33" s="63"/>
      <c r="AB33" s="63"/>
      <c r="AC33" s="63"/>
      <c r="AD33" s="63"/>
      <c r="AE33" s="63"/>
      <c r="AF33" s="34"/>
      <c r="AG33" s="1"/>
      <c r="AH33" s="34"/>
      <c r="AI33" s="34"/>
      <c r="AJ33" s="34"/>
      <c r="AK33" s="34"/>
      <c r="AL33" s="34"/>
      <c r="AM33" s="34"/>
      <c r="AN33" s="33"/>
      <c r="AO33" s="34"/>
      <c r="AP33" s="34"/>
      <c r="AQ33" s="35"/>
      <c r="AR33" s="60"/>
      <c r="AS33" s="60"/>
      <c r="AT33" s="61"/>
      <c r="AU33" s="60"/>
      <c r="AV33" s="60"/>
      <c r="AW33" s="60"/>
      <c r="AX33" s="60"/>
      <c r="AY33" s="60"/>
    </row>
    <row r="34" spans="1:51" s="62" customFormat="1" ht="6.75" customHeight="1" x14ac:dyDescent="0.4">
      <c r="A34" s="302"/>
      <c r="B34" s="51"/>
      <c r="C34" s="52"/>
      <c r="D34" s="51"/>
      <c r="E34" s="53"/>
      <c r="F34" s="53"/>
      <c r="G34" s="54"/>
      <c r="H34" s="54"/>
      <c r="I34" s="55"/>
      <c r="J34" s="55"/>
      <c r="K34" s="56"/>
      <c r="L34" s="54"/>
      <c r="M34" s="55"/>
      <c r="N34" s="54"/>
      <c r="O34" s="57"/>
      <c r="P34" s="57"/>
      <c r="Q34" s="57"/>
      <c r="R34" s="57"/>
      <c r="S34" s="57"/>
      <c r="T34" s="54"/>
      <c r="U34" s="53"/>
      <c r="V34" s="58"/>
      <c r="W34" s="63"/>
      <c r="X34" s="63"/>
      <c r="Y34" s="63"/>
      <c r="Z34" s="63"/>
      <c r="AA34" s="63"/>
      <c r="AB34" s="63"/>
      <c r="AC34" s="63"/>
      <c r="AD34" s="63"/>
      <c r="AE34" s="63"/>
      <c r="AF34" s="34"/>
      <c r="AG34" s="34"/>
      <c r="AH34" s="34"/>
      <c r="AI34" s="34"/>
      <c r="AJ34" s="34"/>
      <c r="AK34" s="34"/>
      <c r="AL34" s="34"/>
      <c r="AM34" s="34"/>
      <c r="AN34" s="33"/>
      <c r="AO34" s="34"/>
      <c r="AP34" s="34"/>
      <c r="AQ34" s="35"/>
      <c r="AR34" s="60"/>
      <c r="AS34" s="60"/>
      <c r="AT34" s="61"/>
      <c r="AU34" s="60"/>
      <c r="AV34" s="60"/>
      <c r="AW34" s="60"/>
      <c r="AX34" s="60"/>
      <c r="AY34" s="60"/>
    </row>
    <row r="35" spans="1:51" s="11" customFormat="1" ht="31.5" customHeight="1" x14ac:dyDescent="0.5">
      <c r="A35" s="85" t="s">
        <v>113</v>
      </c>
      <c r="B35" s="303"/>
      <c r="C35" s="303"/>
      <c r="D35" s="303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5"/>
      <c r="T35" s="66"/>
      <c r="U35" s="67"/>
      <c r="V35" s="68"/>
      <c r="W35" s="68"/>
      <c r="X35" s="69"/>
      <c r="Y35" s="69"/>
      <c r="Z35" s="69"/>
      <c r="AA35" s="69"/>
      <c r="AB35" s="69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37"/>
      <c r="AO35" s="3"/>
      <c r="AP35" s="18"/>
      <c r="AQ35" s="18"/>
      <c r="AR35" s="47"/>
      <c r="AS35" s="47"/>
      <c r="AT35" s="4"/>
      <c r="AU35" s="47"/>
      <c r="AV35" s="47"/>
      <c r="AW35" s="47"/>
      <c r="AX35" s="47"/>
      <c r="AY35" s="47"/>
    </row>
    <row r="36" spans="1:51" s="11" customFormat="1" ht="19.5" customHeight="1" x14ac:dyDescent="0.3">
      <c r="B36" s="64"/>
      <c r="C36" s="59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5"/>
      <c r="T36" s="66"/>
      <c r="U36" s="67"/>
      <c r="V36" s="68"/>
      <c r="W36" s="68"/>
      <c r="X36" s="69"/>
      <c r="Y36" s="69"/>
      <c r="Z36" s="69"/>
      <c r="AA36" s="69"/>
      <c r="AB36" s="69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37"/>
      <c r="AO36" s="3"/>
      <c r="AP36" s="18"/>
      <c r="AQ36" s="18"/>
      <c r="AR36" s="47"/>
      <c r="AS36" s="47"/>
      <c r="AT36" s="4"/>
      <c r="AU36" s="47"/>
      <c r="AV36" s="47"/>
      <c r="AW36" s="47"/>
      <c r="AX36" s="47"/>
      <c r="AY36" s="47"/>
    </row>
    <row r="37" spans="1:51" s="11" customFormat="1" ht="19.5" customHeight="1" x14ac:dyDescent="0.3">
      <c r="A37" s="50"/>
      <c r="B37" s="64"/>
      <c r="C37" s="59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5"/>
      <c r="T37" s="66"/>
      <c r="U37" s="67"/>
      <c r="V37" s="68"/>
      <c r="W37" s="68"/>
      <c r="X37" s="69"/>
      <c r="Y37" s="69"/>
      <c r="Z37" s="69"/>
      <c r="AA37" s="69"/>
      <c r="AB37" s="69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37"/>
      <c r="AO37" s="3"/>
      <c r="AP37" s="18"/>
      <c r="AQ37" s="18"/>
      <c r="AR37" s="47"/>
      <c r="AS37" s="47"/>
      <c r="AT37" s="4"/>
      <c r="AU37" s="47"/>
      <c r="AV37" s="47"/>
      <c r="AW37" s="47"/>
      <c r="AX37" s="47"/>
      <c r="AY37" s="47"/>
    </row>
    <row r="38" spans="1:51" s="85" customFormat="1" ht="37.5" customHeight="1" x14ac:dyDescent="0.7">
      <c r="A38" s="70"/>
      <c r="B38" s="71"/>
      <c r="C38" s="72"/>
      <c r="D38" s="71"/>
      <c r="E38" s="334" t="s">
        <v>35</v>
      </c>
      <c r="F38" s="334"/>
      <c r="G38" s="334"/>
      <c r="H38" s="334"/>
      <c r="I38" s="334"/>
      <c r="J38" s="334"/>
      <c r="K38" s="334"/>
      <c r="L38" s="73"/>
      <c r="M38" s="73"/>
      <c r="N38" s="73"/>
      <c r="O38" s="74"/>
      <c r="P38" s="75"/>
      <c r="Q38" s="334" t="s">
        <v>37</v>
      </c>
      <c r="R38" s="334"/>
      <c r="S38" s="334"/>
      <c r="T38" s="334"/>
      <c r="U38" s="334"/>
      <c r="V38" s="334"/>
      <c r="W38" s="335"/>
      <c r="X38" s="76"/>
      <c r="Y38" s="291" t="s">
        <v>80</v>
      </c>
      <c r="Z38" s="77"/>
      <c r="AA38" s="77"/>
      <c r="AB38" s="77"/>
      <c r="AC38" s="78"/>
      <c r="AD38" s="79"/>
      <c r="AE38" s="80"/>
      <c r="AF38" s="80"/>
      <c r="AG38" s="80"/>
      <c r="AH38" s="80"/>
      <c r="AI38" s="80"/>
      <c r="AJ38" s="80"/>
      <c r="AK38" s="80"/>
      <c r="AL38" s="80"/>
      <c r="AM38" s="80"/>
      <c r="AN38" s="81"/>
      <c r="AO38" s="82"/>
      <c r="AP38" s="83"/>
      <c r="AQ38" s="83"/>
      <c r="AR38" s="84"/>
      <c r="AS38" s="84"/>
      <c r="AT38" s="80"/>
      <c r="AU38" s="84"/>
      <c r="AV38" s="84"/>
      <c r="AW38" s="84"/>
      <c r="AX38" s="84"/>
      <c r="AY38" s="84"/>
    </row>
    <row r="39" spans="1:51" s="85" customFormat="1" ht="26.1" customHeight="1" x14ac:dyDescent="0.4">
      <c r="A39" s="86" t="s">
        <v>52</v>
      </c>
      <c r="B39" s="87"/>
      <c r="C39" s="87"/>
      <c r="D39" s="87"/>
      <c r="E39" s="88" t="s">
        <v>53</v>
      </c>
      <c r="F39" s="87"/>
      <c r="G39" s="88" t="s">
        <v>83</v>
      </c>
      <c r="H39" s="89"/>
      <c r="I39" s="88" t="s">
        <v>108</v>
      </c>
      <c r="J39" s="88"/>
      <c r="K39" s="88" t="s">
        <v>54</v>
      </c>
      <c r="L39" s="78"/>
      <c r="M39" s="90"/>
      <c r="N39" s="89"/>
      <c r="O39" s="91"/>
      <c r="P39" s="89"/>
      <c r="Q39" s="290" t="s">
        <v>53</v>
      </c>
      <c r="R39" s="89"/>
      <c r="S39" s="88" t="s">
        <v>83</v>
      </c>
      <c r="T39" s="89"/>
      <c r="U39" s="88" t="s">
        <v>108</v>
      </c>
      <c r="V39" s="92"/>
      <c r="W39" s="93" t="s">
        <v>54</v>
      </c>
      <c r="X39" s="88"/>
      <c r="Y39" s="77"/>
      <c r="Z39" s="77"/>
      <c r="AA39" s="77"/>
      <c r="AB39" s="77"/>
      <c r="AC39" s="78"/>
      <c r="AD39" s="94"/>
      <c r="AE39" s="82"/>
      <c r="AF39" s="82"/>
      <c r="AG39" s="82"/>
      <c r="AH39" s="82"/>
      <c r="AI39" s="82"/>
      <c r="AJ39" s="82"/>
      <c r="AK39" s="82"/>
      <c r="AL39" s="82"/>
      <c r="AM39" s="82"/>
      <c r="AN39" s="81"/>
      <c r="AO39" s="82"/>
      <c r="AP39" s="83"/>
      <c r="AQ39" s="83"/>
      <c r="AR39" s="84"/>
      <c r="AS39" s="84"/>
      <c r="AT39" s="80"/>
      <c r="AU39" s="84"/>
      <c r="AV39" s="84"/>
      <c r="AW39" s="84"/>
      <c r="AX39" s="84"/>
      <c r="AY39" s="84"/>
    </row>
    <row r="40" spans="1:51" s="85" customFormat="1" ht="26.1" customHeight="1" x14ac:dyDescent="0.4">
      <c r="A40" s="95" t="s">
        <v>55</v>
      </c>
      <c r="B40" s="87"/>
      <c r="C40" s="87"/>
      <c r="D40" s="87"/>
      <c r="E40" s="96" t="s">
        <v>56</v>
      </c>
      <c r="F40" s="87"/>
      <c r="G40" s="97">
        <v>2.5</v>
      </c>
      <c r="H40" s="87"/>
      <c r="I40" s="97">
        <v>2.5299999999999998</v>
      </c>
      <c r="J40" s="87"/>
      <c r="K40" s="97"/>
      <c r="L40" s="78"/>
      <c r="M40" s="90"/>
      <c r="N40" s="87"/>
      <c r="O40" s="97"/>
      <c r="P40" s="87"/>
      <c r="Q40" s="98" t="s">
        <v>57</v>
      </c>
      <c r="R40" s="99"/>
      <c r="S40" s="98"/>
      <c r="T40" s="100"/>
      <c r="U40" s="101"/>
      <c r="V40" s="92"/>
      <c r="W40" s="102"/>
      <c r="X40" s="103"/>
      <c r="Y40" s="77" t="s">
        <v>110</v>
      </c>
      <c r="Z40" s="77"/>
      <c r="AA40" s="77"/>
      <c r="AB40" s="77"/>
      <c r="AC40" s="78"/>
      <c r="AD40" s="94"/>
      <c r="AE40" s="82"/>
      <c r="AF40" s="82"/>
      <c r="AG40" s="82"/>
      <c r="AH40" s="82"/>
      <c r="AI40" s="82"/>
      <c r="AJ40" s="82"/>
      <c r="AK40" s="82"/>
      <c r="AL40" s="82"/>
      <c r="AM40" s="82"/>
      <c r="AN40" s="81"/>
      <c r="AO40" s="82"/>
      <c r="AP40" s="83"/>
      <c r="AQ40" s="83"/>
      <c r="AR40" s="84"/>
      <c r="AS40" s="84"/>
      <c r="AT40" s="80"/>
      <c r="AU40" s="84"/>
      <c r="AV40" s="84"/>
      <c r="AW40" s="84"/>
      <c r="AX40" s="84"/>
      <c r="AY40" s="84"/>
    </row>
    <row r="41" spans="1:51" s="85" customFormat="1" ht="26.1" customHeight="1" x14ac:dyDescent="0.4">
      <c r="A41" s="95" t="s">
        <v>89</v>
      </c>
      <c r="B41" s="87"/>
      <c r="C41" s="87"/>
      <c r="D41" s="87"/>
      <c r="E41" s="96" t="s">
        <v>56</v>
      </c>
      <c r="F41" s="87"/>
      <c r="G41" s="97">
        <v>2.5</v>
      </c>
      <c r="H41" s="87"/>
      <c r="I41" s="97">
        <v>2.61</v>
      </c>
      <c r="J41" s="87"/>
      <c r="K41" s="97"/>
      <c r="L41" s="78"/>
      <c r="M41" s="90"/>
      <c r="N41" s="87"/>
      <c r="O41" s="97"/>
      <c r="P41" s="87"/>
      <c r="Q41" s="98" t="s">
        <v>66</v>
      </c>
      <c r="R41" s="99"/>
      <c r="S41" s="103"/>
      <c r="T41" s="100"/>
      <c r="U41" s="103"/>
      <c r="V41" s="92"/>
      <c r="W41" s="102"/>
      <c r="X41" s="103"/>
      <c r="Y41" s="77" t="s">
        <v>77</v>
      </c>
      <c r="Z41" s="77"/>
      <c r="AA41" s="77"/>
      <c r="AB41" s="77"/>
      <c r="AC41" s="78"/>
      <c r="AD41" s="94"/>
      <c r="AE41" s="82"/>
      <c r="AF41" s="82"/>
      <c r="AG41" s="82"/>
      <c r="AH41" s="82"/>
      <c r="AI41" s="82"/>
      <c r="AJ41" s="82"/>
      <c r="AK41" s="82"/>
      <c r="AL41" s="82"/>
      <c r="AM41" s="82"/>
      <c r="AN41" s="81"/>
      <c r="AO41" s="82"/>
      <c r="AP41" s="83"/>
      <c r="AQ41" s="83"/>
      <c r="AR41" s="84"/>
      <c r="AS41" s="84"/>
      <c r="AT41" s="80"/>
      <c r="AU41" s="84"/>
      <c r="AV41" s="84"/>
      <c r="AW41" s="84"/>
      <c r="AX41" s="84"/>
      <c r="AY41" s="84"/>
    </row>
    <row r="42" spans="1:51" s="85" customFormat="1" ht="26.1" customHeight="1" x14ac:dyDescent="0.4">
      <c r="A42" s="95" t="s">
        <v>58</v>
      </c>
      <c r="B42" s="87"/>
      <c r="C42" s="87"/>
      <c r="D42" s="87"/>
      <c r="E42" s="96" t="s">
        <v>56</v>
      </c>
      <c r="F42" s="87"/>
      <c r="G42" s="97">
        <v>2.52</v>
      </c>
      <c r="H42" s="87"/>
      <c r="I42" s="97">
        <v>2.6</v>
      </c>
      <c r="J42" s="87"/>
      <c r="K42" s="97">
        <v>34</v>
      </c>
      <c r="L42" s="78"/>
      <c r="M42" s="90"/>
      <c r="N42" s="87"/>
      <c r="O42" s="97"/>
      <c r="P42" s="87"/>
      <c r="Q42" s="98" t="s">
        <v>66</v>
      </c>
      <c r="R42" s="99"/>
      <c r="S42" s="98"/>
      <c r="T42" s="100"/>
      <c r="U42" s="101"/>
      <c r="V42" s="92"/>
      <c r="W42" s="102"/>
      <c r="X42" s="103"/>
      <c r="Y42" s="77" t="s">
        <v>74</v>
      </c>
      <c r="Z42" s="77"/>
      <c r="AA42" s="77"/>
      <c r="AB42" s="77"/>
      <c r="AC42" s="78"/>
      <c r="AD42" s="94"/>
      <c r="AE42" s="82"/>
      <c r="AF42" s="82"/>
      <c r="AG42" s="82"/>
      <c r="AH42" s="82"/>
      <c r="AI42" s="82"/>
      <c r="AJ42" s="82"/>
      <c r="AK42" s="82"/>
      <c r="AL42" s="82"/>
      <c r="AM42" s="82"/>
      <c r="AN42" s="81"/>
      <c r="AO42" s="82"/>
      <c r="AP42" s="83"/>
      <c r="AQ42" s="83"/>
      <c r="AR42" s="84"/>
      <c r="AS42" s="84"/>
      <c r="AT42" s="80"/>
      <c r="AU42" s="84"/>
      <c r="AV42" s="84"/>
      <c r="AW42" s="84"/>
      <c r="AX42" s="84"/>
      <c r="AY42" s="84"/>
    </row>
    <row r="43" spans="1:51" s="85" customFormat="1" ht="26.1" customHeight="1" x14ac:dyDescent="0.4">
      <c r="A43" s="95" t="s">
        <v>59</v>
      </c>
      <c r="B43" s="87"/>
      <c r="C43" s="87"/>
      <c r="D43" s="87"/>
      <c r="E43" s="96" t="s">
        <v>56</v>
      </c>
      <c r="F43" s="87"/>
      <c r="G43" s="97">
        <v>2.5</v>
      </c>
      <c r="H43" s="87"/>
      <c r="I43" s="97">
        <v>2.65</v>
      </c>
      <c r="J43" s="87"/>
      <c r="K43" s="97">
        <v>38</v>
      </c>
      <c r="L43" s="78"/>
      <c r="M43" s="90"/>
      <c r="N43" s="87"/>
      <c r="O43" s="97"/>
      <c r="P43" s="87"/>
      <c r="Q43" s="98" t="s">
        <v>92</v>
      </c>
      <c r="R43" s="99"/>
      <c r="S43" s="97">
        <v>0.5</v>
      </c>
      <c r="T43" s="87"/>
      <c r="U43" s="97">
        <v>0.6</v>
      </c>
      <c r="V43" s="92"/>
      <c r="W43" s="104">
        <v>20</v>
      </c>
      <c r="X43" s="97"/>
      <c r="Y43" s="77" t="s">
        <v>75</v>
      </c>
      <c r="Z43" s="77"/>
      <c r="AA43" s="77"/>
      <c r="AB43" s="77"/>
      <c r="AC43" s="78"/>
      <c r="AD43" s="94"/>
      <c r="AE43" s="82"/>
      <c r="AF43" s="82"/>
      <c r="AG43" s="82"/>
      <c r="AH43" s="82"/>
      <c r="AI43" s="82"/>
      <c r="AJ43" s="82"/>
      <c r="AK43" s="82"/>
      <c r="AL43" s="82"/>
      <c r="AM43" s="82"/>
      <c r="AN43" s="81"/>
      <c r="AO43" s="82"/>
      <c r="AP43" s="83"/>
      <c r="AQ43" s="83"/>
      <c r="AR43" s="80"/>
      <c r="AS43" s="80"/>
      <c r="AT43" s="80"/>
      <c r="AU43" s="80"/>
      <c r="AV43" s="80"/>
      <c r="AW43" s="80"/>
      <c r="AX43" s="80"/>
      <c r="AY43" s="80"/>
    </row>
    <row r="44" spans="1:51" s="85" customFormat="1" ht="26.1" customHeight="1" x14ac:dyDescent="0.4">
      <c r="A44" s="95" t="s">
        <v>60</v>
      </c>
      <c r="B44" s="87"/>
      <c r="C44" s="87"/>
      <c r="D44" s="87"/>
      <c r="E44" s="96" t="s">
        <v>85</v>
      </c>
      <c r="F44" s="87"/>
      <c r="G44" s="97">
        <v>2.5</v>
      </c>
      <c r="H44" s="87"/>
      <c r="I44" s="97">
        <v>2.6</v>
      </c>
      <c r="J44" s="87"/>
      <c r="K44" s="97"/>
      <c r="L44" s="78"/>
      <c r="M44" s="90"/>
      <c r="N44" s="87"/>
      <c r="O44" s="97"/>
      <c r="P44" s="87"/>
      <c r="Q44" s="98" t="s">
        <v>66</v>
      </c>
      <c r="R44" s="99"/>
      <c r="S44" s="103"/>
      <c r="T44" s="100"/>
      <c r="U44" s="103"/>
      <c r="V44" s="92"/>
      <c r="W44" s="102"/>
      <c r="X44" s="103"/>
      <c r="Y44" s="77" t="s">
        <v>76</v>
      </c>
      <c r="Z44" s="77"/>
      <c r="AA44" s="77"/>
      <c r="AB44" s="77"/>
      <c r="AC44" s="78"/>
      <c r="AD44" s="94"/>
      <c r="AE44" s="82"/>
      <c r="AF44" s="82"/>
      <c r="AG44" s="82"/>
      <c r="AH44" s="82"/>
      <c r="AI44" s="82"/>
      <c r="AJ44" s="82"/>
      <c r="AK44" s="82"/>
      <c r="AL44" s="82"/>
      <c r="AM44" s="82"/>
      <c r="AN44" s="81"/>
      <c r="AO44" s="82"/>
      <c r="AP44" s="83"/>
      <c r="AQ44" s="83"/>
      <c r="AR44" s="80"/>
      <c r="AS44" s="80"/>
      <c r="AT44" s="80"/>
      <c r="AU44" s="80"/>
      <c r="AV44" s="80"/>
      <c r="AW44" s="80"/>
      <c r="AX44" s="80"/>
      <c r="AY44" s="80"/>
    </row>
    <row r="45" spans="1:51" s="85" customFormat="1" ht="26.1" customHeight="1" x14ac:dyDescent="0.4">
      <c r="A45" s="95" t="s">
        <v>93</v>
      </c>
      <c r="B45" s="87"/>
      <c r="C45" s="87"/>
      <c r="D45" s="87"/>
      <c r="E45" s="96"/>
      <c r="F45" s="87"/>
      <c r="G45" s="97"/>
      <c r="H45" s="87"/>
      <c r="I45" s="97"/>
      <c r="J45" s="87"/>
      <c r="K45" s="97"/>
      <c r="L45" s="78"/>
      <c r="M45" s="90"/>
      <c r="N45" s="87"/>
      <c r="O45" s="97"/>
      <c r="P45" s="87"/>
      <c r="Q45" s="98" t="s">
        <v>56</v>
      </c>
      <c r="R45" s="99"/>
      <c r="S45" s="304"/>
      <c r="T45" s="305"/>
      <c r="U45" s="304"/>
      <c r="V45" s="306"/>
      <c r="W45" s="307"/>
      <c r="X45" s="103"/>
      <c r="Y45" s="77" t="s">
        <v>115</v>
      </c>
      <c r="Z45" s="77"/>
      <c r="AA45" s="77"/>
      <c r="AB45" s="77"/>
      <c r="AC45" s="78"/>
      <c r="AD45" s="94"/>
      <c r="AE45" s="82"/>
      <c r="AF45" s="82"/>
      <c r="AG45" s="82"/>
      <c r="AH45" s="82"/>
      <c r="AI45" s="82"/>
      <c r="AJ45" s="82"/>
      <c r="AK45" s="82"/>
      <c r="AL45" s="82"/>
      <c r="AM45" s="82"/>
      <c r="AN45" s="81"/>
      <c r="AO45" s="82"/>
      <c r="AP45" s="83"/>
      <c r="AQ45" s="83"/>
      <c r="AR45" s="80"/>
      <c r="AS45" s="80"/>
      <c r="AT45" s="80"/>
      <c r="AU45" s="80"/>
      <c r="AV45" s="80"/>
      <c r="AW45" s="80"/>
      <c r="AX45" s="80"/>
      <c r="AY45" s="80"/>
    </row>
    <row r="46" spans="1:51" s="85" customFormat="1" ht="26.1" customHeight="1" x14ac:dyDescent="0.4">
      <c r="A46" s="95" t="s">
        <v>68</v>
      </c>
      <c r="B46" s="87"/>
      <c r="C46" s="87"/>
      <c r="D46" s="87"/>
      <c r="E46" s="96" t="s">
        <v>69</v>
      </c>
      <c r="F46" s="87"/>
      <c r="G46" s="97">
        <v>2.5</v>
      </c>
      <c r="H46" s="87"/>
      <c r="I46" s="97">
        <v>2.61</v>
      </c>
      <c r="J46" s="87"/>
      <c r="K46" s="97">
        <v>38</v>
      </c>
      <c r="L46" s="78"/>
      <c r="M46" s="90"/>
      <c r="N46" s="87"/>
      <c r="O46" s="97"/>
      <c r="P46" s="87"/>
      <c r="Q46" s="98" t="s">
        <v>69</v>
      </c>
      <c r="R46" s="99"/>
      <c r="S46" s="304">
        <v>0.45</v>
      </c>
      <c r="T46" s="305"/>
      <c r="U46" s="97">
        <v>0.61</v>
      </c>
      <c r="V46" s="306"/>
      <c r="W46" s="307">
        <v>16</v>
      </c>
      <c r="X46" s="103"/>
      <c r="Y46" s="77" t="s">
        <v>109</v>
      </c>
      <c r="Z46" s="77"/>
      <c r="AA46" s="77"/>
      <c r="AB46" s="77"/>
      <c r="AC46" s="78"/>
      <c r="AD46" s="94"/>
      <c r="AE46" s="82"/>
      <c r="AF46" s="82"/>
      <c r="AG46" s="82"/>
      <c r="AH46" s="82"/>
      <c r="AI46" s="82"/>
      <c r="AJ46" s="82"/>
      <c r="AK46" s="82"/>
      <c r="AL46" s="82"/>
      <c r="AM46" s="82"/>
      <c r="AN46" s="81"/>
      <c r="AO46" s="82"/>
      <c r="AP46" s="83"/>
      <c r="AQ46" s="83"/>
      <c r="AR46" s="80"/>
      <c r="AS46" s="80"/>
      <c r="AT46" s="80"/>
      <c r="AU46" s="80"/>
      <c r="AV46" s="80"/>
      <c r="AW46" s="80"/>
      <c r="AX46" s="80"/>
      <c r="AY46" s="80"/>
    </row>
    <row r="47" spans="1:51" s="85" customFormat="1" ht="26.1" customHeight="1" x14ac:dyDescent="0.4">
      <c r="A47" s="95" t="s">
        <v>67</v>
      </c>
      <c r="B47" s="87"/>
      <c r="C47" s="87"/>
      <c r="D47" s="87"/>
      <c r="E47" s="96" t="s">
        <v>117</v>
      </c>
      <c r="F47" s="87"/>
      <c r="G47" s="97">
        <v>2.5</v>
      </c>
      <c r="H47" s="87"/>
      <c r="I47" s="97">
        <v>2.6</v>
      </c>
      <c r="J47" s="87"/>
      <c r="K47" s="97">
        <v>37.5</v>
      </c>
      <c r="L47" s="78"/>
      <c r="M47" s="90"/>
      <c r="N47" s="87"/>
      <c r="O47" s="97"/>
      <c r="P47" s="87"/>
      <c r="Q47" s="98" t="s">
        <v>81</v>
      </c>
      <c r="R47" s="99"/>
      <c r="S47" s="97">
        <v>0.45</v>
      </c>
      <c r="T47" s="87"/>
      <c r="U47" s="97">
        <v>0.55000000000000004</v>
      </c>
      <c r="V47" s="92"/>
      <c r="W47" s="104"/>
      <c r="X47" s="97"/>
      <c r="Y47" s="77" t="s">
        <v>114</v>
      </c>
      <c r="Z47" s="77"/>
      <c r="AA47" s="77"/>
      <c r="AB47" s="77"/>
      <c r="AD47" s="94"/>
      <c r="AE47" s="82"/>
      <c r="AF47" s="82"/>
      <c r="AG47" s="82"/>
      <c r="AH47" s="82"/>
      <c r="AI47" s="82"/>
      <c r="AJ47" s="82"/>
      <c r="AK47" s="82"/>
      <c r="AL47" s="82"/>
      <c r="AM47" s="82"/>
      <c r="AN47" s="81"/>
      <c r="AO47" s="82"/>
      <c r="AP47" s="83"/>
      <c r="AQ47" s="83"/>
      <c r="AR47" s="80"/>
      <c r="AS47" s="80"/>
      <c r="AT47" s="80"/>
      <c r="AU47" s="80"/>
      <c r="AV47" s="80"/>
      <c r="AW47" s="80"/>
      <c r="AX47" s="80"/>
      <c r="AY47" s="80"/>
    </row>
    <row r="48" spans="1:51" s="85" customFormat="1" ht="26.1" customHeight="1" x14ac:dyDescent="0.4">
      <c r="A48" s="95" t="s">
        <v>61</v>
      </c>
      <c r="B48" s="87"/>
      <c r="C48" s="87"/>
      <c r="D48" s="87"/>
      <c r="E48" s="96" t="s">
        <v>62</v>
      </c>
      <c r="F48" s="87"/>
      <c r="G48" s="98">
        <v>2.4500000000000002</v>
      </c>
      <c r="H48" s="87"/>
      <c r="I48" s="97">
        <v>2.6</v>
      </c>
      <c r="J48" s="87"/>
      <c r="K48" s="97">
        <v>33</v>
      </c>
      <c r="L48" s="78"/>
      <c r="M48" s="90"/>
      <c r="N48" s="87"/>
      <c r="O48" s="97"/>
      <c r="P48" s="87"/>
      <c r="Q48" s="98" t="s">
        <v>66</v>
      </c>
      <c r="R48" s="99"/>
      <c r="S48" s="103"/>
      <c r="T48" s="100"/>
      <c r="U48" s="103"/>
      <c r="V48" s="92"/>
      <c r="W48" s="102"/>
      <c r="X48" s="103"/>
      <c r="Y48" s="77" t="s">
        <v>78</v>
      </c>
      <c r="Z48" s="77"/>
      <c r="AA48" s="77"/>
      <c r="AB48" s="77"/>
      <c r="AC48" s="78"/>
      <c r="AD48" s="94"/>
      <c r="AE48" s="82"/>
      <c r="AF48" s="82"/>
      <c r="AG48" s="82"/>
      <c r="AH48" s="82"/>
      <c r="AI48" s="82"/>
      <c r="AJ48" s="82"/>
      <c r="AK48" s="82"/>
      <c r="AL48" s="82"/>
      <c r="AM48" s="82"/>
      <c r="AN48" s="81"/>
      <c r="AO48" s="82"/>
      <c r="AP48" s="83"/>
      <c r="AQ48" s="83"/>
      <c r="AR48" s="80"/>
      <c r="AS48" s="80"/>
      <c r="AT48" s="80"/>
      <c r="AU48" s="80"/>
      <c r="AV48" s="80"/>
      <c r="AW48" s="80"/>
      <c r="AX48" s="80"/>
      <c r="AY48" s="80"/>
    </row>
    <row r="49" spans="1:53" s="85" customFormat="1" ht="26.1" customHeight="1" x14ac:dyDescent="0.4">
      <c r="A49" s="105" t="s">
        <v>103</v>
      </c>
      <c r="B49" s="87"/>
      <c r="C49" s="87"/>
      <c r="D49" s="87"/>
      <c r="E49" s="96" t="s">
        <v>56</v>
      </c>
      <c r="F49" s="87"/>
      <c r="G49" s="97">
        <v>2.5</v>
      </c>
      <c r="H49" s="87"/>
      <c r="I49" s="97">
        <v>2.6</v>
      </c>
      <c r="J49" s="87"/>
      <c r="K49" s="97">
        <v>37.5</v>
      </c>
      <c r="L49" s="78"/>
      <c r="M49" s="90"/>
      <c r="N49" s="87"/>
      <c r="O49" s="97"/>
      <c r="P49" s="87"/>
      <c r="Q49" s="98" t="s">
        <v>56</v>
      </c>
      <c r="R49" s="99"/>
      <c r="S49" s="97">
        <v>0.52</v>
      </c>
      <c r="T49" s="87"/>
      <c r="U49" s="97">
        <v>0.6</v>
      </c>
      <c r="V49" s="92"/>
      <c r="W49" s="104">
        <v>19</v>
      </c>
      <c r="X49" s="97"/>
      <c r="Y49" s="77" t="s">
        <v>96</v>
      </c>
      <c r="Z49" s="77"/>
      <c r="AA49" s="77"/>
      <c r="AB49" s="77"/>
      <c r="AD49" s="94"/>
      <c r="AE49" s="82"/>
      <c r="AF49" s="82"/>
      <c r="AG49" s="82"/>
      <c r="AH49" s="82"/>
      <c r="AI49" s="82"/>
      <c r="AJ49" s="82"/>
      <c r="AK49" s="82"/>
      <c r="AL49" s="82"/>
      <c r="AM49" s="82"/>
      <c r="AN49" s="81"/>
      <c r="AO49" s="82"/>
      <c r="AP49" s="83"/>
      <c r="AQ49" s="83"/>
      <c r="AR49" s="80"/>
      <c r="AS49" s="80"/>
      <c r="AT49" s="80"/>
      <c r="AU49" s="80"/>
      <c r="AV49" s="80"/>
      <c r="AW49" s="80"/>
      <c r="AX49" s="80"/>
      <c r="AY49" s="80"/>
      <c r="AZ49" s="80"/>
    </row>
    <row r="50" spans="1:53" s="85" customFormat="1" ht="26.1" customHeight="1" x14ac:dyDescent="0.4">
      <c r="A50" s="105" t="s">
        <v>63</v>
      </c>
      <c r="B50" s="87"/>
      <c r="C50" s="87"/>
      <c r="D50" s="87"/>
      <c r="E50" s="96" t="s">
        <v>69</v>
      </c>
      <c r="F50" s="87"/>
      <c r="G50" s="97">
        <v>2.52</v>
      </c>
      <c r="H50" s="87"/>
      <c r="I50" s="97">
        <v>2.6</v>
      </c>
      <c r="J50" s="87"/>
      <c r="K50" s="97">
        <v>35</v>
      </c>
      <c r="L50" s="78"/>
      <c r="M50" s="90"/>
      <c r="N50" s="87"/>
      <c r="O50" s="97"/>
      <c r="P50" s="87"/>
      <c r="Q50" s="98" t="s">
        <v>62</v>
      </c>
      <c r="R50" s="99"/>
      <c r="S50" s="97">
        <v>0.5</v>
      </c>
      <c r="T50" s="87"/>
      <c r="U50" s="97">
        <v>0.6</v>
      </c>
      <c r="V50" s="92"/>
      <c r="W50" s="104">
        <v>17</v>
      </c>
      <c r="X50" s="97"/>
      <c r="Y50" s="77" t="s">
        <v>79</v>
      </c>
      <c r="Z50" s="77"/>
      <c r="AA50" s="77"/>
      <c r="AB50" s="77"/>
      <c r="AD50" s="94"/>
      <c r="AE50" s="82"/>
      <c r="AF50" s="82"/>
      <c r="AG50" s="82"/>
      <c r="AH50" s="82"/>
      <c r="AI50" s="82"/>
      <c r="AJ50" s="82"/>
      <c r="AK50" s="82"/>
      <c r="AL50" s="82"/>
      <c r="AM50" s="82"/>
      <c r="AN50" s="81"/>
      <c r="AO50" s="82"/>
      <c r="AP50" s="83"/>
      <c r="AQ50" s="83"/>
      <c r="AR50" s="80"/>
      <c r="AS50" s="80"/>
      <c r="AT50" s="80"/>
      <c r="AU50" s="80"/>
      <c r="AV50" s="80"/>
      <c r="AW50" s="80"/>
      <c r="AX50" s="80"/>
      <c r="AY50" s="80"/>
      <c r="AZ50" s="80"/>
    </row>
    <row r="51" spans="1:53" s="80" customFormat="1" ht="26.1" customHeight="1" x14ac:dyDescent="0.4">
      <c r="A51" s="105"/>
      <c r="B51" s="87"/>
      <c r="C51" s="87"/>
      <c r="D51" s="87"/>
      <c r="E51" s="84"/>
      <c r="F51" s="87"/>
      <c r="G51" s="97"/>
      <c r="H51" s="87"/>
      <c r="I51" s="97"/>
      <c r="J51" s="87"/>
      <c r="K51" s="97"/>
      <c r="L51" s="84"/>
      <c r="M51" s="84"/>
      <c r="N51" s="87"/>
      <c r="O51" s="97"/>
      <c r="P51" s="87"/>
      <c r="Q51" s="84"/>
      <c r="R51" s="99"/>
      <c r="S51" s="96"/>
      <c r="T51" s="87"/>
      <c r="U51" s="84"/>
      <c r="V51" s="84"/>
      <c r="W51" s="106"/>
      <c r="X51" s="87"/>
      <c r="Y51" s="77"/>
      <c r="Z51" s="77"/>
      <c r="AA51" s="77"/>
      <c r="AB51" s="77"/>
      <c r="AD51" s="94"/>
      <c r="AE51" s="82"/>
      <c r="AF51" s="82"/>
      <c r="AG51" s="82"/>
      <c r="AH51" s="82"/>
      <c r="AI51" s="82"/>
      <c r="AJ51" s="82"/>
      <c r="AK51" s="82"/>
      <c r="AL51" s="82"/>
      <c r="AM51" s="82"/>
      <c r="AN51" s="81"/>
      <c r="AO51" s="82"/>
      <c r="AP51" s="83"/>
      <c r="AQ51" s="83"/>
    </row>
    <row r="52" spans="1:53" s="80" customFormat="1" ht="26.1" customHeight="1" thickBot="1" x14ac:dyDescent="0.45">
      <c r="A52" s="105" t="s">
        <v>16</v>
      </c>
      <c r="B52" s="84"/>
      <c r="C52" s="107"/>
      <c r="D52" s="84"/>
      <c r="E52" s="84"/>
      <c r="F52" s="84"/>
      <c r="G52" s="108">
        <f>AVERAGEA(G40:G50)</f>
        <v>2.4989999999999997</v>
      </c>
      <c r="H52" s="109"/>
      <c r="I52" s="108">
        <f>AVERAGEA(I40:I50)</f>
        <v>2.6000000000000005</v>
      </c>
      <c r="J52" s="110"/>
      <c r="K52" s="108">
        <f>AVERAGEA(K40:K50)</f>
        <v>36.142857142857146</v>
      </c>
      <c r="L52" s="84"/>
      <c r="M52" s="84"/>
      <c r="N52" s="109"/>
      <c r="O52" s="84"/>
      <c r="P52" s="109"/>
      <c r="Q52" s="84"/>
      <c r="R52" s="99"/>
      <c r="S52" s="108">
        <f>AVERAGEA(S40:S50)</f>
        <v>0.48399999999999999</v>
      </c>
      <c r="T52" s="111"/>
      <c r="U52" s="108">
        <f>AVERAGEA(U40:U50)</f>
        <v>0.59199999999999997</v>
      </c>
      <c r="V52" s="84"/>
      <c r="W52" s="112">
        <f>AVERAGEA(W40:W50)</f>
        <v>18</v>
      </c>
      <c r="X52" s="113"/>
      <c r="Y52" s="77"/>
      <c r="Z52" s="77"/>
      <c r="AA52" s="77"/>
      <c r="AB52" s="77"/>
      <c r="AD52" s="94"/>
      <c r="AE52" s="82"/>
      <c r="AF52" s="82"/>
      <c r="AG52" s="82"/>
      <c r="AH52" s="82"/>
      <c r="AI52" s="82"/>
      <c r="AJ52" s="82"/>
      <c r="AK52" s="82"/>
      <c r="AL52" s="82"/>
      <c r="AM52" s="82"/>
      <c r="AN52" s="81"/>
      <c r="AO52" s="82"/>
      <c r="AP52" s="83"/>
      <c r="AQ52" s="83"/>
    </row>
    <row r="53" spans="1:53" s="80" customFormat="1" ht="23.4" thickTop="1" x14ac:dyDescent="0.4">
      <c r="A53" s="105"/>
      <c r="B53" s="84"/>
      <c r="C53" s="107"/>
      <c r="D53" s="84"/>
      <c r="E53" s="84"/>
      <c r="F53" s="84"/>
      <c r="G53" s="109"/>
      <c r="H53" s="109"/>
      <c r="I53" s="113"/>
      <c r="J53" s="110"/>
      <c r="K53" s="84"/>
      <c r="L53" s="84"/>
      <c r="M53" s="114"/>
      <c r="N53" s="109"/>
      <c r="O53" s="110"/>
      <c r="P53" s="109"/>
      <c r="Q53" s="111"/>
      <c r="R53" s="99"/>
      <c r="S53" s="84"/>
      <c r="T53" s="111"/>
      <c r="U53" s="84"/>
      <c r="V53" s="113"/>
      <c r="W53" s="115"/>
      <c r="X53" s="77"/>
      <c r="Y53" s="77"/>
      <c r="Z53" s="77"/>
      <c r="AA53" s="77"/>
      <c r="AB53" s="77"/>
      <c r="AD53" s="94"/>
      <c r="AE53" s="82"/>
      <c r="AF53" s="82"/>
      <c r="AG53" s="82"/>
      <c r="AH53" s="82"/>
      <c r="AI53" s="82"/>
      <c r="AJ53" s="82"/>
      <c r="AK53" s="82"/>
      <c r="AL53" s="82"/>
      <c r="AM53" s="82"/>
      <c r="AN53" s="81"/>
      <c r="AO53" s="82"/>
      <c r="AP53" s="83"/>
      <c r="AQ53" s="83"/>
    </row>
    <row r="54" spans="1:53" s="80" customFormat="1" ht="22.8" x14ac:dyDescent="0.4">
      <c r="A54" s="116" t="s">
        <v>64</v>
      </c>
      <c r="B54" s="84"/>
      <c r="C54" s="107"/>
      <c r="D54" s="84"/>
      <c r="E54" s="84"/>
      <c r="F54" s="84"/>
      <c r="G54" s="109"/>
      <c r="H54" s="109"/>
      <c r="I54" s="110"/>
      <c r="J54" s="110"/>
      <c r="K54" s="84"/>
      <c r="L54" s="84"/>
      <c r="M54" s="114"/>
      <c r="N54" s="109"/>
      <c r="O54" s="110"/>
      <c r="P54" s="109"/>
      <c r="Q54" s="111"/>
      <c r="R54" s="99"/>
      <c r="S54" s="84"/>
      <c r="T54" s="111"/>
      <c r="U54" s="84"/>
      <c r="V54" s="111"/>
      <c r="W54" s="115"/>
      <c r="X54" s="77"/>
      <c r="Y54" s="77"/>
      <c r="Z54" s="77"/>
      <c r="AA54" s="77"/>
      <c r="AB54" s="77"/>
      <c r="AD54" s="85"/>
      <c r="AE54" s="117"/>
      <c r="AF54" s="117"/>
      <c r="AG54" s="117"/>
      <c r="AH54" s="117"/>
      <c r="AI54" s="117"/>
      <c r="AJ54" s="117"/>
      <c r="AK54" s="117"/>
      <c r="AL54" s="117"/>
      <c r="AM54" s="117"/>
      <c r="AN54" s="85"/>
      <c r="AO54" s="85"/>
      <c r="AP54" s="118"/>
      <c r="AQ54" s="85"/>
    </row>
    <row r="55" spans="1:53" s="80" customFormat="1" ht="22.8" x14ac:dyDescent="0.4">
      <c r="A55" s="116" t="s">
        <v>65</v>
      </c>
      <c r="B55" s="84"/>
      <c r="C55" s="107"/>
      <c r="D55" s="84"/>
      <c r="E55" s="84"/>
      <c r="F55" s="84"/>
      <c r="G55" s="109"/>
      <c r="H55" s="109"/>
      <c r="I55" s="110"/>
      <c r="J55" s="110"/>
      <c r="K55" s="84"/>
      <c r="L55" s="84"/>
      <c r="M55" s="114"/>
      <c r="N55" s="109"/>
      <c r="O55" s="110"/>
      <c r="P55" s="109"/>
      <c r="Q55" s="111"/>
      <c r="R55" s="99"/>
      <c r="S55" s="84"/>
      <c r="T55" s="111"/>
      <c r="U55" s="84"/>
      <c r="V55" s="111"/>
      <c r="W55" s="115"/>
      <c r="X55" s="77"/>
      <c r="Y55" s="77"/>
      <c r="Z55" s="77"/>
      <c r="AA55" s="77"/>
      <c r="AB55" s="77"/>
      <c r="AD55" s="85"/>
      <c r="AE55" s="117"/>
      <c r="AF55" s="117"/>
      <c r="AG55" s="117"/>
      <c r="AH55" s="117"/>
      <c r="AI55" s="117"/>
      <c r="AJ55" s="117"/>
      <c r="AK55" s="117"/>
      <c r="AL55" s="117"/>
      <c r="AM55" s="117"/>
      <c r="AN55" s="85"/>
      <c r="AO55" s="85"/>
      <c r="AP55" s="118"/>
      <c r="AQ55" s="85"/>
    </row>
    <row r="56" spans="1:53" s="80" customFormat="1" ht="22.8" x14ac:dyDescent="0.4">
      <c r="A56" s="308"/>
      <c r="B56" s="119"/>
      <c r="C56" s="120"/>
      <c r="D56" s="119"/>
      <c r="E56" s="119"/>
      <c r="F56" s="119"/>
      <c r="G56" s="121"/>
      <c r="H56" s="121"/>
      <c r="I56" s="122"/>
      <c r="J56" s="122"/>
      <c r="K56" s="119"/>
      <c r="L56" s="119"/>
      <c r="M56" s="123"/>
      <c r="N56" s="121"/>
      <c r="O56" s="122"/>
      <c r="P56" s="121"/>
      <c r="Q56" s="124"/>
      <c r="R56" s="125"/>
      <c r="S56" s="119"/>
      <c r="T56" s="124"/>
      <c r="U56" s="119"/>
      <c r="V56" s="124"/>
      <c r="W56" s="126"/>
      <c r="X56" s="77"/>
      <c r="Y56" s="77"/>
      <c r="Z56" s="77"/>
      <c r="AA56" s="77"/>
      <c r="AB56" s="77"/>
      <c r="AD56" s="85"/>
      <c r="AE56" s="117"/>
      <c r="AF56" s="117"/>
      <c r="AG56" s="117"/>
      <c r="AH56" s="117"/>
      <c r="AI56" s="117"/>
      <c r="AJ56" s="117"/>
      <c r="AK56" s="117"/>
      <c r="AL56" s="117"/>
      <c r="AM56" s="117"/>
      <c r="AN56" s="85"/>
      <c r="AO56" s="85"/>
      <c r="AP56" s="118"/>
      <c r="AQ56" s="85"/>
    </row>
    <row r="57" spans="1:53" s="5" customFormat="1" ht="22.8" x14ac:dyDescent="0.4">
      <c r="C57" s="15"/>
      <c r="G57" s="23"/>
      <c r="H57" s="13"/>
      <c r="I57" s="24"/>
      <c r="J57" s="24"/>
      <c r="K57" s="25"/>
      <c r="L57" s="13"/>
      <c r="M57" s="24"/>
      <c r="N57" s="13"/>
      <c r="O57" s="26"/>
      <c r="P57" s="26"/>
      <c r="Q57" s="26"/>
      <c r="R57" s="26"/>
      <c r="S57" s="26"/>
      <c r="T57" s="13"/>
      <c r="V57" s="14"/>
      <c r="W57" s="14"/>
      <c r="X57" s="14"/>
      <c r="Y57" s="14"/>
      <c r="Z57" s="14"/>
      <c r="AA57" s="14"/>
      <c r="AB57" s="14"/>
      <c r="AD57" s="7"/>
      <c r="AE57" s="9"/>
      <c r="AF57" s="237"/>
      <c r="AG57" s="9"/>
      <c r="AH57" s="9"/>
      <c r="AI57" s="9"/>
      <c r="AJ57" s="9"/>
      <c r="AK57" s="9"/>
      <c r="AL57" s="9"/>
      <c r="AM57" s="9"/>
      <c r="AN57" s="7"/>
      <c r="AO57" s="7"/>
      <c r="AP57" s="13"/>
      <c r="AQ57" s="7"/>
    </row>
    <row r="58" spans="1:53" s="5" customFormat="1" ht="22.8" x14ac:dyDescent="0.4">
      <c r="C58" s="15"/>
      <c r="E58" s="7"/>
      <c r="G58" s="23"/>
      <c r="H58" s="13"/>
      <c r="I58" s="24"/>
      <c r="J58" s="24"/>
      <c r="K58" s="25"/>
      <c r="L58" s="13"/>
      <c r="M58" s="24"/>
      <c r="N58" s="13"/>
      <c r="O58" s="26"/>
      <c r="P58" s="26"/>
      <c r="Q58" s="26"/>
      <c r="R58" s="26"/>
      <c r="S58" s="26"/>
      <c r="T58" s="13"/>
      <c r="V58" s="14"/>
      <c r="W58" s="14"/>
      <c r="X58" s="14"/>
      <c r="Y58" s="14"/>
      <c r="Z58" s="14"/>
      <c r="AA58" s="14"/>
      <c r="AB58" s="14"/>
      <c r="AD58" s="7"/>
      <c r="AE58" s="9"/>
      <c r="AF58" s="237"/>
      <c r="AG58" s="9"/>
      <c r="AH58" s="9"/>
      <c r="AI58" s="9"/>
      <c r="AJ58" s="9"/>
      <c r="AK58" s="9"/>
      <c r="AL58" s="9"/>
      <c r="AM58" s="9"/>
      <c r="AN58" s="7"/>
      <c r="AO58" s="7"/>
      <c r="AP58" s="13"/>
      <c r="AQ58" s="7"/>
    </row>
    <row r="59" spans="1:53" s="5" customFormat="1" ht="22.8" x14ac:dyDescent="0.4">
      <c r="C59" s="15"/>
      <c r="E59" s="7"/>
      <c r="G59" s="23"/>
      <c r="I59" s="24"/>
      <c r="J59" s="24"/>
      <c r="K59" s="41"/>
      <c r="M59" s="24"/>
      <c r="O59" s="27"/>
      <c r="P59" s="27"/>
      <c r="Q59" s="27"/>
      <c r="R59" s="27"/>
      <c r="S59" s="27"/>
      <c r="V59" s="19"/>
      <c r="W59" s="19"/>
      <c r="X59" s="19"/>
      <c r="Y59" s="19"/>
      <c r="Z59" s="19"/>
      <c r="AA59" s="19"/>
      <c r="AB59" s="19"/>
      <c r="AD59" s="7"/>
      <c r="AE59" s="9"/>
      <c r="AF59" s="237"/>
      <c r="AG59" s="9"/>
      <c r="AH59" s="9"/>
      <c r="AI59" s="9"/>
      <c r="AJ59" s="9"/>
      <c r="AK59" s="9"/>
      <c r="AL59" s="9"/>
      <c r="AM59" s="9"/>
      <c r="AN59" s="7"/>
      <c r="AO59" s="7"/>
      <c r="AP59" s="13"/>
      <c r="AQ59" s="7"/>
    </row>
    <row r="60" spans="1:53" s="5" customFormat="1" ht="22.8" x14ac:dyDescent="0.4">
      <c r="C60" s="15"/>
      <c r="E60" s="7"/>
      <c r="G60" s="23"/>
      <c r="I60" s="24"/>
      <c r="J60" s="24"/>
      <c r="K60" s="41"/>
      <c r="M60" s="24"/>
      <c r="O60" s="38"/>
      <c r="P60" s="38"/>
      <c r="Q60" s="38"/>
      <c r="R60" s="38"/>
      <c r="S60" s="38"/>
      <c r="V60" s="19"/>
      <c r="W60" s="19"/>
      <c r="X60" s="19"/>
      <c r="Y60" s="19"/>
      <c r="Z60" s="19"/>
      <c r="AA60" s="19"/>
      <c r="AB60" s="19"/>
      <c r="AD60" s="7"/>
      <c r="AE60" s="9"/>
      <c r="AF60" s="237"/>
      <c r="AG60" s="9"/>
      <c r="AH60" s="9"/>
      <c r="AI60" s="9"/>
      <c r="AJ60" s="9"/>
      <c r="AK60" s="9"/>
      <c r="AL60" s="9"/>
      <c r="AM60" s="9"/>
      <c r="AN60" s="7"/>
      <c r="AO60" s="7"/>
      <c r="AP60" s="13"/>
      <c r="AQ60" s="7"/>
    </row>
    <row r="61" spans="1:53" ht="22.8" x14ac:dyDescent="0.4">
      <c r="O61" s="43"/>
      <c r="P61" s="44"/>
      <c r="Q61" s="43"/>
      <c r="R61" s="44"/>
      <c r="S61" s="43"/>
      <c r="V61" s="21"/>
      <c r="W61" s="21"/>
      <c r="X61" s="21"/>
      <c r="Y61" s="21"/>
      <c r="Z61" s="21"/>
      <c r="AA61" s="21"/>
      <c r="AB61" s="21"/>
      <c r="AE61" s="12"/>
      <c r="AF61" s="237"/>
      <c r="AG61" s="12"/>
      <c r="AH61" s="12"/>
      <c r="AI61" s="12"/>
      <c r="AJ61" s="12"/>
      <c r="AK61" s="12"/>
      <c r="AL61" s="12"/>
      <c r="AM61" s="12"/>
      <c r="AP61" s="8"/>
      <c r="AR61" s="5"/>
      <c r="AS61" s="5"/>
      <c r="AT61" s="5"/>
      <c r="AV61" s="5"/>
      <c r="AW61" s="5"/>
      <c r="AX61" s="5"/>
      <c r="BA61" s="17"/>
    </row>
    <row r="62" spans="1:53" ht="22.8" x14ac:dyDescent="0.4">
      <c r="O62" s="43"/>
      <c r="P62" s="44"/>
      <c r="Q62" s="43"/>
      <c r="R62" s="44"/>
      <c r="S62" s="43"/>
      <c r="V62" s="21"/>
      <c r="W62" s="21"/>
      <c r="X62" s="21"/>
      <c r="Y62" s="21"/>
      <c r="Z62" s="21"/>
      <c r="AA62" s="21"/>
      <c r="AB62" s="21"/>
      <c r="AE62" s="12"/>
      <c r="AF62" s="237"/>
      <c r="AG62" s="12"/>
      <c r="AH62" s="12"/>
      <c r="AI62" s="12"/>
      <c r="AJ62" s="12"/>
      <c r="AK62" s="12"/>
      <c r="AL62" s="12"/>
      <c r="AM62" s="12"/>
      <c r="AP62" s="8"/>
      <c r="AR62" s="5"/>
      <c r="AS62" s="5"/>
      <c r="AT62" s="5"/>
      <c r="AV62" s="5"/>
      <c r="AW62" s="5"/>
      <c r="AX62" s="5"/>
      <c r="BA62" s="17"/>
    </row>
    <row r="63" spans="1:53" ht="22.8" x14ac:dyDescent="0.4">
      <c r="O63" s="43"/>
      <c r="P63" s="44"/>
      <c r="Q63" s="43"/>
      <c r="R63" s="44"/>
      <c r="S63" s="43"/>
      <c r="V63" s="21"/>
      <c r="W63" s="21"/>
      <c r="X63" s="21"/>
      <c r="Y63" s="21"/>
      <c r="Z63" s="21"/>
      <c r="AA63" s="21"/>
      <c r="AB63" s="21"/>
      <c r="AE63" s="45"/>
      <c r="AF63" s="237"/>
      <c r="AG63" s="45"/>
      <c r="AH63" s="45"/>
      <c r="AI63" s="45"/>
      <c r="AJ63" s="45"/>
      <c r="AK63" s="45"/>
      <c r="AL63" s="45"/>
      <c r="AM63" s="45"/>
      <c r="AP63" s="6"/>
      <c r="AR63" s="5"/>
      <c r="AS63" s="5"/>
      <c r="AT63" s="5"/>
      <c r="AV63" s="5"/>
      <c r="AW63" s="5"/>
      <c r="AX63" s="5"/>
      <c r="BA63" s="17"/>
    </row>
    <row r="64" spans="1:53" ht="22.8" x14ac:dyDescent="0.4">
      <c r="O64" s="43"/>
      <c r="P64" s="44"/>
      <c r="Q64" s="43"/>
      <c r="R64" s="44"/>
      <c r="S64" s="43"/>
      <c r="V64" s="21"/>
      <c r="W64" s="21"/>
      <c r="X64" s="21"/>
      <c r="Y64" s="21"/>
      <c r="Z64" s="21"/>
      <c r="AA64" s="21"/>
      <c r="AB64" s="21"/>
      <c r="AE64" s="45"/>
      <c r="AF64" s="237"/>
      <c r="AG64" s="45"/>
      <c r="AH64" s="45"/>
      <c r="AI64" s="45"/>
      <c r="AJ64" s="45"/>
      <c r="AK64" s="45"/>
      <c r="AL64" s="45"/>
      <c r="AM64" s="45"/>
      <c r="AP64" s="6"/>
      <c r="AR64" s="5"/>
      <c r="AS64" s="5"/>
      <c r="AT64" s="5"/>
      <c r="AV64" s="5"/>
      <c r="AW64" s="5"/>
      <c r="AX64" s="5"/>
      <c r="BA64" s="17"/>
    </row>
    <row r="65" spans="15:53" ht="22.8" x14ac:dyDescent="0.4">
      <c r="O65" s="43"/>
      <c r="P65" s="44"/>
      <c r="Q65" s="43"/>
      <c r="R65" s="44"/>
      <c r="S65" s="43"/>
      <c r="V65" s="21"/>
      <c r="W65" s="21"/>
      <c r="X65" s="21"/>
      <c r="Y65" s="21"/>
      <c r="Z65" s="21"/>
      <c r="AA65" s="21"/>
      <c r="AB65" s="21"/>
      <c r="AE65" s="45"/>
      <c r="AF65" s="237"/>
      <c r="AG65" s="45"/>
      <c r="AH65" s="45"/>
      <c r="AI65" s="45"/>
      <c r="AJ65" s="45"/>
      <c r="AK65" s="45"/>
      <c r="AL65" s="45"/>
      <c r="AM65" s="45"/>
      <c r="AP65" s="6"/>
      <c r="AR65" s="5"/>
      <c r="AS65" s="5"/>
      <c r="AT65" s="5"/>
      <c r="AV65" s="5"/>
      <c r="AW65" s="5"/>
      <c r="AX65" s="5"/>
      <c r="BA65" s="17"/>
    </row>
    <row r="66" spans="15:53" ht="22.8" x14ac:dyDescent="0.4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45"/>
      <c r="AF66" s="237"/>
      <c r="AG66" s="45"/>
      <c r="AH66" s="45"/>
      <c r="AI66" s="45"/>
      <c r="AJ66" s="45"/>
      <c r="AK66" s="45"/>
      <c r="AL66" s="45"/>
      <c r="AM66" s="45"/>
      <c r="AP66" s="6"/>
      <c r="AR66" s="5"/>
      <c r="AS66" s="5"/>
      <c r="AT66" s="5"/>
      <c r="AV66" s="5"/>
      <c r="AW66" s="5"/>
      <c r="AX66" s="5"/>
      <c r="BA66" s="17"/>
    </row>
    <row r="67" spans="15:53" ht="22.8" x14ac:dyDescent="0.4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45"/>
      <c r="AF67" s="237"/>
      <c r="AG67" s="45"/>
      <c r="AH67" s="45"/>
      <c r="AI67" s="45"/>
      <c r="AJ67" s="45"/>
      <c r="AK67" s="45"/>
      <c r="AL67" s="45"/>
      <c r="AM67" s="45"/>
      <c r="AP67" s="6"/>
      <c r="AR67" s="5"/>
      <c r="AS67" s="5"/>
      <c r="AT67" s="5"/>
      <c r="AV67" s="5"/>
      <c r="AW67" s="5"/>
      <c r="AX67" s="5"/>
      <c r="BA67" s="17"/>
    </row>
    <row r="68" spans="15:53" ht="22.8" x14ac:dyDescent="0.4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7"/>
      <c r="AG68" s="45"/>
      <c r="AH68" s="45"/>
      <c r="AI68" s="45"/>
      <c r="AJ68" s="45"/>
      <c r="AK68" s="45"/>
      <c r="AL68" s="45"/>
      <c r="AM68" s="45"/>
      <c r="AP68" s="6"/>
      <c r="AR68" s="5"/>
      <c r="AS68" s="5"/>
      <c r="AT68" s="5"/>
      <c r="AV68" s="5"/>
      <c r="AW68" s="5"/>
      <c r="AX68" s="5"/>
      <c r="BA68" s="17"/>
    </row>
    <row r="69" spans="15:53" x14ac:dyDescent="0.3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45"/>
      <c r="AG69" s="45"/>
      <c r="AH69" s="45"/>
      <c r="AI69" s="45"/>
      <c r="AJ69" s="45"/>
      <c r="AK69" s="45"/>
      <c r="AL69" s="45"/>
      <c r="AM69" s="45"/>
      <c r="AP69" s="6"/>
      <c r="AR69" s="5"/>
      <c r="AS69" s="5"/>
      <c r="AT69" s="5"/>
      <c r="AV69" s="5"/>
      <c r="AW69" s="5"/>
      <c r="AX69" s="5"/>
      <c r="BA69" s="17"/>
    </row>
    <row r="70" spans="15:53" x14ac:dyDescent="0.3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45"/>
      <c r="AG70" s="45"/>
      <c r="AH70" s="45"/>
      <c r="AI70" s="45"/>
      <c r="AJ70" s="45"/>
      <c r="AK70" s="45"/>
      <c r="AL70" s="45"/>
      <c r="AM70" s="45"/>
      <c r="AP70" s="6"/>
      <c r="AR70" s="5"/>
      <c r="AS70" s="5"/>
      <c r="AT70" s="5"/>
      <c r="AV70" s="5"/>
      <c r="AW70" s="5"/>
      <c r="AX70" s="5"/>
      <c r="BA70" s="17"/>
    </row>
    <row r="71" spans="15:53" x14ac:dyDescent="0.3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45"/>
      <c r="AG71" s="45"/>
      <c r="AH71" s="45"/>
      <c r="AI71" s="45"/>
      <c r="AJ71" s="45"/>
      <c r="AK71" s="45"/>
      <c r="AL71" s="45"/>
      <c r="AM71" s="45"/>
      <c r="AP71" s="6"/>
      <c r="AR71" s="5"/>
      <c r="AS71" s="5"/>
      <c r="AT71" s="5"/>
      <c r="AV71" s="5"/>
      <c r="AW71" s="5"/>
      <c r="AX71" s="5"/>
      <c r="BA71" s="17"/>
    </row>
    <row r="72" spans="15:53" x14ac:dyDescent="0.3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P72" s="6"/>
      <c r="AR72" s="5"/>
      <c r="AS72" s="5"/>
      <c r="AT72" s="5"/>
      <c r="AV72" s="5"/>
      <c r="AW72" s="5"/>
      <c r="AX72" s="5"/>
      <c r="BA72" s="17"/>
    </row>
    <row r="73" spans="15:53" x14ac:dyDescent="0.3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P73" s="6"/>
      <c r="AR73" s="5"/>
      <c r="AS73" s="5"/>
      <c r="AT73" s="5"/>
      <c r="AV73" s="5"/>
      <c r="AW73" s="5"/>
      <c r="AX73" s="5"/>
      <c r="BA73" s="17"/>
    </row>
    <row r="74" spans="15:53" x14ac:dyDescent="0.3"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P74" s="6"/>
      <c r="AR74" s="5"/>
      <c r="AS74" s="5"/>
      <c r="AT74" s="5"/>
      <c r="AV74" s="5"/>
      <c r="AW74" s="5"/>
      <c r="AX74" s="5"/>
    </row>
    <row r="75" spans="15:53" x14ac:dyDescent="0.3"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P75" s="6"/>
      <c r="AR75" s="5"/>
      <c r="AS75" s="5"/>
      <c r="AT75" s="5"/>
      <c r="AV75" s="5"/>
      <c r="AW75" s="5"/>
      <c r="AX75" s="5"/>
    </row>
    <row r="76" spans="15:53" x14ac:dyDescent="0.3"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P76" s="6"/>
      <c r="AR76" s="5"/>
      <c r="AS76" s="5"/>
      <c r="AT76" s="5"/>
      <c r="AV76" s="5"/>
      <c r="AW76" s="5"/>
      <c r="AX76" s="5"/>
    </row>
    <row r="77" spans="15:53" x14ac:dyDescent="0.3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P77" s="6"/>
      <c r="AR77" s="5"/>
      <c r="AS77" s="5"/>
      <c r="AT77" s="5"/>
      <c r="AV77" s="5"/>
      <c r="AW77" s="5"/>
      <c r="AX77" s="5"/>
    </row>
    <row r="78" spans="15:53" x14ac:dyDescent="0.3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P78" s="6"/>
    </row>
    <row r="79" spans="15:53" x14ac:dyDescent="0.3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P79" s="6"/>
    </row>
    <row r="80" spans="15:53" x14ac:dyDescent="0.3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P80" s="6"/>
    </row>
    <row r="81" spans="22:42" x14ac:dyDescent="0.3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P81" s="6"/>
    </row>
    <row r="82" spans="22:42" x14ac:dyDescent="0.3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P82" s="6"/>
    </row>
    <row r="83" spans="22:42" x14ac:dyDescent="0.3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P83" s="6"/>
    </row>
    <row r="84" spans="22:42" x14ac:dyDescent="0.3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P84" s="6"/>
    </row>
    <row r="85" spans="22:42" x14ac:dyDescent="0.3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P85" s="6"/>
    </row>
    <row r="86" spans="22:42" x14ac:dyDescent="0.3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P86" s="6"/>
    </row>
    <row r="87" spans="22:42" x14ac:dyDescent="0.3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P87" s="6"/>
    </row>
    <row r="88" spans="22:42" x14ac:dyDescent="0.3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P88" s="6"/>
    </row>
    <row r="89" spans="22:42" x14ac:dyDescent="0.3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P89" s="6"/>
    </row>
    <row r="90" spans="22:42" x14ac:dyDescent="0.3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P90" s="6"/>
    </row>
    <row r="91" spans="22:42" x14ac:dyDescent="0.3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P91" s="6"/>
    </row>
    <row r="92" spans="22:42" x14ac:dyDescent="0.3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P92" s="6"/>
    </row>
    <row r="93" spans="22:42" x14ac:dyDescent="0.3">
      <c r="AE93" s="45"/>
      <c r="AF93" s="45"/>
      <c r="AG93" s="45"/>
      <c r="AH93" s="45"/>
      <c r="AI93" s="45"/>
      <c r="AJ93" s="45"/>
      <c r="AK93" s="45"/>
      <c r="AL93" s="45"/>
      <c r="AM93" s="45"/>
      <c r="AP93" s="6"/>
    </row>
    <row r="94" spans="22:42" x14ac:dyDescent="0.3">
      <c r="AE94" s="45"/>
      <c r="AF94" s="45"/>
      <c r="AG94" s="45"/>
      <c r="AH94" s="45"/>
      <c r="AI94" s="45"/>
      <c r="AJ94" s="45"/>
      <c r="AK94" s="45"/>
      <c r="AL94" s="45"/>
      <c r="AM94" s="45"/>
      <c r="AP94" s="6"/>
    </row>
    <row r="95" spans="22:42" x14ac:dyDescent="0.3">
      <c r="AE95" s="45"/>
      <c r="AF95" s="45"/>
      <c r="AG95" s="45"/>
      <c r="AH95" s="45"/>
      <c r="AI95" s="45"/>
      <c r="AJ95" s="45"/>
      <c r="AK95" s="45"/>
      <c r="AL95" s="45"/>
      <c r="AM95" s="45"/>
      <c r="AP95" s="6"/>
    </row>
    <row r="96" spans="22:42" x14ac:dyDescent="0.3">
      <c r="AE96" s="45"/>
      <c r="AF96" s="45"/>
      <c r="AG96" s="45"/>
      <c r="AH96" s="45"/>
      <c r="AI96" s="45"/>
      <c r="AJ96" s="45"/>
      <c r="AK96" s="45"/>
      <c r="AL96" s="45"/>
      <c r="AM96" s="45"/>
      <c r="AP96" s="6"/>
    </row>
    <row r="97" spans="31:42" x14ac:dyDescent="0.3">
      <c r="AE97" s="45"/>
      <c r="AF97" s="45"/>
      <c r="AG97" s="45"/>
      <c r="AH97" s="45"/>
      <c r="AI97" s="45"/>
      <c r="AJ97" s="45"/>
      <c r="AK97" s="45"/>
      <c r="AL97" s="45"/>
      <c r="AM97" s="45"/>
      <c r="AP97" s="6"/>
    </row>
    <row r="98" spans="31:42" x14ac:dyDescent="0.3">
      <c r="AE98" s="45"/>
      <c r="AF98" s="45"/>
      <c r="AG98" s="45"/>
      <c r="AH98" s="45"/>
      <c r="AI98" s="45"/>
      <c r="AJ98" s="45"/>
      <c r="AK98" s="45"/>
      <c r="AL98" s="45"/>
      <c r="AM98" s="45"/>
      <c r="AP98" s="6"/>
    </row>
    <row r="99" spans="31:42" x14ac:dyDescent="0.3">
      <c r="AE99" s="45"/>
      <c r="AF99" s="45"/>
      <c r="AG99" s="45"/>
      <c r="AH99" s="45"/>
      <c r="AI99" s="45"/>
      <c r="AJ99" s="45"/>
      <c r="AK99" s="45"/>
      <c r="AL99" s="45"/>
      <c r="AM99" s="45"/>
      <c r="AP99" s="6"/>
    </row>
    <row r="100" spans="31:42" x14ac:dyDescent="0.3">
      <c r="AE100" s="45"/>
      <c r="AF100" s="45"/>
      <c r="AG100" s="45"/>
      <c r="AH100" s="45"/>
      <c r="AI100" s="45"/>
      <c r="AJ100" s="45"/>
      <c r="AK100" s="45"/>
      <c r="AL100" s="45"/>
      <c r="AM100" s="45"/>
      <c r="AP100" s="6"/>
    </row>
    <row r="101" spans="31:42" x14ac:dyDescent="0.3">
      <c r="AE101" s="45"/>
      <c r="AF101" s="45"/>
      <c r="AG101" s="45"/>
      <c r="AH101" s="45"/>
      <c r="AI101" s="45"/>
      <c r="AJ101" s="45"/>
      <c r="AK101" s="45"/>
      <c r="AL101" s="45"/>
      <c r="AM101" s="45"/>
      <c r="AP101" s="6"/>
    </row>
    <row r="102" spans="31:42" x14ac:dyDescent="0.3">
      <c r="AE102" s="45"/>
      <c r="AF102" s="45"/>
      <c r="AG102" s="45"/>
      <c r="AH102" s="45"/>
      <c r="AI102" s="45"/>
      <c r="AJ102" s="45"/>
      <c r="AK102" s="45"/>
      <c r="AL102" s="45"/>
      <c r="AM102" s="45"/>
      <c r="AP102" s="6"/>
    </row>
    <row r="103" spans="31:42" x14ac:dyDescent="0.3">
      <c r="AE103" s="45"/>
      <c r="AF103" s="45"/>
      <c r="AG103" s="45"/>
      <c r="AH103" s="45"/>
      <c r="AI103" s="45"/>
      <c r="AJ103" s="45"/>
      <c r="AK103" s="45"/>
      <c r="AL103" s="45"/>
      <c r="AM103" s="45"/>
      <c r="AP103" s="6"/>
    </row>
    <row r="104" spans="31:42" x14ac:dyDescent="0.3">
      <c r="AE104" s="45"/>
      <c r="AF104" s="45"/>
      <c r="AG104" s="45"/>
      <c r="AH104" s="45"/>
      <c r="AI104" s="45"/>
      <c r="AJ104" s="45"/>
      <c r="AK104" s="45"/>
      <c r="AL104" s="45"/>
      <c r="AM104" s="45"/>
      <c r="AP104" s="6"/>
    </row>
    <row r="105" spans="31:42" x14ac:dyDescent="0.3">
      <c r="AE105" s="45"/>
      <c r="AF105" s="45"/>
      <c r="AG105" s="45"/>
      <c r="AH105" s="45"/>
      <c r="AI105" s="45"/>
      <c r="AJ105" s="45"/>
      <c r="AK105" s="45"/>
      <c r="AL105" s="45"/>
      <c r="AM105" s="45"/>
      <c r="AP105" s="6"/>
    </row>
    <row r="106" spans="31:42" x14ac:dyDescent="0.3">
      <c r="AE106" s="45"/>
      <c r="AF106" s="45"/>
      <c r="AG106" s="45"/>
      <c r="AH106" s="45"/>
      <c r="AI106" s="45"/>
      <c r="AJ106" s="45"/>
      <c r="AK106" s="45"/>
      <c r="AL106" s="45"/>
      <c r="AM106" s="45"/>
      <c r="AP106" s="6"/>
    </row>
    <row r="107" spans="31:42" x14ac:dyDescent="0.3">
      <c r="AE107" s="45"/>
      <c r="AF107" s="45"/>
      <c r="AG107" s="45"/>
      <c r="AH107" s="45"/>
      <c r="AI107" s="45"/>
      <c r="AJ107" s="45"/>
      <c r="AK107" s="45"/>
      <c r="AL107" s="45"/>
      <c r="AM107" s="45"/>
      <c r="AP107" s="6"/>
    </row>
    <row r="108" spans="31:42" x14ac:dyDescent="0.3">
      <c r="AE108" s="45"/>
      <c r="AF108" s="45"/>
      <c r="AG108" s="45"/>
      <c r="AH108" s="45"/>
      <c r="AI108" s="45"/>
      <c r="AJ108" s="45"/>
      <c r="AK108" s="45"/>
      <c r="AL108" s="45"/>
      <c r="AM108" s="45"/>
      <c r="AP108" s="6"/>
    </row>
    <row r="109" spans="31:42" x14ac:dyDescent="0.3">
      <c r="AE109" s="45"/>
      <c r="AF109" s="45"/>
      <c r="AG109" s="45"/>
      <c r="AH109" s="45"/>
      <c r="AI109" s="45"/>
      <c r="AJ109" s="45"/>
      <c r="AK109" s="45"/>
      <c r="AL109" s="45"/>
      <c r="AM109" s="45"/>
      <c r="AP109" s="6"/>
    </row>
    <row r="110" spans="31:42" x14ac:dyDescent="0.3">
      <c r="AE110" s="45"/>
      <c r="AF110" s="45"/>
      <c r="AG110" s="45"/>
      <c r="AH110" s="45"/>
      <c r="AI110" s="45"/>
      <c r="AJ110" s="45"/>
      <c r="AK110" s="45"/>
      <c r="AL110" s="45"/>
      <c r="AM110" s="45"/>
      <c r="AP110" s="6"/>
    </row>
    <row r="111" spans="31:42" x14ac:dyDescent="0.3">
      <c r="AE111" s="45"/>
      <c r="AF111" s="45"/>
      <c r="AG111" s="45"/>
      <c r="AH111" s="45"/>
      <c r="AI111" s="45"/>
      <c r="AJ111" s="45"/>
      <c r="AK111" s="45"/>
      <c r="AL111" s="45"/>
      <c r="AM111" s="45"/>
      <c r="AP111" s="6"/>
    </row>
    <row r="112" spans="31:42" x14ac:dyDescent="0.3">
      <c r="AE112" s="45"/>
      <c r="AF112" s="45"/>
      <c r="AG112" s="45"/>
      <c r="AH112" s="45"/>
      <c r="AI112" s="45"/>
      <c r="AJ112" s="45"/>
      <c r="AK112" s="45"/>
      <c r="AL112" s="45"/>
      <c r="AM112" s="45"/>
      <c r="AP112" s="6"/>
    </row>
    <row r="113" spans="31:42" x14ac:dyDescent="0.3">
      <c r="AE113" s="45"/>
      <c r="AF113" s="45"/>
      <c r="AG113" s="45"/>
      <c r="AH113" s="45"/>
      <c r="AI113" s="45"/>
      <c r="AJ113" s="45"/>
      <c r="AK113" s="45"/>
      <c r="AL113" s="45"/>
      <c r="AM113" s="45"/>
      <c r="AP113" s="6"/>
    </row>
    <row r="114" spans="31:42" x14ac:dyDescent="0.3">
      <c r="AE114" s="45"/>
      <c r="AF114" s="45"/>
      <c r="AG114" s="45"/>
      <c r="AH114" s="45"/>
      <c r="AI114" s="45"/>
      <c r="AJ114" s="45"/>
      <c r="AK114" s="45"/>
      <c r="AL114" s="45"/>
      <c r="AM114" s="45"/>
      <c r="AP114" s="6"/>
    </row>
    <row r="115" spans="31:42" x14ac:dyDescent="0.3">
      <c r="AE115" s="45"/>
      <c r="AF115" s="45"/>
      <c r="AG115" s="45"/>
      <c r="AH115" s="45"/>
      <c r="AI115" s="45"/>
      <c r="AJ115" s="45"/>
      <c r="AK115" s="45"/>
      <c r="AL115" s="45"/>
      <c r="AM115" s="45"/>
      <c r="AP115" s="6"/>
    </row>
    <row r="116" spans="31:42" x14ac:dyDescent="0.3">
      <c r="AE116" s="45"/>
      <c r="AF116" s="45"/>
      <c r="AG116" s="45"/>
      <c r="AH116" s="45"/>
      <c r="AI116" s="45"/>
      <c r="AJ116" s="45"/>
      <c r="AK116" s="45"/>
      <c r="AL116" s="45"/>
      <c r="AM116" s="45"/>
      <c r="AP116" s="6"/>
    </row>
    <row r="117" spans="31:42" x14ac:dyDescent="0.3">
      <c r="AE117" s="45"/>
      <c r="AF117" s="45"/>
      <c r="AG117" s="45"/>
      <c r="AH117" s="45"/>
      <c r="AI117" s="45"/>
      <c r="AJ117" s="45"/>
      <c r="AK117" s="45"/>
      <c r="AL117" s="45"/>
      <c r="AM117" s="45"/>
      <c r="AP117" s="6"/>
    </row>
    <row r="118" spans="31:42" x14ac:dyDescent="0.3">
      <c r="AE118" s="45"/>
      <c r="AF118" s="45"/>
      <c r="AG118" s="45"/>
      <c r="AH118" s="45"/>
      <c r="AI118" s="45"/>
      <c r="AJ118" s="45"/>
      <c r="AK118" s="45"/>
      <c r="AL118" s="45"/>
      <c r="AM118" s="45"/>
      <c r="AP118" s="6"/>
    </row>
    <row r="119" spans="31:42" x14ac:dyDescent="0.3">
      <c r="AE119" s="45"/>
      <c r="AF119" s="45"/>
      <c r="AG119" s="45"/>
      <c r="AH119" s="45"/>
      <c r="AI119" s="45"/>
      <c r="AJ119" s="45"/>
      <c r="AK119" s="45"/>
      <c r="AL119" s="45"/>
      <c r="AM119" s="45"/>
      <c r="AP119" s="6"/>
    </row>
    <row r="120" spans="31:42" x14ac:dyDescent="0.3">
      <c r="AE120" s="45"/>
      <c r="AF120" s="45"/>
      <c r="AG120" s="45"/>
      <c r="AH120" s="45"/>
      <c r="AI120" s="45"/>
      <c r="AJ120" s="45"/>
      <c r="AK120" s="45"/>
      <c r="AL120" s="45"/>
      <c r="AM120" s="45"/>
      <c r="AP120" s="6"/>
    </row>
    <row r="121" spans="31:42" x14ac:dyDescent="0.3">
      <c r="AE121" s="45"/>
      <c r="AF121" s="45"/>
      <c r="AG121" s="45"/>
      <c r="AH121" s="45"/>
      <c r="AI121" s="45"/>
      <c r="AJ121" s="45"/>
      <c r="AK121" s="45"/>
      <c r="AL121" s="45"/>
      <c r="AM121" s="45"/>
      <c r="AP121" s="6"/>
    </row>
    <row r="122" spans="31:42" x14ac:dyDescent="0.3">
      <c r="AE122" s="45"/>
      <c r="AF122" s="45"/>
      <c r="AG122" s="45"/>
      <c r="AH122" s="45"/>
      <c r="AI122" s="45"/>
      <c r="AJ122" s="45"/>
      <c r="AK122" s="45"/>
      <c r="AL122" s="45"/>
      <c r="AM122" s="45"/>
      <c r="AP122" s="6"/>
    </row>
    <row r="123" spans="31:42" x14ac:dyDescent="0.3">
      <c r="AE123" s="45"/>
      <c r="AF123" s="45"/>
      <c r="AG123" s="45"/>
      <c r="AH123" s="45"/>
      <c r="AI123" s="45"/>
      <c r="AJ123" s="45"/>
      <c r="AK123" s="45"/>
      <c r="AL123" s="45"/>
      <c r="AM123" s="45"/>
      <c r="AP123" s="6"/>
    </row>
    <row r="124" spans="31:42" x14ac:dyDescent="0.3">
      <c r="AE124" s="45"/>
      <c r="AF124" s="45"/>
      <c r="AG124" s="45"/>
      <c r="AH124" s="45"/>
      <c r="AI124" s="45"/>
      <c r="AJ124" s="45"/>
      <c r="AK124" s="45"/>
      <c r="AL124" s="45"/>
      <c r="AM124" s="45"/>
      <c r="AP124" s="6"/>
    </row>
  </sheetData>
  <mergeCells count="2">
    <mergeCell ref="E38:K38"/>
    <mergeCell ref="Q38:W38"/>
  </mergeCells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38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2000-10-13T20:44:48Z</cp:lastPrinted>
  <dcterms:created xsi:type="dcterms:W3CDTF">1997-07-25T21:20:20Z</dcterms:created>
  <dcterms:modified xsi:type="dcterms:W3CDTF">2023-09-10T15:35:06Z</dcterms:modified>
</cp:coreProperties>
</file>