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3260" windowHeight="7812"/>
  </bookViews>
  <sheets>
    <sheet name="Sheet1" sheetId="6" r:id="rId1"/>
    <sheet name="Sheet2" sheetId="4" r:id="rId2"/>
    <sheet name="Sheet3" sheetId="5" r:id="rId3"/>
  </sheets>
  <calcPr calcId="92512"/>
</workbook>
</file>

<file path=xl/calcChain.xml><?xml version="1.0" encoding="utf-8"?>
<calcChain xmlns="http://schemas.openxmlformats.org/spreadsheetml/2006/main">
  <c r="C3" i="6" l="1"/>
  <c r="A14" i="6"/>
  <c r="C14" i="6"/>
  <c r="D14" i="6"/>
  <c r="F14" i="6"/>
  <c r="G14" i="6"/>
  <c r="K14" i="6"/>
  <c r="L14" i="6"/>
  <c r="M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E14" i="6"/>
  <c r="AF14" i="6"/>
  <c r="AH14" i="6"/>
  <c r="AJ14" i="6"/>
  <c r="A15" i="6"/>
  <c r="D15" i="6"/>
  <c r="F15" i="6"/>
  <c r="G15" i="6"/>
  <c r="I15" i="6"/>
  <c r="K15" i="6"/>
  <c r="L15" i="6"/>
  <c r="M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E15" i="6"/>
  <c r="AF15" i="6"/>
  <c r="AH15" i="6"/>
  <c r="AJ15" i="6"/>
  <c r="A16" i="6"/>
  <c r="D16" i="6"/>
  <c r="F16" i="6"/>
  <c r="G16" i="6"/>
  <c r="I16" i="6"/>
  <c r="K16" i="6"/>
  <c r="L16" i="6"/>
  <c r="M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E16" i="6"/>
  <c r="AF16" i="6"/>
  <c r="AH16" i="6"/>
  <c r="AJ16" i="6"/>
  <c r="A17" i="6"/>
  <c r="D17" i="6"/>
  <c r="F17" i="6"/>
  <c r="G17" i="6"/>
  <c r="I17" i="6"/>
  <c r="K17" i="6"/>
  <c r="L17" i="6"/>
  <c r="M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E17" i="6"/>
  <c r="AF17" i="6"/>
  <c r="AH17" i="6"/>
  <c r="AJ17" i="6"/>
  <c r="A18" i="6"/>
  <c r="D18" i="6"/>
  <c r="F18" i="6"/>
  <c r="G18" i="6"/>
  <c r="I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E18" i="6"/>
  <c r="AF18" i="6"/>
  <c r="AH18" i="6"/>
  <c r="AJ18" i="6"/>
  <c r="A19" i="6"/>
  <c r="D19" i="6"/>
  <c r="F19" i="6"/>
  <c r="G19" i="6"/>
  <c r="I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E19" i="6"/>
  <c r="AF19" i="6"/>
  <c r="AH19" i="6"/>
  <c r="AJ19" i="6"/>
  <c r="A20" i="6"/>
  <c r="D20" i="6"/>
  <c r="F20" i="6"/>
  <c r="G20" i="6"/>
  <c r="I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E20" i="6"/>
  <c r="AF20" i="6"/>
  <c r="AH20" i="6"/>
  <c r="AJ20" i="6"/>
  <c r="A21" i="6"/>
  <c r="D21" i="6"/>
  <c r="F21" i="6"/>
  <c r="G21" i="6"/>
  <c r="I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E21" i="6"/>
  <c r="AF21" i="6"/>
  <c r="AH21" i="6"/>
  <c r="AJ21" i="6"/>
  <c r="A22" i="6"/>
  <c r="D22" i="6"/>
  <c r="F22" i="6"/>
  <c r="G22" i="6"/>
  <c r="I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E22" i="6"/>
  <c r="AF22" i="6"/>
  <c r="AH22" i="6"/>
  <c r="AJ22" i="6"/>
  <c r="A23" i="6"/>
  <c r="D23" i="6"/>
  <c r="F23" i="6"/>
  <c r="G23" i="6"/>
  <c r="I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E23" i="6"/>
  <c r="AF23" i="6"/>
  <c r="AH23" i="6"/>
  <c r="AJ23" i="6"/>
  <c r="A24" i="6"/>
  <c r="D24" i="6"/>
  <c r="F24" i="6"/>
  <c r="G24" i="6"/>
  <c r="I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E24" i="6"/>
  <c r="AF24" i="6"/>
  <c r="AH24" i="6"/>
  <c r="AJ24" i="6"/>
  <c r="A25" i="6"/>
  <c r="D25" i="6"/>
  <c r="F25" i="6"/>
  <c r="G25" i="6"/>
  <c r="I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E25" i="6"/>
  <c r="AF25" i="6"/>
  <c r="AH25" i="6"/>
  <c r="AJ25" i="6"/>
  <c r="A26" i="6"/>
  <c r="D26" i="6"/>
  <c r="F26" i="6"/>
  <c r="G26" i="6"/>
  <c r="I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E26" i="6"/>
  <c r="AF26" i="6"/>
  <c r="AH26" i="6"/>
  <c r="AJ26" i="6"/>
  <c r="A27" i="6"/>
  <c r="D27" i="6"/>
  <c r="F27" i="6"/>
  <c r="G27" i="6"/>
  <c r="I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E27" i="6"/>
  <c r="AF27" i="6"/>
  <c r="AH27" i="6"/>
  <c r="AJ27" i="6"/>
  <c r="A28" i="6"/>
  <c r="D28" i="6"/>
  <c r="F28" i="6"/>
  <c r="G28" i="6"/>
  <c r="I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E28" i="6"/>
  <c r="AF28" i="6"/>
  <c r="AH28" i="6"/>
  <c r="AJ28" i="6"/>
  <c r="A29" i="6"/>
  <c r="D29" i="6"/>
  <c r="F29" i="6"/>
  <c r="G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E29" i="6"/>
  <c r="AF29" i="6"/>
  <c r="AH29" i="6"/>
  <c r="AJ29" i="6"/>
  <c r="A30" i="6"/>
  <c r="D30" i="6"/>
  <c r="F30" i="6"/>
  <c r="G30" i="6"/>
  <c r="I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E30" i="6"/>
  <c r="AF30" i="6"/>
  <c r="AH30" i="6"/>
  <c r="AJ30" i="6"/>
  <c r="A31" i="6"/>
  <c r="D31" i="6"/>
  <c r="F31" i="6"/>
  <c r="G31" i="6"/>
  <c r="I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E31" i="6"/>
  <c r="AF31" i="6"/>
  <c r="AH31" i="6"/>
  <c r="AJ31" i="6"/>
  <c r="A32" i="6"/>
  <c r="D32" i="6"/>
  <c r="F32" i="6"/>
  <c r="G32" i="6"/>
  <c r="I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E32" i="6"/>
  <c r="AF32" i="6"/>
  <c r="AH32" i="6"/>
  <c r="AJ32" i="6"/>
  <c r="A33" i="6"/>
  <c r="D33" i="6"/>
  <c r="F33" i="6"/>
  <c r="G33" i="6"/>
  <c r="I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E33" i="6"/>
  <c r="AF33" i="6"/>
  <c r="AH33" i="6"/>
  <c r="AJ33" i="6"/>
  <c r="A34" i="6"/>
  <c r="D34" i="6"/>
  <c r="F34" i="6"/>
  <c r="G34" i="6"/>
  <c r="I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E34" i="6"/>
  <c r="AF34" i="6"/>
  <c r="AH34" i="6"/>
  <c r="AJ34" i="6"/>
  <c r="A35" i="6"/>
  <c r="D35" i="6"/>
  <c r="F35" i="6"/>
  <c r="G35" i="6"/>
  <c r="I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E35" i="6"/>
  <c r="AF35" i="6"/>
  <c r="AH35" i="6"/>
  <c r="AJ35" i="6"/>
  <c r="A36" i="6"/>
  <c r="D36" i="6"/>
  <c r="F36" i="6"/>
  <c r="G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E36" i="6"/>
  <c r="AF36" i="6"/>
  <c r="AH36" i="6"/>
  <c r="AJ36" i="6"/>
  <c r="A37" i="6"/>
  <c r="D37" i="6"/>
  <c r="F37" i="6"/>
  <c r="G37" i="6"/>
  <c r="I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E37" i="6"/>
  <c r="AF37" i="6"/>
  <c r="AH37" i="6"/>
  <c r="AJ37" i="6"/>
  <c r="A38" i="6"/>
  <c r="D38" i="6"/>
  <c r="F38" i="6"/>
  <c r="G38" i="6"/>
  <c r="I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E38" i="6"/>
  <c r="AF38" i="6"/>
  <c r="AH38" i="6"/>
  <c r="AJ38" i="6"/>
  <c r="A39" i="6"/>
  <c r="D39" i="6"/>
  <c r="F39" i="6"/>
  <c r="G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E39" i="6"/>
  <c r="AF39" i="6"/>
  <c r="AH39" i="6"/>
  <c r="AJ39" i="6"/>
  <c r="A40" i="6"/>
  <c r="D40" i="6"/>
  <c r="F40" i="6"/>
  <c r="G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E40" i="6"/>
  <c r="AF40" i="6"/>
  <c r="AH40" i="6"/>
  <c r="AJ40" i="6"/>
  <c r="A41" i="6"/>
  <c r="D41" i="6"/>
  <c r="F41" i="6"/>
  <c r="G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E41" i="6"/>
  <c r="AF41" i="6"/>
  <c r="AH41" i="6"/>
  <c r="AJ41" i="6"/>
  <c r="A42" i="6"/>
  <c r="D42" i="6"/>
  <c r="F42" i="6"/>
  <c r="G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E42" i="6"/>
  <c r="AF42" i="6"/>
  <c r="AH42" i="6"/>
  <c r="AJ42" i="6"/>
  <c r="A43" i="6"/>
  <c r="D43" i="6"/>
  <c r="F43" i="6"/>
  <c r="G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E43" i="6"/>
  <c r="AF43" i="6"/>
  <c r="AH43" i="6"/>
  <c r="AJ43" i="6"/>
  <c r="A44" i="6"/>
  <c r="D44" i="6"/>
  <c r="F44" i="6"/>
  <c r="G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E44" i="6"/>
  <c r="AF44" i="6"/>
  <c r="AH44" i="6"/>
  <c r="AJ44" i="6"/>
  <c r="C45" i="6"/>
  <c r="D45" i="6"/>
  <c r="E45" i="6"/>
  <c r="F45" i="6"/>
  <c r="G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E45" i="6"/>
  <c r="AF45" i="6"/>
  <c r="AH45" i="6"/>
</calcChain>
</file>

<file path=xl/sharedStrings.xml><?xml version="1.0" encoding="utf-8"?>
<sst xmlns="http://schemas.openxmlformats.org/spreadsheetml/2006/main" count="39" uniqueCount="36">
  <si>
    <t>Inputs:</t>
  </si>
  <si>
    <t>Redwood Capacity (Malin)</t>
  </si>
  <si>
    <t>Commodity Charge</t>
  </si>
  <si>
    <t>Gas Service Fee</t>
  </si>
  <si>
    <t>Fuel Charge</t>
  </si>
  <si>
    <t>Date</t>
  </si>
  <si>
    <t>Invoice Month</t>
  </si>
  <si>
    <t>Total Flow (MCF)</t>
  </si>
  <si>
    <t>Total Flow at City Gate (MMBtu)</t>
  </si>
  <si>
    <t>Total at Malin (CG+Fuel)</t>
  </si>
  <si>
    <t>3rd Party Contracted Baseload (Malin)</t>
  </si>
  <si>
    <t>3rd Party Contracted Baseload (City Gate)</t>
  </si>
  <si>
    <t>Fixed Price Gas From Enron (Malin)</t>
  </si>
  <si>
    <t>Fixed Price Gas From Enron (City Gate)</t>
  </si>
  <si>
    <t>Gas Flow to Malin</t>
  </si>
  <si>
    <t>Gas Flow to City Gate</t>
  </si>
  <si>
    <t>Actual Gas Flow to Malin</t>
  </si>
  <si>
    <t>Actual Gas Flow to City Gate</t>
  </si>
  <si>
    <t>Bidweek Gas at NGI Malin</t>
  </si>
  <si>
    <t>Total Flow less Baseload (Malin)</t>
  </si>
  <si>
    <t>Total Flow less Baseload and Fixed Price Gas (Malin)</t>
  </si>
  <si>
    <t>Total Flow to Less Fixed Price Gas (City Gate)</t>
  </si>
  <si>
    <t>Bidweek Gas at NGI Citygate</t>
  </si>
  <si>
    <t>Fixed Price Gas at Malin</t>
  </si>
  <si>
    <t>Total Cost of Gas</t>
  </si>
  <si>
    <t>Unused Redwood MMBtu</t>
  </si>
  <si>
    <t>Redwood Credit</t>
  </si>
  <si>
    <t>Total Charge to Palo Alto</t>
  </si>
  <si>
    <t xml:space="preserve">Displaced Malin Gas </t>
  </si>
  <si>
    <t xml:space="preserve">TOTAL:  </t>
  </si>
  <si>
    <t>*All cells in blue are inputs</t>
  </si>
  <si>
    <t>Contract Quantity (CQ)</t>
  </si>
  <si>
    <t>Total Fixed Price Gas at Citygate</t>
  </si>
  <si>
    <t>Fixed Price Gas at Citygate ($5.775)</t>
  </si>
  <si>
    <t>Fixed Price Gas at Citygate ($4.70)</t>
  </si>
  <si>
    <t>Fixed Price Gas at Citygate ($5.66)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</si>
</sst>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6" formatCode="0.00_)"/>
    <numFmt numFmtId="168" formatCode="_(* #,##0_);_(* \(#,##0\);_(* &quot;-&quot;??_);_(@_)"/>
    <numFmt numFmtId="169" formatCode="_(&quot;$&quot;* #,##0_);_(&quot;$&quot;* \(#,##0\);_(&quot;$&quot;* &quot;-&quot;??_);_(@_)"/>
    <numFmt numFmtId="173" formatCode="_(* #,##0.000_);_(* \(#,##0.00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6" fontId="3" fillId="0" borderId="0"/>
    <xf numFmtId="10" fontId="1" fillId="0" borderId="0" applyFont="0" applyFill="0" applyBorder="0" applyAlignment="0" applyProtection="0"/>
    <xf numFmtId="40" fontId="4" fillId="0" borderId="0"/>
  </cellStyleXfs>
  <cellXfs count="103">
    <xf numFmtId="0" fontId="0" fillId="0" borderId="0" xfId="0"/>
    <xf numFmtId="44" fontId="0" fillId="0" borderId="0" xfId="2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0" fontId="0" fillId="0" borderId="0" xfId="0" applyBorder="1"/>
    <xf numFmtId="44" fontId="0" fillId="0" borderId="0" xfId="0" applyNumberFormat="1"/>
    <xf numFmtId="10" fontId="6" fillId="0" borderId="0" xfId="0" applyNumberFormat="1" applyFont="1"/>
    <xf numFmtId="0" fontId="0" fillId="0" borderId="0" xfId="0" applyAlignment="1">
      <alignment horizontal="right"/>
    </xf>
    <xf numFmtId="168" fontId="0" fillId="0" borderId="0" xfId="1" applyNumberFormat="1" applyFont="1" applyBorder="1" applyAlignment="1">
      <alignment horizontal="center" wrapText="1"/>
    </xf>
    <xf numFmtId="0" fontId="0" fillId="0" borderId="2" xfId="0" applyBorder="1"/>
    <xf numFmtId="168" fontId="0" fillId="0" borderId="0" xfId="1" applyNumberFormat="1" applyFont="1" applyBorder="1"/>
    <xf numFmtId="44" fontId="0" fillId="0" borderId="2" xfId="0" applyNumberFormat="1" applyBorder="1"/>
    <xf numFmtId="44" fontId="0" fillId="0" borderId="3" xfId="0" applyNumberFormat="1" applyBorder="1"/>
    <xf numFmtId="44" fontId="0" fillId="0" borderId="2" xfId="2" applyFont="1" applyBorder="1"/>
    <xf numFmtId="44" fontId="0" fillId="0" borderId="3" xfId="2" applyFont="1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8" fontId="9" fillId="4" borderId="6" xfId="1" applyNumberFormat="1" applyFont="1" applyFill="1" applyBorder="1" applyAlignment="1">
      <alignment horizontal="center" vertical="center" wrapText="1"/>
    </xf>
    <xf numFmtId="168" fontId="9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4" fontId="9" fillId="4" borderId="6" xfId="2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0" borderId="0" xfId="0" applyFont="1"/>
    <xf numFmtId="3" fontId="7" fillId="0" borderId="0" xfId="0" applyNumberFormat="1" applyFont="1"/>
    <xf numFmtId="168" fontId="0" fillId="0" borderId="2" xfId="1" applyNumberFormat="1" applyFont="1" applyBorder="1" applyAlignment="1">
      <alignment horizontal="center" wrapText="1"/>
    </xf>
    <xf numFmtId="168" fontId="0" fillId="0" borderId="2" xfId="1" applyNumberFormat="1" applyFont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/>
    <xf numFmtId="17" fontId="8" fillId="2" borderId="2" xfId="0" applyNumberFormat="1" applyFont="1" applyFill="1" applyBorder="1"/>
    <xf numFmtId="3" fontId="7" fillId="2" borderId="2" xfId="0" applyNumberFormat="1" applyFont="1" applyFill="1" applyBorder="1"/>
    <xf numFmtId="3" fontId="8" fillId="2" borderId="2" xfId="0" applyNumberFormat="1" applyFont="1" applyFill="1" applyBorder="1"/>
    <xf numFmtId="165" fontId="8" fillId="2" borderId="2" xfId="2" applyNumberFormat="1" applyFont="1" applyFill="1" applyBorder="1"/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/>
    <xf numFmtId="10" fontId="8" fillId="2" borderId="3" xfId="0" applyNumberFormat="1" applyFont="1" applyFill="1" applyBorder="1"/>
    <xf numFmtId="44" fontId="0" fillId="5" borderId="4" xfId="0" applyNumberFormat="1" applyFill="1" applyBorder="1"/>
    <xf numFmtId="0" fontId="0" fillId="5" borderId="4" xfId="0" applyFill="1" applyBorder="1"/>
    <xf numFmtId="3" fontId="7" fillId="0" borderId="14" xfId="0" applyNumberFormat="1" applyFont="1" applyBorder="1"/>
    <xf numFmtId="3" fontId="7" fillId="0" borderId="6" xfId="0" applyNumberFormat="1" applyFont="1" applyBorder="1"/>
    <xf numFmtId="3" fontId="7" fillId="0" borderId="15" xfId="0" applyNumberFormat="1" applyFont="1" applyBorder="1"/>
    <xf numFmtId="0" fontId="10" fillId="0" borderId="0" xfId="0" applyFont="1" applyAlignment="1">
      <alignment horizontal="right"/>
    </xf>
    <xf numFmtId="3" fontId="7" fillId="0" borderId="15" xfId="0" applyNumberFormat="1" applyFont="1" applyBorder="1" applyAlignment="1">
      <alignment horizontal="center"/>
    </xf>
    <xf numFmtId="0" fontId="0" fillId="0" borderId="16" xfId="0" applyBorder="1"/>
    <xf numFmtId="0" fontId="9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168" fontId="0" fillId="0" borderId="18" xfId="1" applyNumberFormat="1" applyFont="1" applyBorder="1"/>
    <xf numFmtId="168" fontId="0" fillId="0" borderId="19" xfId="1" applyNumberFormat="1" applyFont="1" applyBorder="1"/>
    <xf numFmtId="168" fontId="0" fillId="0" borderId="18" xfId="0" applyNumberFormat="1" applyBorder="1"/>
    <xf numFmtId="168" fontId="0" fillId="0" borderId="19" xfId="0" applyNumberFormat="1" applyBorder="1"/>
    <xf numFmtId="168" fontId="9" fillId="4" borderId="17" xfId="1" applyNumberFormat="1" applyFont="1" applyFill="1" applyBorder="1" applyAlignment="1">
      <alignment horizontal="center" vertical="center" wrapText="1"/>
    </xf>
    <xf numFmtId="168" fontId="0" fillId="0" borderId="18" xfId="1" applyNumberFormat="1" applyFont="1" applyBorder="1" applyAlignment="1">
      <alignment horizontal="center" wrapText="1"/>
    </xf>
    <xf numFmtId="168" fontId="9" fillId="4" borderId="20" xfId="1" applyNumberFormat="1" applyFont="1" applyFill="1" applyBorder="1" applyAlignment="1">
      <alignment horizontal="center" vertical="center" wrapText="1"/>
    </xf>
    <xf numFmtId="168" fontId="0" fillId="0" borderId="16" xfId="1" applyNumberFormat="1" applyFont="1" applyBorder="1" applyAlignment="1">
      <alignment horizontal="center" wrapText="1"/>
    </xf>
    <xf numFmtId="168" fontId="6" fillId="0" borderId="16" xfId="1" applyNumberFormat="1" applyFont="1" applyBorder="1"/>
    <xf numFmtId="168" fontId="0" fillId="0" borderId="16" xfId="1" applyNumberFormat="1" applyFont="1" applyBorder="1"/>
    <xf numFmtId="168" fontId="0" fillId="0" borderId="21" xfId="1" applyNumberFormat="1" applyFont="1" applyBorder="1"/>
    <xf numFmtId="168" fontId="6" fillId="0" borderId="18" xfId="1" applyNumberFormat="1" applyFont="1" applyBorder="1"/>
    <xf numFmtId="168" fontId="0" fillId="0" borderId="18" xfId="0" applyNumberFormat="1" applyBorder="1" applyAlignment="1">
      <alignment horizontal="center"/>
    </xf>
    <xf numFmtId="44" fontId="0" fillId="0" borderId="18" xfId="2" applyFont="1" applyBorder="1"/>
    <xf numFmtId="44" fontId="0" fillId="0" borderId="19" xfId="2" applyFont="1" applyBorder="1"/>
    <xf numFmtId="44" fontId="0" fillId="0" borderId="18" xfId="2" applyNumberFormat="1" applyFont="1" applyBorder="1"/>
    <xf numFmtId="44" fontId="0" fillId="0" borderId="19" xfId="2" applyNumberFormat="1" applyFont="1" applyBorder="1"/>
    <xf numFmtId="44" fontId="9" fillId="4" borderId="17" xfId="2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168" fontId="0" fillId="0" borderId="16" xfId="0" applyNumberFormat="1" applyBorder="1"/>
    <xf numFmtId="168" fontId="0" fillId="0" borderId="21" xfId="0" applyNumberFormat="1" applyBorder="1"/>
    <xf numFmtId="168" fontId="7" fillId="0" borderId="15" xfId="1" applyNumberFormat="1" applyFont="1" applyBorder="1"/>
    <xf numFmtId="169" fontId="7" fillId="0" borderId="15" xfId="2" applyNumberFormat="1" applyFont="1" applyBorder="1"/>
    <xf numFmtId="44" fontId="7" fillId="0" borderId="15" xfId="2" applyNumberFormat="1" applyFont="1" applyBorder="1"/>
    <xf numFmtId="44" fontId="7" fillId="0" borderId="6" xfId="2" applyFont="1" applyBorder="1"/>
    <xf numFmtId="44" fontId="7" fillId="0" borderId="6" xfId="2" applyNumberFormat="1" applyFont="1" applyBorder="1"/>
    <xf numFmtId="44" fontId="0" fillId="5" borderId="4" xfId="2" applyFont="1" applyFill="1" applyBorder="1"/>
    <xf numFmtId="44" fontId="0" fillId="5" borderId="22" xfId="2" applyFont="1" applyFill="1" applyBorder="1"/>
    <xf numFmtId="44" fontId="7" fillId="5" borderId="5" xfId="2" applyFont="1" applyFill="1" applyBorder="1"/>
    <xf numFmtId="0" fontId="7" fillId="0" borderId="0" xfId="0" applyFont="1" applyFill="1" applyBorder="1" applyAlignment="1">
      <alignment horizontal="center"/>
    </xf>
    <xf numFmtId="168" fontId="0" fillId="0" borderId="23" xfId="1" applyNumberFormat="1" applyFont="1" applyBorder="1" applyAlignment="1">
      <alignment horizontal="center" wrapText="1"/>
    </xf>
    <xf numFmtId="0" fontId="0" fillId="0" borderId="11" xfId="0" applyBorder="1"/>
    <xf numFmtId="44" fontId="8" fillId="0" borderId="5" xfId="2" applyFont="1" applyBorder="1" applyAlignment="1">
      <alignment horizontal="center" wrapText="1"/>
    </xf>
    <xf numFmtId="44" fontId="8" fillId="0" borderId="5" xfId="2" applyFont="1" applyBorder="1" applyAlignment="1">
      <alignment horizontal="center"/>
    </xf>
    <xf numFmtId="15" fontId="7" fillId="0" borderId="4" xfId="0" applyNumberFormat="1" applyFont="1" applyBorder="1"/>
    <xf numFmtId="15" fontId="7" fillId="0" borderId="22" xfId="0" applyNumberFormat="1" applyFont="1" applyBorder="1"/>
    <xf numFmtId="3" fontId="7" fillId="0" borderId="0" xfId="0" applyNumberFormat="1" applyFont="1" applyBorder="1"/>
    <xf numFmtId="15" fontId="7" fillId="0" borderId="4" xfId="0" applyNumberFormat="1" applyFont="1" applyFill="1" applyBorder="1"/>
    <xf numFmtId="168" fontId="8" fillId="0" borderId="5" xfId="1" applyNumberFormat="1" applyFont="1" applyBorder="1" applyAlignment="1">
      <alignment horizontal="center"/>
    </xf>
    <xf numFmtId="44" fontId="9" fillId="4" borderId="24" xfId="2" applyFont="1" applyFill="1" applyBorder="1" applyAlignment="1">
      <alignment horizontal="center" vertical="center" wrapText="1"/>
    </xf>
    <xf numFmtId="168" fontId="9" fillId="4" borderId="25" xfId="1" applyNumberFormat="1" applyFont="1" applyFill="1" applyBorder="1" applyAlignment="1">
      <alignment horizontal="center" vertical="center" wrapText="1"/>
    </xf>
    <xf numFmtId="44" fontId="8" fillId="0" borderId="26" xfId="2" applyFont="1" applyBorder="1" applyAlignment="1">
      <alignment horizontal="center"/>
    </xf>
    <xf numFmtId="168" fontId="6" fillId="0" borderId="18" xfId="1" applyNumberFormat="1" applyFont="1" applyFill="1" applyBorder="1"/>
    <xf numFmtId="0" fontId="0" fillId="0" borderId="27" xfId="0" applyBorder="1" applyAlignment="1">
      <alignment horizontal="center" wrapText="1"/>
    </xf>
    <xf numFmtId="173" fontId="1" fillId="0" borderId="18" xfId="1" applyNumberFormat="1" applyBorder="1"/>
    <xf numFmtId="4" fontId="0" fillId="0" borderId="0" xfId="0" applyNumberFormat="1"/>
    <xf numFmtId="168" fontId="5" fillId="0" borderId="18" xfId="1" applyNumberFormat="1" applyFont="1" applyBorder="1"/>
    <xf numFmtId="3" fontId="0" fillId="0" borderId="0" xfId="0" applyNumberFormat="1" applyAlignment="1">
      <alignment horizontal="center"/>
    </xf>
    <xf numFmtId="168" fontId="1" fillId="0" borderId="18" xfId="1" applyNumberFormat="1" applyBorder="1"/>
    <xf numFmtId="0" fontId="8" fillId="5" borderId="1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Q46"/>
  <sheetViews>
    <sheetView showGridLines="0" tabSelected="1" zoomScale="75" workbookViewId="0">
      <selection activeCell="L14" sqref="L14"/>
    </sheetView>
  </sheetViews>
  <sheetFormatPr defaultRowHeight="13.2" x14ac:dyDescent="0.25"/>
  <cols>
    <col min="1" max="1" width="10.88671875" customWidth="1"/>
    <col min="2" max="2" width="16" customWidth="1"/>
    <col min="3" max="3" width="12" bestFit="1" customWidth="1"/>
    <col min="4" max="4" width="10.44140625" customWidth="1"/>
    <col min="5" max="5" width="11" customWidth="1"/>
    <col min="7" max="7" width="17.33203125" customWidth="1"/>
    <col min="10" max="10" width="10.88671875" customWidth="1"/>
    <col min="11" max="11" width="12.5546875" customWidth="1"/>
    <col min="12" max="12" width="11" customWidth="1"/>
    <col min="13" max="13" width="9.33203125" style="3" bestFit="1" customWidth="1"/>
    <col min="14" max="15" width="12.88671875" style="3" customWidth="1"/>
    <col min="16" max="16" width="12.5546875" customWidth="1"/>
    <col min="17" max="17" width="13" customWidth="1"/>
    <col min="18" max="18" width="11.6640625" customWidth="1"/>
    <col min="19" max="19" width="12.109375" bestFit="1" customWidth="1"/>
    <col min="20" max="20" width="12.33203125" bestFit="1" customWidth="1"/>
    <col min="21" max="21" width="12" style="3" customWidth="1"/>
    <col min="22" max="22" width="13.109375" style="3" customWidth="1"/>
    <col min="23" max="23" width="12" bestFit="1" customWidth="1"/>
    <col min="24" max="24" width="14.6640625" customWidth="1"/>
    <col min="25" max="25" width="12.88671875" style="2" customWidth="1"/>
    <col min="26" max="26" width="15" style="3" bestFit="1" customWidth="1"/>
    <col min="27" max="27" width="14.33203125" style="3" bestFit="1" customWidth="1"/>
    <col min="28" max="28" width="12.109375" style="1" customWidth="1"/>
    <col min="29" max="29" width="15.5546875" style="1" bestFit="1" customWidth="1"/>
    <col min="30" max="30" width="14.88671875" style="1" customWidth="1"/>
    <col min="31" max="32" width="12" style="1" customWidth="1"/>
    <col min="33" max="33" width="13" style="1" customWidth="1"/>
    <col min="34" max="34" width="14.5546875" style="1" bestFit="1" customWidth="1"/>
    <col min="35" max="35" width="12.5546875" bestFit="1" customWidth="1"/>
    <col min="36" max="36" width="15" bestFit="1" customWidth="1"/>
    <col min="38" max="38" width="11.109375" customWidth="1"/>
    <col min="39" max="39" width="10.5546875" style="1" customWidth="1"/>
    <col min="41" max="41" width="14.5546875" bestFit="1" customWidth="1"/>
    <col min="43" max="43" width="12.88671875" bestFit="1" customWidth="1"/>
  </cols>
  <sheetData>
    <row r="1" spans="1:39" x14ac:dyDescent="0.25">
      <c r="A1" s="30" t="s">
        <v>0</v>
      </c>
      <c r="B1" s="31"/>
      <c r="C1" s="32"/>
    </row>
    <row r="2" spans="1:39" ht="13.8" thickBot="1" x14ac:dyDescent="0.3">
      <c r="A2" s="33" t="s">
        <v>6</v>
      </c>
      <c r="B2" s="34"/>
      <c r="C2" s="35">
        <v>37104</v>
      </c>
    </row>
    <row r="3" spans="1:39" ht="13.8" thickBot="1" x14ac:dyDescent="0.3">
      <c r="A3" s="33" t="s">
        <v>1</v>
      </c>
      <c r="B3" s="34"/>
      <c r="C3" s="36">
        <f>C4*(1+C7)</f>
        <v>6173.433</v>
      </c>
      <c r="F3" s="101" t="s">
        <v>30</v>
      </c>
      <c r="G3" s="102"/>
    </row>
    <row r="4" spans="1:39" x14ac:dyDescent="0.25">
      <c r="A4" s="33" t="s">
        <v>31</v>
      </c>
      <c r="B4" s="34"/>
      <c r="C4" s="37">
        <v>6090</v>
      </c>
    </row>
    <row r="5" spans="1:39" x14ac:dyDescent="0.25">
      <c r="A5" s="33" t="s">
        <v>2</v>
      </c>
      <c r="B5" s="34"/>
      <c r="C5" s="38">
        <v>4.3999999999999997E-2</v>
      </c>
      <c r="O5" s="11"/>
    </row>
    <row r="6" spans="1:39" x14ac:dyDescent="0.25">
      <c r="A6" s="33" t="s">
        <v>3</v>
      </c>
      <c r="B6" s="34"/>
      <c r="C6" s="38">
        <v>0.115</v>
      </c>
    </row>
    <row r="7" spans="1:39" ht="13.8" thickBot="1" x14ac:dyDescent="0.3">
      <c r="A7" s="39" t="s">
        <v>4</v>
      </c>
      <c r="B7" s="40"/>
      <c r="C7" s="41">
        <v>1.37E-2</v>
      </c>
    </row>
    <row r="8" spans="1:39" x14ac:dyDescent="0.25">
      <c r="A8" s="17"/>
      <c r="C8" s="7"/>
    </row>
    <row r="9" spans="1:39" x14ac:dyDescent="0.25">
      <c r="A9" s="17"/>
      <c r="C9" s="7"/>
    </row>
    <row r="11" spans="1:39" ht="13.8" thickBot="1" x14ac:dyDescent="0.3"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18"/>
      <c r="Z11" s="4"/>
      <c r="AA11" s="4"/>
    </row>
    <row r="12" spans="1:39" s="26" customFormat="1" ht="79.8" thickBot="1" x14ac:dyDescent="0.3">
      <c r="A12" s="19" t="s">
        <v>5</v>
      </c>
      <c r="B12" s="20"/>
      <c r="C12" s="70" t="s">
        <v>7</v>
      </c>
      <c r="D12" s="50" t="s">
        <v>8</v>
      </c>
      <c r="E12" s="50" t="s">
        <v>9</v>
      </c>
      <c r="F12" s="56" t="s">
        <v>14</v>
      </c>
      <c r="G12" s="21" t="s">
        <v>15</v>
      </c>
      <c r="H12" s="22"/>
      <c r="I12" s="58" t="s">
        <v>12</v>
      </c>
      <c r="J12" s="56" t="s">
        <v>13</v>
      </c>
      <c r="K12" s="56" t="s">
        <v>28</v>
      </c>
      <c r="L12" s="56" t="s">
        <v>16</v>
      </c>
      <c r="M12" s="56" t="s">
        <v>17</v>
      </c>
      <c r="N12" s="56" t="s">
        <v>10</v>
      </c>
      <c r="O12" s="56" t="s">
        <v>11</v>
      </c>
      <c r="P12" s="50" t="s">
        <v>19</v>
      </c>
      <c r="Q12" s="56" t="s">
        <v>20</v>
      </c>
      <c r="R12" s="56" t="s">
        <v>21</v>
      </c>
      <c r="S12" s="56" t="s">
        <v>18</v>
      </c>
      <c r="T12" s="56" t="s">
        <v>22</v>
      </c>
      <c r="U12" s="69" t="s">
        <v>23</v>
      </c>
      <c r="V12" s="69" t="s">
        <v>33</v>
      </c>
      <c r="W12" s="69" t="s">
        <v>35</v>
      </c>
      <c r="X12" s="69" t="s">
        <v>34</v>
      </c>
      <c r="Y12" s="69" t="s">
        <v>34</v>
      </c>
      <c r="Z12" s="91" t="s">
        <v>34</v>
      </c>
      <c r="AA12" s="69" t="s">
        <v>32</v>
      </c>
      <c r="AB12" s="92" t="s">
        <v>3</v>
      </c>
      <c r="AC12" s="21" t="s">
        <v>24</v>
      </c>
      <c r="AD12" s="23"/>
      <c r="AE12" s="70" t="s">
        <v>25</v>
      </c>
      <c r="AF12" s="24" t="s">
        <v>26</v>
      </c>
      <c r="AG12" s="23"/>
      <c r="AH12" s="25" t="s">
        <v>27</v>
      </c>
    </row>
    <row r="13" spans="1:39" ht="13.8" thickBot="1" x14ac:dyDescent="0.3">
      <c r="A13" s="16"/>
      <c r="B13" s="5"/>
      <c r="C13" s="95"/>
      <c r="D13" s="51"/>
      <c r="E13" s="51"/>
      <c r="F13" s="57"/>
      <c r="G13" s="28"/>
      <c r="H13" s="9"/>
      <c r="I13" s="59"/>
      <c r="J13" s="57"/>
      <c r="K13" s="57"/>
      <c r="L13" s="57"/>
      <c r="M13" s="57"/>
      <c r="N13" s="57"/>
      <c r="O13" s="57"/>
      <c r="P13" s="51"/>
      <c r="Q13" s="57"/>
      <c r="R13" s="82"/>
      <c r="S13" s="84">
        <v>3.14</v>
      </c>
      <c r="T13" s="85">
        <v>3.63</v>
      </c>
      <c r="U13" s="85">
        <v>0</v>
      </c>
      <c r="V13" s="90">
        <v>105</v>
      </c>
      <c r="W13" s="90">
        <v>70</v>
      </c>
      <c r="X13" s="90">
        <v>475</v>
      </c>
      <c r="Y13" s="90">
        <v>260</v>
      </c>
      <c r="Z13" s="90">
        <v>0</v>
      </c>
      <c r="AA13" s="93"/>
      <c r="AB13" s="83"/>
      <c r="AC13" s="10"/>
      <c r="AD13"/>
      <c r="AE13" s="49"/>
      <c r="AF13" s="14"/>
      <c r="AG13"/>
      <c r="AH13" s="43"/>
      <c r="AM13"/>
    </row>
    <row r="14" spans="1:39" x14ac:dyDescent="0.25">
      <c r="A14" s="86">
        <f>C2</f>
        <v>37104</v>
      </c>
      <c r="B14" s="5"/>
      <c r="C14" s="100">
        <f>ROUND(5711.728,2)</f>
        <v>5711.73</v>
      </c>
      <c r="D14" s="96">
        <f>C14*1.016</f>
        <v>5803.1176799999994</v>
      </c>
      <c r="E14" s="99">
        <v>5791.065598702221</v>
      </c>
      <c r="F14" s="52">
        <f t="shared" ref="F14:F44" si="0">IF(E14&gt;$C$3,$C$3,E14)</f>
        <v>5791.065598702221</v>
      </c>
      <c r="G14" s="29">
        <f>IF(F14=E14,0,((E14-F14)*(1-0.01372)))</f>
        <v>0</v>
      </c>
      <c r="H14" s="11"/>
      <c r="I14" s="60">
        <v>0</v>
      </c>
      <c r="J14" s="63">
        <v>910</v>
      </c>
      <c r="K14" s="52">
        <f>IF(G14&gt;J14,0,G14-J14)</f>
        <v>-910</v>
      </c>
      <c r="L14" s="54">
        <f>F14+K14</f>
        <v>4881.065598702221</v>
      </c>
      <c r="M14" s="52">
        <f>IF(G14&gt;J14,G14-J14+J14,J14)</f>
        <v>910</v>
      </c>
      <c r="N14" s="63">
        <v>1480</v>
      </c>
      <c r="O14" s="94">
        <v>0</v>
      </c>
      <c r="P14" s="54">
        <f t="shared" ref="P14:P44" si="1">E14-(N14+O14)</f>
        <v>4311.065598702221</v>
      </c>
      <c r="Q14" s="54">
        <f t="shared" ref="Q14:Q44" si="2">L14-N14-I14</f>
        <v>3401.065598702221</v>
      </c>
      <c r="R14" s="64">
        <f>IF((M14-J14-O14)&lt;0,0,M14-J14-O14)</f>
        <v>0</v>
      </c>
      <c r="S14" s="65">
        <f>Q14*$S$13</f>
        <v>10679.345979924974</v>
      </c>
      <c r="T14" s="67">
        <f>$T$13*R14</f>
        <v>0</v>
      </c>
      <c r="U14" s="65">
        <f>I14*$U$13</f>
        <v>0</v>
      </c>
      <c r="V14" s="65">
        <f>5.775*$V$13</f>
        <v>606.375</v>
      </c>
      <c r="W14" s="65">
        <f>5.66*$W$13</f>
        <v>396.2</v>
      </c>
      <c r="X14" s="65">
        <f>4.7*$X$13</f>
        <v>2232.5</v>
      </c>
      <c r="Y14" s="65">
        <f>4.7*$Y$13</f>
        <v>1222</v>
      </c>
      <c r="Z14" s="65">
        <f>4.7*$Z$13</f>
        <v>0</v>
      </c>
      <c r="AA14" s="65">
        <f>SUM(V14:Z14)</f>
        <v>4457.0749999999998</v>
      </c>
      <c r="AB14" s="65">
        <f>C14*$C$6</f>
        <v>656.84894999999995</v>
      </c>
      <c r="AC14" s="12">
        <f>AB14+AA14+S14+T14+U14</f>
        <v>15793.269929924973</v>
      </c>
      <c r="AD14"/>
      <c r="AE14" s="71">
        <f t="shared" ref="AE14:AE44" si="3">$C$3-L14</f>
        <v>1292.367401297779</v>
      </c>
      <c r="AF14" s="14">
        <f t="shared" ref="AF14:AF44" si="4">AE14*$C$5</f>
        <v>56.864165657102269</v>
      </c>
      <c r="AG14"/>
      <c r="AH14" s="42">
        <f t="shared" ref="AH14:AH44" si="5">AC14-AF14</f>
        <v>15736.405764267871</v>
      </c>
      <c r="AI14" s="97">
        <v>15753.579565077564</v>
      </c>
      <c r="AJ14" s="6">
        <f>AH14-AI14</f>
        <v>-17.173800809692693</v>
      </c>
      <c r="AM14"/>
    </row>
    <row r="15" spans="1:39" x14ac:dyDescent="0.25">
      <c r="A15" s="86">
        <f>A14+1</f>
        <v>37105</v>
      </c>
      <c r="B15" s="5"/>
      <c r="C15" s="100">
        <v>5740.0640000000003</v>
      </c>
      <c r="D15" s="96">
        <f t="shared" ref="D15:D44" si="6">C15*1.016</f>
        <v>5831.9050240000006</v>
      </c>
      <c r="E15" s="99">
        <v>5819.7951941599922</v>
      </c>
      <c r="F15" s="52">
        <f t="shared" si="0"/>
        <v>5819.7951941599922</v>
      </c>
      <c r="G15" s="29">
        <f t="shared" ref="G15:G43" si="7">IF(F15&gt;E15,0,((E15-F15)*(1-0.01372)))</f>
        <v>0</v>
      </c>
      <c r="H15" s="11"/>
      <c r="I15" s="61">
        <f>I14</f>
        <v>0</v>
      </c>
      <c r="J15" s="98">
        <v>910</v>
      </c>
      <c r="K15" s="52">
        <f t="shared" ref="K15:K44" si="8">IF(G15&gt;J15,0,G15-J15)</f>
        <v>-910</v>
      </c>
      <c r="L15" s="54">
        <f>F15+K15</f>
        <v>4909.7951941599922</v>
      </c>
      <c r="M15" s="52">
        <f t="shared" ref="M15:M44" si="9">IF(G15&gt;J15,G15-J15+J15,J15)</f>
        <v>910</v>
      </c>
      <c r="N15" s="63">
        <v>1494</v>
      </c>
      <c r="O15" s="94">
        <v>0</v>
      </c>
      <c r="P15" s="54">
        <f t="shared" si="1"/>
        <v>4325.7951941599922</v>
      </c>
      <c r="Q15" s="54">
        <f t="shared" si="2"/>
        <v>3415.7951941599922</v>
      </c>
      <c r="R15" s="64">
        <f t="shared" ref="R15:R44" si="10">IF((M15-J15-O15)&lt;0,0,M15-J15-O15)</f>
        <v>0</v>
      </c>
      <c r="S15" s="65">
        <f t="shared" ref="S15:S44" si="11">Q15*$S$13</f>
        <v>10725.596909662376</v>
      </c>
      <c r="T15" s="67">
        <f t="shared" ref="T15:T44" si="12">$T$13*R15</f>
        <v>0</v>
      </c>
      <c r="U15" s="65">
        <f t="shared" ref="U15:U44" si="13">I15*$U$13</f>
        <v>0</v>
      </c>
      <c r="V15" s="65">
        <f t="shared" ref="V15:V44" si="14">5.775*$V$13</f>
        <v>606.375</v>
      </c>
      <c r="W15" s="65">
        <f t="shared" ref="W15:W44" si="15">5.66*$W$13</f>
        <v>396.2</v>
      </c>
      <c r="X15" s="65">
        <f t="shared" ref="X15:X44" si="16">4.7*$X$13</f>
        <v>2232.5</v>
      </c>
      <c r="Y15" s="65">
        <f t="shared" ref="Y15:Y44" si="17">4.7*$Y$13</f>
        <v>1222</v>
      </c>
      <c r="Z15" s="65">
        <f t="shared" ref="Z15:Z44" si="18">4.7*$Z$13</f>
        <v>0</v>
      </c>
      <c r="AA15" s="65">
        <f t="shared" ref="AA15:AA44" si="19">SUM(V15:Z15)</f>
        <v>4457.0749999999998</v>
      </c>
      <c r="AB15" s="65">
        <f t="shared" ref="AB15:AB44" si="20">D15*$C$6</f>
        <v>670.66907776000005</v>
      </c>
      <c r="AC15" s="12">
        <f t="shared" ref="AC15:AC44" si="21">AB15+AA15+S15+T15+U15</f>
        <v>15853.340987422376</v>
      </c>
      <c r="AD15"/>
      <c r="AE15" s="71">
        <f t="shared" si="3"/>
        <v>1263.6378058400078</v>
      </c>
      <c r="AF15" s="14">
        <f t="shared" si="4"/>
        <v>55.600063456960342</v>
      </c>
      <c r="AG15"/>
      <c r="AH15" s="42">
        <f t="shared" si="5"/>
        <v>15797.740923965415</v>
      </c>
      <c r="AI15" s="97">
        <v>15803.089134814969</v>
      </c>
      <c r="AJ15" s="6">
        <f t="shared" ref="AJ15:AJ44" si="22">AH15-AI15</f>
        <v>-5.3482108495536522</v>
      </c>
      <c r="AM15"/>
    </row>
    <row r="16" spans="1:39" x14ac:dyDescent="0.25">
      <c r="A16" s="86">
        <f>A15+1</f>
        <v>37106</v>
      </c>
      <c r="B16" s="5"/>
      <c r="C16" s="100">
        <v>5758.28</v>
      </c>
      <c r="D16" s="96">
        <f t="shared" si="6"/>
        <v>5850.41248</v>
      </c>
      <c r="E16" s="99">
        <v>5838.2642198114163</v>
      </c>
      <c r="F16" s="52">
        <f t="shared" si="0"/>
        <v>5838.2642198114163</v>
      </c>
      <c r="G16" s="29">
        <f t="shared" si="7"/>
        <v>0</v>
      </c>
      <c r="H16" s="11"/>
      <c r="I16" s="61">
        <f t="shared" ref="I16:I44" si="23">I15</f>
        <v>0</v>
      </c>
      <c r="J16" s="98">
        <v>910</v>
      </c>
      <c r="K16" s="52">
        <f t="shared" si="8"/>
        <v>-910</v>
      </c>
      <c r="L16" s="54">
        <f>F16+K16</f>
        <v>4928.2642198114163</v>
      </c>
      <c r="M16" s="52">
        <f t="shared" si="9"/>
        <v>910</v>
      </c>
      <c r="N16" s="63">
        <v>1500</v>
      </c>
      <c r="O16" s="94">
        <v>90</v>
      </c>
      <c r="P16" s="54">
        <f t="shared" si="1"/>
        <v>4248.2642198114163</v>
      </c>
      <c r="Q16" s="54">
        <f t="shared" si="2"/>
        <v>3428.2642198114163</v>
      </c>
      <c r="R16" s="64">
        <f t="shared" si="10"/>
        <v>0</v>
      </c>
      <c r="S16" s="65">
        <f t="shared" si="11"/>
        <v>10764.749650207848</v>
      </c>
      <c r="T16" s="67">
        <f t="shared" si="12"/>
        <v>0</v>
      </c>
      <c r="U16" s="65">
        <f t="shared" si="13"/>
        <v>0</v>
      </c>
      <c r="V16" s="65">
        <f t="shared" si="14"/>
        <v>606.375</v>
      </c>
      <c r="W16" s="65">
        <f t="shared" si="15"/>
        <v>396.2</v>
      </c>
      <c r="X16" s="65">
        <f t="shared" si="16"/>
        <v>2232.5</v>
      </c>
      <c r="Y16" s="65">
        <f t="shared" si="17"/>
        <v>1222</v>
      </c>
      <c r="Z16" s="65">
        <f t="shared" si="18"/>
        <v>0</v>
      </c>
      <c r="AA16" s="65">
        <f t="shared" si="19"/>
        <v>4457.0749999999998</v>
      </c>
      <c r="AB16" s="65">
        <f t="shared" si="20"/>
        <v>672.7974352</v>
      </c>
      <c r="AC16" s="12">
        <f t="shared" si="21"/>
        <v>15894.622085407849</v>
      </c>
      <c r="AD16"/>
      <c r="AE16" s="71">
        <f t="shared" si="3"/>
        <v>1245.1687801885837</v>
      </c>
      <c r="AF16" s="14">
        <f t="shared" si="4"/>
        <v>54.787426328297677</v>
      </c>
      <c r="AG16"/>
      <c r="AH16" s="42">
        <f t="shared" si="5"/>
        <v>15839.834659079552</v>
      </c>
      <c r="AI16" s="97">
        <v>15557.811317408496</v>
      </c>
      <c r="AJ16" s="6">
        <f t="shared" si="22"/>
        <v>282.02334167105619</v>
      </c>
      <c r="AM16"/>
    </row>
    <row r="17" spans="1:39" x14ac:dyDescent="0.25">
      <c r="A17" s="86">
        <f t="shared" ref="A17:A40" si="24">A16+1</f>
        <v>37107</v>
      </c>
      <c r="B17" s="5"/>
      <c r="C17" s="100">
        <v>5226.9799999999996</v>
      </c>
      <c r="D17" s="96">
        <f t="shared" si="6"/>
        <v>5310.61168</v>
      </c>
      <c r="E17" s="99">
        <v>5299.5843049782025</v>
      </c>
      <c r="F17" s="52">
        <f t="shared" si="0"/>
        <v>5299.5843049782025</v>
      </c>
      <c r="G17" s="29">
        <f t="shared" si="7"/>
        <v>0</v>
      </c>
      <c r="H17" s="11"/>
      <c r="I17" s="61">
        <f t="shared" si="23"/>
        <v>0</v>
      </c>
      <c r="J17" s="98">
        <v>910</v>
      </c>
      <c r="K17" s="52">
        <f t="shared" si="8"/>
        <v>-910</v>
      </c>
      <c r="L17" s="54">
        <f t="shared" ref="L17:L44" si="25">F17+K17</f>
        <v>4389.5843049782025</v>
      </c>
      <c r="M17" s="52">
        <f t="shared" si="9"/>
        <v>910</v>
      </c>
      <c r="N17" s="63">
        <v>1500</v>
      </c>
      <c r="O17" s="52">
        <f t="shared" ref="O17:O44" si="26">O16</f>
        <v>90</v>
      </c>
      <c r="P17" s="54">
        <f t="shared" si="1"/>
        <v>3709.5843049782025</v>
      </c>
      <c r="Q17" s="54">
        <f t="shared" si="2"/>
        <v>2889.5843049782025</v>
      </c>
      <c r="R17" s="64">
        <f t="shared" si="10"/>
        <v>0</v>
      </c>
      <c r="S17" s="65">
        <f t="shared" si="11"/>
        <v>9073.2947176315556</v>
      </c>
      <c r="T17" s="67">
        <f t="shared" si="12"/>
        <v>0</v>
      </c>
      <c r="U17" s="65">
        <f t="shared" si="13"/>
        <v>0</v>
      </c>
      <c r="V17" s="65">
        <f t="shared" si="14"/>
        <v>606.375</v>
      </c>
      <c r="W17" s="65">
        <f t="shared" si="15"/>
        <v>396.2</v>
      </c>
      <c r="X17" s="65">
        <f t="shared" si="16"/>
        <v>2232.5</v>
      </c>
      <c r="Y17" s="65">
        <f t="shared" si="17"/>
        <v>1222</v>
      </c>
      <c r="Z17" s="65">
        <f t="shared" si="18"/>
        <v>0</v>
      </c>
      <c r="AA17" s="65">
        <f t="shared" si="19"/>
        <v>4457.0749999999998</v>
      </c>
      <c r="AB17" s="65">
        <f t="shared" si="20"/>
        <v>610.7203432</v>
      </c>
      <c r="AC17" s="12">
        <f t="shared" si="21"/>
        <v>14141.090060831555</v>
      </c>
      <c r="AD17"/>
      <c r="AE17" s="71">
        <f t="shared" si="3"/>
        <v>1783.8486950217975</v>
      </c>
      <c r="AF17" s="14">
        <f t="shared" si="4"/>
        <v>78.489342580959089</v>
      </c>
      <c r="AG17"/>
      <c r="AH17" s="42">
        <f t="shared" si="5"/>
        <v>14062.600718250596</v>
      </c>
      <c r="AI17" s="97">
        <v>13805.256884832201</v>
      </c>
      <c r="AJ17" s="6">
        <f t="shared" si="22"/>
        <v>257.34383341839566</v>
      </c>
      <c r="AM17"/>
    </row>
    <row r="18" spans="1:39" x14ac:dyDescent="0.25">
      <c r="A18" s="86">
        <f t="shared" si="24"/>
        <v>37108</v>
      </c>
      <c r="B18" s="5"/>
      <c r="C18" s="100">
        <v>4900.1040000000003</v>
      </c>
      <c r="D18" s="96">
        <f t="shared" si="6"/>
        <v>4978.5056640000003</v>
      </c>
      <c r="E18" s="99">
        <v>4968.1679002331957</v>
      </c>
      <c r="F18" s="52">
        <f t="shared" si="0"/>
        <v>4968.1679002331957</v>
      </c>
      <c r="G18" s="29">
        <f t="shared" si="7"/>
        <v>0</v>
      </c>
      <c r="H18" s="11"/>
      <c r="I18" s="61">
        <f t="shared" si="23"/>
        <v>0</v>
      </c>
      <c r="J18" s="98">
        <v>910</v>
      </c>
      <c r="K18" s="52">
        <f t="shared" si="8"/>
        <v>-910</v>
      </c>
      <c r="L18" s="54">
        <f t="shared" si="25"/>
        <v>4058.1679002331957</v>
      </c>
      <c r="M18" s="52">
        <f t="shared" si="9"/>
        <v>910</v>
      </c>
      <c r="N18" s="52">
        <f>N17</f>
        <v>1500</v>
      </c>
      <c r="O18" s="52">
        <f t="shared" si="26"/>
        <v>90</v>
      </c>
      <c r="P18" s="54">
        <f t="shared" si="1"/>
        <v>3378.1679002331957</v>
      </c>
      <c r="Q18" s="54">
        <f t="shared" si="2"/>
        <v>2558.1679002331957</v>
      </c>
      <c r="R18" s="64">
        <f t="shared" si="10"/>
        <v>0</v>
      </c>
      <c r="S18" s="65">
        <f t="shared" si="11"/>
        <v>8032.6472067322347</v>
      </c>
      <c r="T18" s="67">
        <f t="shared" si="12"/>
        <v>0</v>
      </c>
      <c r="U18" s="65">
        <f t="shared" si="13"/>
        <v>0</v>
      </c>
      <c r="V18" s="65">
        <f t="shared" si="14"/>
        <v>606.375</v>
      </c>
      <c r="W18" s="65">
        <f t="shared" si="15"/>
        <v>396.2</v>
      </c>
      <c r="X18" s="65">
        <f t="shared" si="16"/>
        <v>2232.5</v>
      </c>
      <c r="Y18" s="65">
        <f t="shared" si="17"/>
        <v>1222</v>
      </c>
      <c r="Z18" s="65">
        <f t="shared" si="18"/>
        <v>0</v>
      </c>
      <c r="AA18" s="65">
        <f t="shared" si="19"/>
        <v>4457.0749999999998</v>
      </c>
      <c r="AB18" s="65">
        <f t="shared" si="20"/>
        <v>572.52815136000004</v>
      </c>
      <c r="AC18" s="12">
        <f t="shared" si="21"/>
        <v>13062.250358092235</v>
      </c>
      <c r="AD18"/>
      <c r="AE18" s="71">
        <f t="shared" si="3"/>
        <v>2115.2650997668043</v>
      </c>
      <c r="AF18" s="14">
        <f t="shared" si="4"/>
        <v>93.071664389739382</v>
      </c>
      <c r="AG18"/>
      <c r="AH18" s="42">
        <f t="shared" si="5"/>
        <v>12969.178693702495</v>
      </c>
      <c r="AI18" s="97">
        <v>12727.018633932881</v>
      </c>
      <c r="AJ18" s="6">
        <f t="shared" si="22"/>
        <v>242.16005976961424</v>
      </c>
      <c r="AM18"/>
    </row>
    <row r="19" spans="1:39" x14ac:dyDescent="0.25">
      <c r="A19" s="86">
        <f t="shared" si="24"/>
        <v>37109</v>
      </c>
      <c r="B19" s="5"/>
      <c r="C19" s="100">
        <v>5355.5039999999999</v>
      </c>
      <c r="D19" s="96">
        <f t="shared" si="6"/>
        <v>5441.1920639999998</v>
      </c>
      <c r="E19" s="99">
        <v>5429.893541518808</v>
      </c>
      <c r="F19" s="52">
        <f t="shared" si="0"/>
        <v>5429.893541518808</v>
      </c>
      <c r="G19" s="29">
        <f t="shared" si="7"/>
        <v>0</v>
      </c>
      <c r="H19" s="11"/>
      <c r="I19" s="61">
        <f t="shared" si="23"/>
        <v>0</v>
      </c>
      <c r="J19" s="98">
        <v>910</v>
      </c>
      <c r="K19" s="52">
        <f t="shared" si="8"/>
        <v>-910</v>
      </c>
      <c r="L19" s="54">
        <f t="shared" si="25"/>
        <v>4519.893541518808</v>
      </c>
      <c r="M19" s="52">
        <f t="shared" si="9"/>
        <v>910</v>
      </c>
      <c r="N19" s="52">
        <f t="shared" ref="N19:N44" si="27">N18</f>
        <v>1500</v>
      </c>
      <c r="O19" s="52">
        <f t="shared" si="26"/>
        <v>90</v>
      </c>
      <c r="P19" s="54">
        <f t="shared" si="1"/>
        <v>3839.893541518808</v>
      </c>
      <c r="Q19" s="54">
        <f t="shared" si="2"/>
        <v>3019.893541518808</v>
      </c>
      <c r="R19" s="64">
        <f t="shared" si="10"/>
        <v>0</v>
      </c>
      <c r="S19" s="65">
        <f t="shared" si="11"/>
        <v>9482.4657203690567</v>
      </c>
      <c r="T19" s="67">
        <f t="shared" si="12"/>
        <v>0</v>
      </c>
      <c r="U19" s="65">
        <f t="shared" si="13"/>
        <v>0</v>
      </c>
      <c r="V19" s="65">
        <f t="shared" si="14"/>
        <v>606.375</v>
      </c>
      <c r="W19" s="65">
        <f t="shared" si="15"/>
        <v>396.2</v>
      </c>
      <c r="X19" s="65">
        <f t="shared" si="16"/>
        <v>2232.5</v>
      </c>
      <c r="Y19" s="65">
        <f t="shared" si="17"/>
        <v>1222</v>
      </c>
      <c r="Z19" s="65">
        <f t="shared" si="18"/>
        <v>0</v>
      </c>
      <c r="AA19" s="65">
        <f t="shared" si="19"/>
        <v>4457.0749999999998</v>
      </c>
      <c r="AB19" s="65">
        <f t="shared" si="20"/>
        <v>625.73708736000003</v>
      </c>
      <c r="AC19" s="12">
        <f t="shared" si="21"/>
        <v>14565.277807729057</v>
      </c>
      <c r="AD19"/>
      <c r="AE19" s="71">
        <f t="shared" si="3"/>
        <v>1653.539458481192</v>
      </c>
      <c r="AF19" s="14">
        <f t="shared" si="4"/>
        <v>72.755736173172451</v>
      </c>
      <c r="AG19"/>
      <c r="AH19" s="42">
        <f t="shared" si="5"/>
        <v>14492.522071555884</v>
      </c>
      <c r="AI19" s="97">
        <v>14229.208147569707</v>
      </c>
      <c r="AJ19" s="6">
        <f t="shared" si="22"/>
        <v>263.31392398617754</v>
      </c>
      <c r="AM19"/>
    </row>
    <row r="20" spans="1:39" x14ac:dyDescent="0.25">
      <c r="A20" s="86">
        <f t="shared" si="24"/>
        <v>37110</v>
      </c>
      <c r="B20" s="5"/>
      <c r="C20" s="100">
        <v>5180.4279999999999</v>
      </c>
      <c r="D20" s="96">
        <f t="shared" si="6"/>
        <v>5263.314848</v>
      </c>
      <c r="E20" s="99">
        <v>5252.3856838690053</v>
      </c>
      <c r="F20" s="52">
        <f t="shared" si="0"/>
        <v>5252.3856838690053</v>
      </c>
      <c r="G20" s="29">
        <f t="shared" si="7"/>
        <v>0</v>
      </c>
      <c r="H20" s="11"/>
      <c r="I20" s="61">
        <f t="shared" si="23"/>
        <v>0</v>
      </c>
      <c r="J20" s="98">
        <v>910</v>
      </c>
      <c r="K20" s="52">
        <f t="shared" si="8"/>
        <v>-910</v>
      </c>
      <c r="L20" s="54">
        <f t="shared" si="25"/>
        <v>4342.3856838690053</v>
      </c>
      <c r="M20" s="52">
        <f t="shared" si="9"/>
        <v>910</v>
      </c>
      <c r="N20" s="52">
        <f t="shared" si="27"/>
        <v>1500</v>
      </c>
      <c r="O20" s="52">
        <f t="shared" si="26"/>
        <v>90</v>
      </c>
      <c r="P20" s="54">
        <f t="shared" si="1"/>
        <v>3662.3856838690053</v>
      </c>
      <c r="Q20" s="54">
        <f t="shared" si="2"/>
        <v>2842.3856838690053</v>
      </c>
      <c r="R20" s="64">
        <f t="shared" si="10"/>
        <v>0</v>
      </c>
      <c r="S20" s="65">
        <f t="shared" si="11"/>
        <v>8925.0910473486765</v>
      </c>
      <c r="T20" s="67">
        <f t="shared" si="12"/>
        <v>0</v>
      </c>
      <c r="U20" s="65">
        <f t="shared" si="13"/>
        <v>0</v>
      </c>
      <c r="V20" s="65">
        <f t="shared" si="14"/>
        <v>606.375</v>
      </c>
      <c r="W20" s="65">
        <f t="shared" si="15"/>
        <v>396.2</v>
      </c>
      <c r="X20" s="65">
        <f t="shared" si="16"/>
        <v>2232.5</v>
      </c>
      <c r="Y20" s="65">
        <f t="shared" si="17"/>
        <v>1222</v>
      </c>
      <c r="Z20" s="65">
        <f t="shared" si="18"/>
        <v>0</v>
      </c>
      <c r="AA20" s="65">
        <f t="shared" si="19"/>
        <v>4457.0749999999998</v>
      </c>
      <c r="AB20" s="65">
        <f t="shared" si="20"/>
        <v>605.28120752000007</v>
      </c>
      <c r="AC20" s="12">
        <f t="shared" si="21"/>
        <v>13987.447254868675</v>
      </c>
      <c r="AD20"/>
      <c r="AE20" s="71">
        <f t="shared" si="3"/>
        <v>1831.0473161309947</v>
      </c>
      <c r="AF20" s="14">
        <f t="shared" si="4"/>
        <v>80.566081909763767</v>
      </c>
      <c r="AG20"/>
      <c r="AH20" s="42">
        <f t="shared" si="5"/>
        <v>13906.881172958912</v>
      </c>
      <c r="AI20" s="97">
        <v>13651.699734549326</v>
      </c>
      <c r="AJ20" s="6">
        <f t="shared" si="22"/>
        <v>255.18143840958692</v>
      </c>
      <c r="AM20"/>
    </row>
    <row r="21" spans="1:39" x14ac:dyDescent="0.25">
      <c r="A21" s="86">
        <f t="shared" si="24"/>
        <v>37111</v>
      </c>
      <c r="B21" s="5"/>
      <c r="C21" s="100">
        <v>5225.9679999999998</v>
      </c>
      <c r="D21" s="96">
        <f t="shared" si="6"/>
        <v>5309.5834880000002</v>
      </c>
      <c r="E21" s="99">
        <v>5298.5582479975665</v>
      </c>
      <c r="F21" s="52">
        <f t="shared" si="0"/>
        <v>5298.5582479975665</v>
      </c>
      <c r="G21" s="29">
        <f t="shared" si="7"/>
        <v>0</v>
      </c>
      <c r="H21" s="11"/>
      <c r="I21" s="61">
        <f t="shared" si="23"/>
        <v>0</v>
      </c>
      <c r="J21" s="98">
        <v>910</v>
      </c>
      <c r="K21" s="52">
        <f t="shared" si="8"/>
        <v>-910</v>
      </c>
      <c r="L21" s="54">
        <f t="shared" si="25"/>
        <v>4388.5582479975665</v>
      </c>
      <c r="M21" s="52">
        <f t="shared" si="9"/>
        <v>910</v>
      </c>
      <c r="N21" s="52">
        <f t="shared" si="27"/>
        <v>1500</v>
      </c>
      <c r="O21" s="52">
        <f t="shared" si="26"/>
        <v>90</v>
      </c>
      <c r="P21" s="54">
        <f t="shared" si="1"/>
        <v>3708.5582479975665</v>
      </c>
      <c r="Q21" s="54">
        <f t="shared" si="2"/>
        <v>2888.5582479975665</v>
      </c>
      <c r="R21" s="64">
        <f t="shared" si="10"/>
        <v>0</v>
      </c>
      <c r="S21" s="65">
        <f t="shared" si="11"/>
        <v>9070.0728987123584</v>
      </c>
      <c r="T21" s="67">
        <f t="shared" si="12"/>
        <v>0</v>
      </c>
      <c r="U21" s="65">
        <f t="shared" si="13"/>
        <v>0</v>
      </c>
      <c r="V21" s="65">
        <f t="shared" si="14"/>
        <v>606.375</v>
      </c>
      <c r="W21" s="65">
        <f t="shared" si="15"/>
        <v>396.2</v>
      </c>
      <c r="X21" s="65">
        <f t="shared" si="16"/>
        <v>2232.5</v>
      </c>
      <c r="Y21" s="65">
        <f t="shared" si="17"/>
        <v>1222</v>
      </c>
      <c r="Z21" s="65">
        <f t="shared" si="18"/>
        <v>0</v>
      </c>
      <c r="AA21" s="65">
        <f t="shared" si="19"/>
        <v>4457.0749999999998</v>
      </c>
      <c r="AB21" s="65">
        <f t="shared" si="20"/>
        <v>610.60210112000004</v>
      </c>
      <c r="AC21" s="12">
        <f t="shared" si="21"/>
        <v>14137.749999832358</v>
      </c>
      <c r="AD21"/>
      <c r="AE21" s="71">
        <f t="shared" si="3"/>
        <v>1784.8747520024335</v>
      </c>
      <c r="AF21" s="14">
        <f t="shared" si="4"/>
        <v>78.534489088107065</v>
      </c>
      <c r="AG21"/>
      <c r="AH21" s="42">
        <f t="shared" si="5"/>
        <v>14059.21551074425</v>
      </c>
      <c r="AI21" s="97">
        <v>13801.918685913011</v>
      </c>
      <c r="AJ21" s="6">
        <f t="shared" si="22"/>
        <v>257.29682483123906</v>
      </c>
      <c r="AM21"/>
    </row>
    <row r="22" spans="1:39" x14ac:dyDescent="0.25">
      <c r="A22" s="86">
        <f t="shared" si="24"/>
        <v>37112</v>
      </c>
      <c r="B22" s="5"/>
      <c r="C22" s="100">
        <v>5339.3119999999999</v>
      </c>
      <c r="D22" s="96">
        <f t="shared" si="6"/>
        <v>5424.740992</v>
      </c>
      <c r="E22" s="99">
        <v>5413.4766298286531</v>
      </c>
      <c r="F22" s="52">
        <f t="shared" si="0"/>
        <v>5413.4766298286531</v>
      </c>
      <c r="G22" s="29">
        <f t="shared" si="7"/>
        <v>0</v>
      </c>
      <c r="H22" s="11"/>
      <c r="I22" s="61">
        <f t="shared" si="23"/>
        <v>0</v>
      </c>
      <c r="J22" s="98">
        <v>910</v>
      </c>
      <c r="K22" s="52">
        <f t="shared" si="8"/>
        <v>-910</v>
      </c>
      <c r="L22" s="54">
        <f t="shared" si="25"/>
        <v>4503.4766298286531</v>
      </c>
      <c r="M22" s="52">
        <f t="shared" si="9"/>
        <v>910</v>
      </c>
      <c r="N22" s="52">
        <f t="shared" si="27"/>
        <v>1500</v>
      </c>
      <c r="O22" s="52">
        <f t="shared" si="26"/>
        <v>90</v>
      </c>
      <c r="P22" s="54">
        <f t="shared" si="1"/>
        <v>3823.4766298286531</v>
      </c>
      <c r="Q22" s="54">
        <f t="shared" si="2"/>
        <v>3003.4766298286531</v>
      </c>
      <c r="R22" s="64">
        <f t="shared" si="10"/>
        <v>0</v>
      </c>
      <c r="S22" s="65">
        <f t="shared" si="11"/>
        <v>9430.916617661971</v>
      </c>
      <c r="T22" s="67">
        <f t="shared" si="12"/>
        <v>0</v>
      </c>
      <c r="U22" s="65">
        <f t="shared" si="13"/>
        <v>0</v>
      </c>
      <c r="V22" s="65">
        <f t="shared" si="14"/>
        <v>606.375</v>
      </c>
      <c r="W22" s="65">
        <f t="shared" si="15"/>
        <v>396.2</v>
      </c>
      <c r="X22" s="65">
        <f t="shared" si="16"/>
        <v>2232.5</v>
      </c>
      <c r="Y22" s="65">
        <f t="shared" si="17"/>
        <v>1222</v>
      </c>
      <c r="Z22" s="65">
        <f t="shared" si="18"/>
        <v>0</v>
      </c>
      <c r="AA22" s="65">
        <f t="shared" si="19"/>
        <v>4457.0749999999998</v>
      </c>
      <c r="AB22" s="65">
        <f t="shared" si="20"/>
        <v>623.84521408000001</v>
      </c>
      <c r="AC22" s="12">
        <f t="shared" si="21"/>
        <v>14511.83683174197</v>
      </c>
      <c r="AD22"/>
      <c r="AE22" s="71">
        <f t="shared" si="3"/>
        <v>1669.9563701713469</v>
      </c>
      <c r="AF22" s="14">
        <f t="shared" si="4"/>
        <v>73.478080287539257</v>
      </c>
      <c r="AG22"/>
      <c r="AH22" s="42">
        <f t="shared" si="5"/>
        <v>14438.358751454431</v>
      </c>
      <c r="AI22" s="97">
        <v>14175.79696486262</v>
      </c>
      <c r="AJ22" s="6">
        <f t="shared" si="22"/>
        <v>262.56178659181023</v>
      </c>
      <c r="AM22"/>
    </row>
    <row r="23" spans="1:39" x14ac:dyDescent="0.25">
      <c r="A23" s="86">
        <f t="shared" si="24"/>
        <v>37113</v>
      </c>
      <c r="B23" s="5"/>
      <c r="C23" s="100">
        <v>5585.2280000000001</v>
      </c>
      <c r="D23" s="96">
        <f t="shared" si="6"/>
        <v>5674.5916480000005</v>
      </c>
      <c r="E23" s="99">
        <v>5662.8084761228838</v>
      </c>
      <c r="F23" s="52">
        <f t="shared" si="0"/>
        <v>5662.8084761228838</v>
      </c>
      <c r="G23" s="29">
        <f t="shared" si="7"/>
        <v>0</v>
      </c>
      <c r="H23" s="11"/>
      <c r="I23" s="61">
        <f t="shared" si="23"/>
        <v>0</v>
      </c>
      <c r="J23" s="98">
        <v>910</v>
      </c>
      <c r="K23" s="52">
        <f t="shared" si="8"/>
        <v>-910</v>
      </c>
      <c r="L23" s="54">
        <f t="shared" si="25"/>
        <v>4752.8084761228838</v>
      </c>
      <c r="M23" s="52">
        <f t="shared" si="9"/>
        <v>910</v>
      </c>
      <c r="N23" s="52">
        <f t="shared" si="27"/>
        <v>1500</v>
      </c>
      <c r="O23" s="52">
        <f t="shared" si="26"/>
        <v>90</v>
      </c>
      <c r="P23" s="54">
        <f t="shared" si="1"/>
        <v>4072.8084761228838</v>
      </c>
      <c r="Q23" s="54">
        <f t="shared" si="2"/>
        <v>3252.8084761228838</v>
      </c>
      <c r="R23" s="64">
        <f t="shared" si="10"/>
        <v>0</v>
      </c>
      <c r="S23" s="65">
        <f t="shared" si="11"/>
        <v>10213.818615025855</v>
      </c>
      <c r="T23" s="67">
        <f t="shared" si="12"/>
        <v>0</v>
      </c>
      <c r="U23" s="65">
        <f t="shared" si="13"/>
        <v>0</v>
      </c>
      <c r="V23" s="65">
        <f t="shared" si="14"/>
        <v>606.375</v>
      </c>
      <c r="W23" s="65">
        <f t="shared" si="15"/>
        <v>396.2</v>
      </c>
      <c r="X23" s="65">
        <f t="shared" si="16"/>
        <v>2232.5</v>
      </c>
      <c r="Y23" s="65">
        <f t="shared" si="17"/>
        <v>1222</v>
      </c>
      <c r="Z23" s="65">
        <f t="shared" si="18"/>
        <v>0</v>
      </c>
      <c r="AA23" s="65">
        <f t="shared" si="19"/>
        <v>4457.0749999999998</v>
      </c>
      <c r="AB23" s="65">
        <f t="shared" si="20"/>
        <v>652.57803952000006</v>
      </c>
      <c r="AC23" s="12">
        <f t="shared" si="21"/>
        <v>15323.471654545854</v>
      </c>
      <c r="AD23"/>
      <c r="AE23" s="71">
        <f t="shared" si="3"/>
        <v>1420.6245238771162</v>
      </c>
      <c r="AF23" s="14">
        <f t="shared" si="4"/>
        <v>62.507479050593112</v>
      </c>
      <c r="AG23"/>
      <c r="AH23" s="42">
        <f t="shared" si="5"/>
        <v>15260.964175495261</v>
      </c>
      <c r="AI23" s="97">
        <v>14986.979302226504</v>
      </c>
      <c r="AJ23" s="6">
        <f t="shared" si="22"/>
        <v>273.98487326875693</v>
      </c>
      <c r="AM23"/>
    </row>
    <row r="24" spans="1:39" x14ac:dyDescent="0.25">
      <c r="A24" s="89">
        <f t="shared" si="24"/>
        <v>37114</v>
      </c>
      <c r="B24" s="5"/>
      <c r="C24" s="100">
        <v>5521.4719999999998</v>
      </c>
      <c r="D24" s="96">
        <f t="shared" si="6"/>
        <v>5609.815552</v>
      </c>
      <c r="E24" s="99">
        <v>5598.1668863428977</v>
      </c>
      <c r="F24" s="52">
        <f t="shared" si="0"/>
        <v>5598.1668863428977</v>
      </c>
      <c r="G24" s="29">
        <f t="shared" si="7"/>
        <v>0</v>
      </c>
      <c r="H24" s="11"/>
      <c r="I24" s="61">
        <f t="shared" si="23"/>
        <v>0</v>
      </c>
      <c r="J24" s="98">
        <v>910</v>
      </c>
      <c r="K24" s="52">
        <f t="shared" si="8"/>
        <v>-910</v>
      </c>
      <c r="L24" s="54">
        <f t="shared" si="25"/>
        <v>4688.1668863428977</v>
      </c>
      <c r="M24" s="52">
        <f t="shared" si="9"/>
        <v>910</v>
      </c>
      <c r="N24" s="52">
        <f t="shared" si="27"/>
        <v>1500</v>
      </c>
      <c r="O24" s="52">
        <f t="shared" si="26"/>
        <v>90</v>
      </c>
      <c r="P24" s="54">
        <f t="shared" si="1"/>
        <v>4008.1668863428977</v>
      </c>
      <c r="Q24" s="54">
        <f t="shared" si="2"/>
        <v>3188.1668863428977</v>
      </c>
      <c r="R24" s="64">
        <f t="shared" si="10"/>
        <v>0</v>
      </c>
      <c r="S24" s="65">
        <f t="shared" si="11"/>
        <v>10010.844023116699</v>
      </c>
      <c r="T24" s="67">
        <f t="shared" si="12"/>
        <v>0</v>
      </c>
      <c r="U24" s="65">
        <f t="shared" si="13"/>
        <v>0</v>
      </c>
      <c r="V24" s="65">
        <f t="shared" si="14"/>
        <v>606.375</v>
      </c>
      <c r="W24" s="65">
        <f t="shared" si="15"/>
        <v>396.2</v>
      </c>
      <c r="X24" s="65">
        <f t="shared" si="16"/>
        <v>2232.5</v>
      </c>
      <c r="Y24" s="65">
        <f t="shared" si="17"/>
        <v>1222</v>
      </c>
      <c r="Z24" s="65">
        <f t="shared" si="18"/>
        <v>0</v>
      </c>
      <c r="AA24" s="65">
        <f t="shared" si="19"/>
        <v>4457.0749999999998</v>
      </c>
      <c r="AB24" s="65">
        <f t="shared" si="20"/>
        <v>645.12878848000003</v>
      </c>
      <c r="AC24" s="12">
        <f t="shared" si="21"/>
        <v>15113.047811596698</v>
      </c>
      <c r="AD24"/>
      <c r="AE24" s="71">
        <f t="shared" si="3"/>
        <v>1485.2661136571023</v>
      </c>
      <c r="AF24" s="14">
        <f t="shared" si="4"/>
        <v>65.351709000912493</v>
      </c>
      <c r="AG24"/>
      <c r="AH24" s="42">
        <f t="shared" si="5"/>
        <v>15047.696102595786</v>
      </c>
      <c r="AI24" s="97">
        <v>14776.672770317347</v>
      </c>
      <c r="AJ24" s="6">
        <f t="shared" si="22"/>
        <v>271.02333227843883</v>
      </c>
      <c r="AM24"/>
    </row>
    <row r="25" spans="1:39" x14ac:dyDescent="0.25">
      <c r="A25" s="89">
        <f t="shared" si="24"/>
        <v>37115</v>
      </c>
      <c r="B25" s="5"/>
      <c r="C25" s="100">
        <v>5467.8360000000002</v>
      </c>
      <c r="D25" s="96">
        <f t="shared" si="6"/>
        <v>5555.3213759999999</v>
      </c>
      <c r="E25" s="99">
        <v>5543.7858663692596</v>
      </c>
      <c r="F25" s="52">
        <f t="shared" si="0"/>
        <v>5543.7858663692596</v>
      </c>
      <c r="G25" s="29">
        <f t="shared" si="7"/>
        <v>0</v>
      </c>
      <c r="H25" s="11"/>
      <c r="I25" s="61">
        <f t="shared" si="23"/>
        <v>0</v>
      </c>
      <c r="J25" s="98">
        <v>910</v>
      </c>
      <c r="K25" s="52">
        <f t="shared" si="8"/>
        <v>-910</v>
      </c>
      <c r="L25" s="54">
        <f t="shared" si="25"/>
        <v>4633.7858663692596</v>
      </c>
      <c r="M25" s="52">
        <f t="shared" si="9"/>
        <v>910</v>
      </c>
      <c r="N25" s="52">
        <f t="shared" si="27"/>
        <v>1500</v>
      </c>
      <c r="O25" s="52">
        <f t="shared" si="26"/>
        <v>90</v>
      </c>
      <c r="P25" s="54">
        <f t="shared" si="1"/>
        <v>3953.7858663692596</v>
      </c>
      <c r="Q25" s="54">
        <f t="shared" si="2"/>
        <v>3133.7858663692596</v>
      </c>
      <c r="R25" s="64">
        <f t="shared" si="10"/>
        <v>0</v>
      </c>
      <c r="S25" s="65">
        <f t="shared" si="11"/>
        <v>9840.0876203994758</v>
      </c>
      <c r="T25" s="67">
        <f t="shared" si="12"/>
        <v>0</v>
      </c>
      <c r="U25" s="65">
        <f t="shared" si="13"/>
        <v>0</v>
      </c>
      <c r="V25" s="65">
        <f t="shared" si="14"/>
        <v>606.375</v>
      </c>
      <c r="W25" s="65">
        <f t="shared" si="15"/>
        <v>396.2</v>
      </c>
      <c r="X25" s="65">
        <f t="shared" si="16"/>
        <v>2232.5</v>
      </c>
      <c r="Y25" s="65">
        <f t="shared" si="17"/>
        <v>1222</v>
      </c>
      <c r="Z25" s="65">
        <f t="shared" si="18"/>
        <v>0</v>
      </c>
      <c r="AA25" s="65">
        <f t="shared" si="19"/>
        <v>4457.0749999999998</v>
      </c>
      <c r="AB25" s="65">
        <f t="shared" si="20"/>
        <v>638.86195824000004</v>
      </c>
      <c r="AC25" s="12">
        <f t="shared" si="21"/>
        <v>14936.024578639475</v>
      </c>
      <c r="AD25"/>
      <c r="AE25" s="71">
        <f t="shared" si="3"/>
        <v>1539.6471336307404</v>
      </c>
      <c r="AF25" s="14">
        <f t="shared" si="4"/>
        <v>67.744473879752576</v>
      </c>
      <c r="AG25"/>
      <c r="AH25" s="42">
        <f t="shared" si="5"/>
        <v>14868.280104759722</v>
      </c>
      <c r="AI25" s="97">
        <v>14599.748227600125</v>
      </c>
      <c r="AJ25" s="6">
        <f t="shared" si="22"/>
        <v>268.53187715959757</v>
      </c>
      <c r="AM25"/>
    </row>
    <row r="26" spans="1:39" x14ac:dyDescent="0.25">
      <c r="A26" s="86">
        <f t="shared" si="24"/>
        <v>37116</v>
      </c>
      <c r="B26" s="5"/>
      <c r="C26" s="100">
        <v>5958.6559999999999</v>
      </c>
      <c r="D26" s="96">
        <f t="shared" si="6"/>
        <v>6053.9944960000003</v>
      </c>
      <c r="E26" s="99">
        <v>6041.4235019770867</v>
      </c>
      <c r="F26" s="52">
        <f t="shared" si="0"/>
        <v>6041.4235019770867</v>
      </c>
      <c r="G26" s="29">
        <f t="shared" si="7"/>
        <v>0</v>
      </c>
      <c r="H26" s="11"/>
      <c r="I26" s="61">
        <f t="shared" si="23"/>
        <v>0</v>
      </c>
      <c r="J26" s="98">
        <v>910</v>
      </c>
      <c r="K26" s="52">
        <f t="shared" si="8"/>
        <v>-910</v>
      </c>
      <c r="L26" s="54">
        <f t="shared" si="25"/>
        <v>5131.4235019770867</v>
      </c>
      <c r="M26" s="52">
        <f t="shared" si="9"/>
        <v>910</v>
      </c>
      <c r="N26" s="52">
        <f t="shared" si="27"/>
        <v>1500</v>
      </c>
      <c r="O26" s="52">
        <f t="shared" si="26"/>
        <v>90</v>
      </c>
      <c r="P26" s="54">
        <f t="shared" si="1"/>
        <v>4451.4235019770867</v>
      </c>
      <c r="Q26" s="54">
        <f t="shared" si="2"/>
        <v>3631.4235019770867</v>
      </c>
      <c r="R26" s="64">
        <f t="shared" si="10"/>
        <v>0</v>
      </c>
      <c r="S26" s="65">
        <f t="shared" si="11"/>
        <v>11402.669796208053</v>
      </c>
      <c r="T26" s="67">
        <f t="shared" si="12"/>
        <v>0</v>
      </c>
      <c r="U26" s="65">
        <f t="shared" si="13"/>
        <v>0</v>
      </c>
      <c r="V26" s="65">
        <f t="shared" si="14"/>
        <v>606.375</v>
      </c>
      <c r="W26" s="65">
        <f t="shared" si="15"/>
        <v>396.2</v>
      </c>
      <c r="X26" s="65">
        <f t="shared" si="16"/>
        <v>2232.5</v>
      </c>
      <c r="Y26" s="65">
        <f t="shared" si="17"/>
        <v>1222</v>
      </c>
      <c r="Z26" s="65">
        <f t="shared" si="18"/>
        <v>0</v>
      </c>
      <c r="AA26" s="65">
        <f t="shared" si="19"/>
        <v>4457.0749999999998</v>
      </c>
      <c r="AB26" s="65">
        <f t="shared" si="20"/>
        <v>696.20936704000007</v>
      </c>
      <c r="AC26" s="12">
        <f t="shared" si="21"/>
        <v>16555.954163248054</v>
      </c>
      <c r="AD26"/>
      <c r="AE26" s="71">
        <f t="shared" si="3"/>
        <v>1042.0094980229132</v>
      </c>
      <c r="AF26" s="14">
        <f t="shared" si="4"/>
        <v>45.848417913008177</v>
      </c>
      <c r="AG26"/>
      <c r="AH26" s="42">
        <f t="shared" si="5"/>
        <v>16510.105745335048</v>
      </c>
      <c r="AI26" s="97">
        <v>16218.774703408702</v>
      </c>
      <c r="AJ26" s="6">
        <f t="shared" si="22"/>
        <v>291.33104192634528</v>
      </c>
      <c r="AM26"/>
    </row>
    <row r="27" spans="1:39" x14ac:dyDescent="0.25">
      <c r="A27" s="86">
        <f t="shared" si="24"/>
        <v>37117</v>
      </c>
      <c r="B27" s="5"/>
      <c r="C27" s="100">
        <v>6066.94</v>
      </c>
      <c r="D27" s="96">
        <f t="shared" si="6"/>
        <v>6164.0110399999994</v>
      </c>
      <c r="E27" s="99">
        <v>6151.2115989049989</v>
      </c>
      <c r="F27" s="52">
        <f t="shared" si="0"/>
        <v>6151.2115989049989</v>
      </c>
      <c r="G27" s="29">
        <f t="shared" si="7"/>
        <v>0</v>
      </c>
      <c r="H27" s="11"/>
      <c r="I27" s="61">
        <f t="shared" si="23"/>
        <v>0</v>
      </c>
      <c r="J27" s="98">
        <v>910</v>
      </c>
      <c r="K27" s="52">
        <f t="shared" si="8"/>
        <v>-910</v>
      </c>
      <c r="L27" s="54">
        <f t="shared" si="25"/>
        <v>5241.2115989049989</v>
      </c>
      <c r="M27" s="52">
        <f t="shared" si="9"/>
        <v>910</v>
      </c>
      <c r="N27" s="52">
        <f t="shared" si="27"/>
        <v>1500</v>
      </c>
      <c r="O27" s="52">
        <f t="shared" si="26"/>
        <v>90</v>
      </c>
      <c r="P27" s="54">
        <f t="shared" si="1"/>
        <v>4561.2115989049989</v>
      </c>
      <c r="Q27" s="54">
        <f t="shared" si="2"/>
        <v>3741.2115989049989</v>
      </c>
      <c r="R27" s="64">
        <f t="shared" si="10"/>
        <v>0</v>
      </c>
      <c r="S27" s="65">
        <f t="shared" si="11"/>
        <v>11747.404420561697</v>
      </c>
      <c r="T27" s="67">
        <f t="shared" si="12"/>
        <v>0</v>
      </c>
      <c r="U27" s="65">
        <f t="shared" si="13"/>
        <v>0</v>
      </c>
      <c r="V27" s="65">
        <f t="shared" si="14"/>
        <v>606.375</v>
      </c>
      <c r="W27" s="65">
        <f t="shared" si="15"/>
        <v>396.2</v>
      </c>
      <c r="X27" s="65">
        <f t="shared" si="16"/>
        <v>2232.5</v>
      </c>
      <c r="Y27" s="65">
        <f t="shared" si="17"/>
        <v>1222</v>
      </c>
      <c r="Z27" s="65">
        <f t="shared" si="18"/>
        <v>0</v>
      </c>
      <c r="AA27" s="65">
        <f t="shared" si="19"/>
        <v>4457.0749999999998</v>
      </c>
      <c r="AB27" s="65">
        <f t="shared" si="20"/>
        <v>708.86126960000001</v>
      </c>
      <c r="AC27" s="12">
        <f t="shared" si="21"/>
        <v>16913.340690161698</v>
      </c>
      <c r="AD27"/>
      <c r="AE27" s="71">
        <f t="shared" si="3"/>
        <v>932.22140109500106</v>
      </c>
      <c r="AF27" s="14">
        <f t="shared" si="4"/>
        <v>41.017741648180042</v>
      </c>
      <c r="AG27"/>
      <c r="AH27" s="42">
        <f t="shared" si="5"/>
        <v>16872.32294851352</v>
      </c>
      <c r="AI27" s="97">
        <v>16575.961987762348</v>
      </c>
      <c r="AJ27" s="6">
        <f t="shared" si="22"/>
        <v>296.36096075117166</v>
      </c>
      <c r="AM27"/>
    </row>
    <row r="28" spans="1:39" x14ac:dyDescent="0.25">
      <c r="A28" s="86">
        <f t="shared" si="24"/>
        <v>37118</v>
      </c>
      <c r="B28" s="5"/>
      <c r="C28" s="100">
        <v>6019.3760000000002</v>
      </c>
      <c r="D28" s="96">
        <f t="shared" si="6"/>
        <v>6115.6860160000006</v>
      </c>
      <c r="E28" s="99">
        <v>6102.9869208151686</v>
      </c>
      <c r="F28" s="52">
        <f t="shared" si="0"/>
        <v>6102.9869208151686</v>
      </c>
      <c r="G28" s="29">
        <f t="shared" si="7"/>
        <v>0</v>
      </c>
      <c r="H28" s="11"/>
      <c r="I28" s="61">
        <f t="shared" si="23"/>
        <v>0</v>
      </c>
      <c r="J28" s="98">
        <v>910</v>
      </c>
      <c r="K28" s="52">
        <f t="shared" si="8"/>
        <v>-910</v>
      </c>
      <c r="L28" s="54">
        <f t="shared" si="25"/>
        <v>5192.9869208151686</v>
      </c>
      <c r="M28" s="52">
        <f t="shared" si="9"/>
        <v>910</v>
      </c>
      <c r="N28" s="52">
        <f t="shared" si="27"/>
        <v>1500</v>
      </c>
      <c r="O28" s="52">
        <f t="shared" si="26"/>
        <v>90</v>
      </c>
      <c r="P28" s="54">
        <f t="shared" si="1"/>
        <v>4512.9869208151686</v>
      </c>
      <c r="Q28" s="54">
        <f t="shared" si="2"/>
        <v>3692.9869208151686</v>
      </c>
      <c r="R28" s="64">
        <f t="shared" si="10"/>
        <v>0</v>
      </c>
      <c r="S28" s="65">
        <f t="shared" si="11"/>
        <v>11595.97893135963</v>
      </c>
      <c r="T28" s="67">
        <f t="shared" si="12"/>
        <v>0</v>
      </c>
      <c r="U28" s="65">
        <f t="shared" si="13"/>
        <v>0</v>
      </c>
      <c r="V28" s="65">
        <f t="shared" si="14"/>
        <v>606.375</v>
      </c>
      <c r="W28" s="65">
        <f t="shared" si="15"/>
        <v>396.2</v>
      </c>
      <c r="X28" s="65">
        <f t="shared" si="16"/>
        <v>2232.5</v>
      </c>
      <c r="Y28" s="65">
        <f t="shared" si="17"/>
        <v>1222</v>
      </c>
      <c r="Z28" s="65">
        <f t="shared" si="18"/>
        <v>0</v>
      </c>
      <c r="AA28" s="65">
        <f t="shared" si="19"/>
        <v>4457.0749999999998</v>
      </c>
      <c r="AB28" s="65">
        <f t="shared" si="20"/>
        <v>703.30389184000012</v>
      </c>
      <c r="AC28" s="12">
        <f t="shared" si="21"/>
        <v>16756.357823199629</v>
      </c>
      <c r="AD28"/>
      <c r="AE28" s="71">
        <f t="shared" si="3"/>
        <v>980.44607918483143</v>
      </c>
      <c r="AF28" s="14">
        <f t="shared" si="4"/>
        <v>43.139627484132582</v>
      </c>
      <c r="AG28"/>
      <c r="AH28" s="42">
        <f t="shared" si="5"/>
        <v>16713.218195715497</v>
      </c>
      <c r="AI28" s="97">
        <v>16419.066638560278</v>
      </c>
      <c r="AJ28" s="6">
        <f t="shared" si="22"/>
        <v>294.15155715521905</v>
      </c>
      <c r="AM28"/>
    </row>
    <row r="29" spans="1:39" x14ac:dyDescent="0.25">
      <c r="A29" s="89">
        <f t="shared" si="24"/>
        <v>37119</v>
      </c>
      <c r="B29" s="5"/>
      <c r="C29" s="100">
        <v>5694.5240000000003</v>
      </c>
      <c r="D29" s="96">
        <f t="shared" si="6"/>
        <v>5785.6363840000004</v>
      </c>
      <c r="E29" s="99">
        <v>5773.6226300314311</v>
      </c>
      <c r="F29" s="52">
        <f t="shared" si="0"/>
        <v>5773.6226300314311</v>
      </c>
      <c r="G29" s="29">
        <f t="shared" si="7"/>
        <v>0</v>
      </c>
      <c r="H29" s="11"/>
      <c r="I29" s="61">
        <f t="shared" si="23"/>
        <v>0</v>
      </c>
      <c r="J29" s="98">
        <v>910</v>
      </c>
      <c r="K29" s="52">
        <f t="shared" si="8"/>
        <v>-910</v>
      </c>
      <c r="L29" s="54">
        <f t="shared" si="25"/>
        <v>4863.6226300314311</v>
      </c>
      <c r="M29" s="52">
        <f t="shared" si="9"/>
        <v>910</v>
      </c>
      <c r="N29" s="52">
        <f t="shared" si="27"/>
        <v>1500</v>
      </c>
      <c r="O29" s="52">
        <f t="shared" si="26"/>
        <v>90</v>
      </c>
      <c r="P29" s="54">
        <f t="shared" si="1"/>
        <v>4183.6226300314311</v>
      </c>
      <c r="Q29" s="54">
        <f t="shared" si="2"/>
        <v>3363.6226300314311</v>
      </c>
      <c r="R29" s="64">
        <f t="shared" si="10"/>
        <v>0</v>
      </c>
      <c r="S29" s="65">
        <f t="shared" si="11"/>
        <v>10561.775058298694</v>
      </c>
      <c r="T29" s="67">
        <f t="shared" si="12"/>
        <v>0</v>
      </c>
      <c r="U29" s="65">
        <f t="shared" si="13"/>
        <v>0</v>
      </c>
      <c r="V29" s="65">
        <f t="shared" si="14"/>
        <v>606.375</v>
      </c>
      <c r="W29" s="65">
        <f t="shared" si="15"/>
        <v>396.2</v>
      </c>
      <c r="X29" s="65">
        <f t="shared" si="16"/>
        <v>2232.5</v>
      </c>
      <c r="Y29" s="65">
        <f t="shared" si="17"/>
        <v>1222</v>
      </c>
      <c r="Z29" s="65">
        <f t="shared" si="18"/>
        <v>0</v>
      </c>
      <c r="AA29" s="65">
        <f t="shared" si="19"/>
        <v>4457.0749999999998</v>
      </c>
      <c r="AB29" s="65">
        <f t="shared" si="20"/>
        <v>665.34818416000007</v>
      </c>
      <c r="AC29" s="12">
        <f t="shared" si="21"/>
        <v>15684.198242458693</v>
      </c>
      <c r="AD29"/>
      <c r="AE29" s="71">
        <f t="shared" si="3"/>
        <v>1309.8103699685689</v>
      </c>
      <c r="AF29" s="14">
        <f t="shared" si="4"/>
        <v>57.631656278617029</v>
      </c>
      <c r="AG29"/>
      <c r="AH29" s="42">
        <f t="shared" si="5"/>
        <v>15626.566586180075</v>
      </c>
      <c r="AI29" s="97">
        <v>15347.504785499343</v>
      </c>
      <c r="AJ29" s="6">
        <f t="shared" si="22"/>
        <v>279.06180068073263</v>
      </c>
      <c r="AM29"/>
    </row>
    <row r="30" spans="1:39" x14ac:dyDescent="0.25">
      <c r="A30" s="89">
        <f t="shared" si="24"/>
        <v>37120</v>
      </c>
      <c r="B30" s="5"/>
      <c r="C30" s="100">
        <v>5632.7920000000004</v>
      </c>
      <c r="D30" s="96">
        <f t="shared" si="6"/>
        <v>5722.9166720000003</v>
      </c>
      <c r="E30" s="99">
        <v>5711.0331542127151</v>
      </c>
      <c r="F30" s="52">
        <f t="shared" si="0"/>
        <v>5711.0331542127151</v>
      </c>
      <c r="G30" s="29">
        <f t="shared" si="7"/>
        <v>0</v>
      </c>
      <c r="H30" s="11"/>
      <c r="I30" s="61">
        <f t="shared" si="23"/>
        <v>0</v>
      </c>
      <c r="J30" s="98">
        <v>910</v>
      </c>
      <c r="K30" s="52">
        <f t="shared" si="8"/>
        <v>-910</v>
      </c>
      <c r="L30" s="54">
        <f t="shared" si="25"/>
        <v>4801.0331542127151</v>
      </c>
      <c r="M30" s="52">
        <f t="shared" si="9"/>
        <v>910</v>
      </c>
      <c r="N30" s="52">
        <f t="shared" si="27"/>
        <v>1500</v>
      </c>
      <c r="O30" s="52">
        <f t="shared" si="26"/>
        <v>90</v>
      </c>
      <c r="P30" s="54">
        <f t="shared" si="1"/>
        <v>4121.0331542127151</v>
      </c>
      <c r="Q30" s="54">
        <f t="shared" si="2"/>
        <v>3301.0331542127151</v>
      </c>
      <c r="R30" s="64">
        <f t="shared" si="10"/>
        <v>0</v>
      </c>
      <c r="S30" s="65">
        <f t="shared" si="11"/>
        <v>10365.244104227926</v>
      </c>
      <c r="T30" s="67">
        <f t="shared" si="12"/>
        <v>0</v>
      </c>
      <c r="U30" s="65">
        <f t="shared" si="13"/>
        <v>0</v>
      </c>
      <c r="V30" s="65">
        <f t="shared" si="14"/>
        <v>606.375</v>
      </c>
      <c r="W30" s="65">
        <f t="shared" si="15"/>
        <v>396.2</v>
      </c>
      <c r="X30" s="65">
        <f t="shared" si="16"/>
        <v>2232.5</v>
      </c>
      <c r="Y30" s="65">
        <f t="shared" si="17"/>
        <v>1222</v>
      </c>
      <c r="Z30" s="65">
        <f t="shared" si="18"/>
        <v>0</v>
      </c>
      <c r="AA30" s="65">
        <f t="shared" si="19"/>
        <v>4457.0749999999998</v>
      </c>
      <c r="AB30" s="65">
        <f t="shared" si="20"/>
        <v>658.13541728000007</v>
      </c>
      <c r="AC30" s="12">
        <f t="shared" si="21"/>
        <v>15480.454521507927</v>
      </c>
      <c r="AD30"/>
      <c r="AE30" s="71">
        <f t="shared" si="3"/>
        <v>1372.3998457872849</v>
      </c>
      <c r="AF30" s="14">
        <f t="shared" si="4"/>
        <v>60.385593214640529</v>
      </c>
      <c r="AG30"/>
      <c r="AH30" s="42">
        <f t="shared" si="5"/>
        <v>15420.068928293287</v>
      </c>
      <c r="AI30" s="97">
        <v>15143.874651428576</v>
      </c>
      <c r="AJ30" s="6">
        <f t="shared" si="22"/>
        <v>276.19427686471136</v>
      </c>
      <c r="AM30"/>
    </row>
    <row r="31" spans="1:39" x14ac:dyDescent="0.25">
      <c r="A31" s="89">
        <f t="shared" si="24"/>
        <v>37121</v>
      </c>
      <c r="B31" s="5"/>
      <c r="C31" s="100">
        <v>5283.652</v>
      </c>
      <c r="D31" s="96">
        <f t="shared" si="6"/>
        <v>5368.1904320000003</v>
      </c>
      <c r="E31" s="99">
        <v>5357.0434958937449</v>
      </c>
      <c r="F31" s="52">
        <f t="shared" si="0"/>
        <v>5357.0434958937449</v>
      </c>
      <c r="G31" s="29">
        <f t="shared" si="7"/>
        <v>0</v>
      </c>
      <c r="H31" s="11"/>
      <c r="I31" s="61">
        <f t="shared" si="23"/>
        <v>0</v>
      </c>
      <c r="J31" s="98">
        <v>910</v>
      </c>
      <c r="K31" s="52">
        <f t="shared" si="8"/>
        <v>-910</v>
      </c>
      <c r="L31" s="54">
        <f t="shared" si="25"/>
        <v>4447.0434958937449</v>
      </c>
      <c r="M31" s="52">
        <f t="shared" si="9"/>
        <v>910</v>
      </c>
      <c r="N31" s="52">
        <f t="shared" si="27"/>
        <v>1500</v>
      </c>
      <c r="O31" s="52">
        <f t="shared" si="26"/>
        <v>90</v>
      </c>
      <c r="P31" s="54">
        <f t="shared" si="1"/>
        <v>3767.0434958937449</v>
      </c>
      <c r="Q31" s="54">
        <f t="shared" si="2"/>
        <v>2947.0434958937449</v>
      </c>
      <c r="R31" s="64">
        <f t="shared" si="10"/>
        <v>0</v>
      </c>
      <c r="S31" s="65">
        <f t="shared" si="11"/>
        <v>9253.7165771063592</v>
      </c>
      <c r="T31" s="67">
        <f t="shared" si="12"/>
        <v>0</v>
      </c>
      <c r="U31" s="65">
        <f t="shared" si="13"/>
        <v>0</v>
      </c>
      <c r="V31" s="65">
        <f t="shared" si="14"/>
        <v>606.375</v>
      </c>
      <c r="W31" s="65">
        <f t="shared" si="15"/>
        <v>396.2</v>
      </c>
      <c r="X31" s="65">
        <f t="shared" si="16"/>
        <v>2232.5</v>
      </c>
      <c r="Y31" s="65">
        <f t="shared" si="17"/>
        <v>1222</v>
      </c>
      <c r="Z31" s="65">
        <f t="shared" si="18"/>
        <v>0</v>
      </c>
      <c r="AA31" s="65">
        <f t="shared" si="19"/>
        <v>4457.0749999999998</v>
      </c>
      <c r="AB31" s="65">
        <f t="shared" si="20"/>
        <v>617.3418996800001</v>
      </c>
      <c r="AC31" s="12">
        <f t="shared" si="21"/>
        <v>14328.133476786359</v>
      </c>
      <c r="AD31"/>
      <c r="AE31" s="71">
        <f t="shared" si="3"/>
        <v>1726.3895041062551</v>
      </c>
      <c r="AF31" s="14">
        <f t="shared" si="4"/>
        <v>75.961138180675221</v>
      </c>
      <c r="AG31"/>
      <c r="AH31" s="42">
        <f t="shared" si="5"/>
        <v>14252.172338605684</v>
      </c>
      <c r="AI31" s="97">
        <v>13992.196024307008</v>
      </c>
      <c r="AJ31" s="6">
        <f t="shared" si="22"/>
        <v>259.97631429867579</v>
      </c>
      <c r="AM31"/>
    </row>
    <row r="32" spans="1:39" x14ac:dyDescent="0.25">
      <c r="A32" s="89">
        <f t="shared" si="24"/>
        <v>37122</v>
      </c>
      <c r="B32" s="5"/>
      <c r="C32" s="100">
        <v>5348.42</v>
      </c>
      <c r="D32" s="96">
        <f t="shared" si="6"/>
        <v>5433.9947200000006</v>
      </c>
      <c r="E32" s="99">
        <v>5422.7111426543652</v>
      </c>
      <c r="F32" s="52">
        <f t="shared" si="0"/>
        <v>5422.7111426543652</v>
      </c>
      <c r="G32" s="29">
        <f t="shared" si="7"/>
        <v>0</v>
      </c>
      <c r="H32" s="11"/>
      <c r="I32" s="61">
        <f t="shared" si="23"/>
        <v>0</v>
      </c>
      <c r="J32" s="98">
        <v>910</v>
      </c>
      <c r="K32" s="52">
        <f t="shared" si="8"/>
        <v>-910</v>
      </c>
      <c r="L32" s="54">
        <f t="shared" si="25"/>
        <v>4512.7111426543652</v>
      </c>
      <c r="M32" s="52">
        <f t="shared" si="9"/>
        <v>910</v>
      </c>
      <c r="N32" s="52">
        <f t="shared" si="27"/>
        <v>1500</v>
      </c>
      <c r="O32" s="52">
        <f t="shared" si="26"/>
        <v>90</v>
      </c>
      <c r="P32" s="54">
        <f t="shared" si="1"/>
        <v>3832.7111426543652</v>
      </c>
      <c r="Q32" s="54">
        <f t="shared" si="2"/>
        <v>3012.7111426543652</v>
      </c>
      <c r="R32" s="64">
        <f t="shared" si="10"/>
        <v>0</v>
      </c>
      <c r="S32" s="65">
        <f t="shared" si="11"/>
        <v>9459.9129879347074</v>
      </c>
      <c r="T32" s="67">
        <f t="shared" si="12"/>
        <v>0</v>
      </c>
      <c r="U32" s="65">
        <f t="shared" si="13"/>
        <v>0</v>
      </c>
      <c r="V32" s="65">
        <f t="shared" si="14"/>
        <v>606.375</v>
      </c>
      <c r="W32" s="65">
        <f t="shared" si="15"/>
        <v>396.2</v>
      </c>
      <c r="X32" s="65">
        <f t="shared" si="16"/>
        <v>2232.5</v>
      </c>
      <c r="Y32" s="65">
        <f t="shared" si="17"/>
        <v>1222</v>
      </c>
      <c r="Z32" s="65">
        <f t="shared" si="18"/>
        <v>0</v>
      </c>
      <c r="AA32" s="65">
        <f t="shared" si="19"/>
        <v>4457.0749999999998</v>
      </c>
      <c r="AB32" s="65">
        <f t="shared" si="20"/>
        <v>624.90939280000009</v>
      </c>
      <c r="AC32" s="12">
        <f t="shared" si="21"/>
        <v>14541.897380734707</v>
      </c>
      <c r="AD32"/>
      <c r="AE32" s="71">
        <f t="shared" si="3"/>
        <v>1660.7218573456348</v>
      </c>
      <c r="AF32" s="14">
        <f t="shared" si="4"/>
        <v>73.071761723207928</v>
      </c>
      <c r="AG32"/>
      <c r="AH32" s="42">
        <f t="shared" si="5"/>
        <v>14468.825619011499</v>
      </c>
      <c r="AI32" s="97">
        <v>14205.840755135358</v>
      </c>
      <c r="AJ32" s="6">
        <f t="shared" si="22"/>
        <v>262.98486387614139</v>
      </c>
      <c r="AM32"/>
    </row>
    <row r="33" spans="1:43" x14ac:dyDescent="0.25">
      <c r="A33" s="89">
        <f t="shared" si="24"/>
        <v>37123</v>
      </c>
      <c r="B33" s="5"/>
      <c r="C33" s="100">
        <v>6186.3559999999998</v>
      </c>
      <c r="D33" s="96">
        <f t="shared" si="6"/>
        <v>6285.3376959999996</v>
      </c>
      <c r="E33" s="99">
        <v>6272.2863226198924</v>
      </c>
      <c r="F33" s="52">
        <f t="shared" si="0"/>
        <v>6173.433</v>
      </c>
      <c r="G33" s="29">
        <f t="shared" si="7"/>
        <v>97.497055033547511</v>
      </c>
      <c r="H33" s="11"/>
      <c r="I33" s="61">
        <f t="shared" si="23"/>
        <v>0</v>
      </c>
      <c r="J33" s="98">
        <v>910</v>
      </c>
      <c r="K33" s="52">
        <f t="shared" si="8"/>
        <v>-812.50294496645245</v>
      </c>
      <c r="L33" s="54">
        <f t="shared" si="25"/>
        <v>5360.9300550335474</v>
      </c>
      <c r="M33" s="52">
        <f t="shared" si="9"/>
        <v>910</v>
      </c>
      <c r="N33" s="52">
        <f t="shared" si="27"/>
        <v>1500</v>
      </c>
      <c r="O33" s="52">
        <f t="shared" si="26"/>
        <v>90</v>
      </c>
      <c r="P33" s="54">
        <f t="shared" si="1"/>
        <v>4682.2863226198924</v>
      </c>
      <c r="Q33" s="54">
        <f t="shared" si="2"/>
        <v>3860.9300550335474</v>
      </c>
      <c r="R33" s="64">
        <f t="shared" si="10"/>
        <v>0</v>
      </c>
      <c r="S33" s="65">
        <f t="shared" si="11"/>
        <v>12123.32037280534</v>
      </c>
      <c r="T33" s="67">
        <f t="shared" si="12"/>
        <v>0</v>
      </c>
      <c r="U33" s="65">
        <f t="shared" si="13"/>
        <v>0</v>
      </c>
      <c r="V33" s="65">
        <f t="shared" si="14"/>
        <v>606.375</v>
      </c>
      <c r="W33" s="65">
        <f t="shared" si="15"/>
        <v>396.2</v>
      </c>
      <c r="X33" s="65">
        <f t="shared" si="16"/>
        <v>2232.5</v>
      </c>
      <c r="Y33" s="65">
        <f t="shared" si="17"/>
        <v>1222</v>
      </c>
      <c r="Z33" s="65">
        <f t="shared" si="18"/>
        <v>0</v>
      </c>
      <c r="AA33" s="65">
        <f t="shared" si="19"/>
        <v>4457.0749999999998</v>
      </c>
      <c r="AB33" s="65">
        <f t="shared" si="20"/>
        <v>722.81383503999996</v>
      </c>
      <c r="AC33" s="12">
        <f t="shared" si="21"/>
        <v>17303.209207845339</v>
      </c>
      <c r="AD33"/>
      <c r="AE33" s="71">
        <f t="shared" si="3"/>
        <v>812.50294496645256</v>
      </c>
      <c r="AF33" s="14">
        <f t="shared" si="4"/>
        <v>35.750129578523911</v>
      </c>
      <c r="AG33"/>
      <c r="AH33" s="42">
        <f t="shared" si="5"/>
        <v>17267.459078266817</v>
      </c>
      <c r="AI33" s="97">
        <v>16969.86946022711</v>
      </c>
      <c r="AJ33" s="6">
        <f t="shared" si="22"/>
        <v>297.58961803970669</v>
      </c>
      <c r="AM33"/>
    </row>
    <row r="34" spans="1:43" x14ac:dyDescent="0.25">
      <c r="A34" s="86">
        <f t="shared" si="24"/>
        <v>37124</v>
      </c>
      <c r="B34" s="5"/>
      <c r="C34" s="100">
        <v>6216.7160000000003</v>
      </c>
      <c r="D34" s="96">
        <f t="shared" si="6"/>
        <v>6316.1834560000007</v>
      </c>
      <c r="E34" s="99">
        <v>6303.0680320389338</v>
      </c>
      <c r="F34" s="52">
        <f t="shared" si="0"/>
        <v>6173.433</v>
      </c>
      <c r="G34" s="29">
        <f t="shared" si="7"/>
        <v>127.85643939935962</v>
      </c>
      <c r="H34" s="11"/>
      <c r="I34" s="61">
        <f t="shared" si="23"/>
        <v>0</v>
      </c>
      <c r="J34" s="98">
        <v>910</v>
      </c>
      <c r="K34" s="52">
        <f t="shared" si="8"/>
        <v>-782.1435606006404</v>
      </c>
      <c r="L34" s="54">
        <f t="shared" si="25"/>
        <v>5391.2894393993593</v>
      </c>
      <c r="M34" s="52">
        <f t="shared" si="9"/>
        <v>910</v>
      </c>
      <c r="N34" s="52">
        <f t="shared" si="27"/>
        <v>1500</v>
      </c>
      <c r="O34" s="52">
        <f t="shared" si="26"/>
        <v>90</v>
      </c>
      <c r="P34" s="54">
        <f t="shared" si="1"/>
        <v>4713.0680320389338</v>
      </c>
      <c r="Q34" s="54">
        <f t="shared" si="2"/>
        <v>3891.2894393993593</v>
      </c>
      <c r="R34" s="64">
        <f t="shared" si="10"/>
        <v>0</v>
      </c>
      <c r="S34" s="65">
        <f t="shared" si="11"/>
        <v>12218.648839713989</v>
      </c>
      <c r="T34" s="67">
        <f t="shared" si="12"/>
        <v>0</v>
      </c>
      <c r="U34" s="65">
        <f t="shared" si="13"/>
        <v>0</v>
      </c>
      <c r="V34" s="65">
        <f t="shared" si="14"/>
        <v>606.375</v>
      </c>
      <c r="W34" s="65">
        <f t="shared" si="15"/>
        <v>396.2</v>
      </c>
      <c r="X34" s="65">
        <f t="shared" si="16"/>
        <v>2232.5</v>
      </c>
      <c r="Y34" s="65">
        <f t="shared" si="17"/>
        <v>1222</v>
      </c>
      <c r="Z34" s="65">
        <f t="shared" si="18"/>
        <v>0</v>
      </c>
      <c r="AA34" s="65">
        <f t="shared" si="19"/>
        <v>4457.0749999999998</v>
      </c>
      <c r="AB34" s="65">
        <f t="shared" si="20"/>
        <v>726.36109744000009</v>
      </c>
      <c r="AC34" s="12">
        <f t="shared" si="21"/>
        <v>17402.084937153988</v>
      </c>
      <c r="AD34"/>
      <c r="AE34" s="71">
        <f t="shared" si="3"/>
        <v>782.14356060064074</v>
      </c>
      <c r="AF34" s="14">
        <f t="shared" si="4"/>
        <v>34.414316666428192</v>
      </c>
      <c r="AG34"/>
      <c r="AH34" s="42">
        <f t="shared" si="5"/>
        <v>17367.670620487559</v>
      </c>
      <c r="AI34" s="97">
        <v>17070.015427802904</v>
      </c>
      <c r="AJ34" s="6">
        <f t="shared" si="22"/>
        <v>297.65519268465505</v>
      </c>
      <c r="AM34"/>
    </row>
    <row r="35" spans="1:43" x14ac:dyDescent="0.25">
      <c r="A35" s="86">
        <f t="shared" si="24"/>
        <v>37125</v>
      </c>
      <c r="B35" s="5"/>
      <c r="C35" s="100">
        <v>6069.9759999999997</v>
      </c>
      <c r="D35" s="96">
        <f t="shared" si="6"/>
        <v>6167.0956159999996</v>
      </c>
      <c r="E35" s="99">
        <v>6154.2897698469023</v>
      </c>
      <c r="F35" s="52">
        <f t="shared" si="0"/>
        <v>6154.2897698469023</v>
      </c>
      <c r="G35" s="29">
        <f t="shared" si="7"/>
        <v>0</v>
      </c>
      <c r="H35" s="11"/>
      <c r="I35" s="61">
        <f t="shared" si="23"/>
        <v>0</v>
      </c>
      <c r="J35" s="98">
        <v>910</v>
      </c>
      <c r="K35" s="52">
        <f t="shared" si="8"/>
        <v>-910</v>
      </c>
      <c r="L35" s="54">
        <f t="shared" si="25"/>
        <v>5244.2897698469023</v>
      </c>
      <c r="M35" s="52">
        <f t="shared" si="9"/>
        <v>910</v>
      </c>
      <c r="N35" s="52">
        <f t="shared" si="27"/>
        <v>1500</v>
      </c>
      <c r="O35" s="52">
        <f t="shared" si="26"/>
        <v>90</v>
      </c>
      <c r="P35" s="54">
        <f t="shared" si="1"/>
        <v>4564.2897698469023</v>
      </c>
      <c r="Q35" s="54">
        <f t="shared" si="2"/>
        <v>3744.2897698469023</v>
      </c>
      <c r="R35" s="64">
        <f t="shared" si="10"/>
        <v>0</v>
      </c>
      <c r="S35" s="65">
        <f t="shared" si="11"/>
        <v>11757.069877319274</v>
      </c>
      <c r="T35" s="67">
        <f t="shared" si="12"/>
        <v>0</v>
      </c>
      <c r="U35" s="65">
        <f t="shared" si="13"/>
        <v>0</v>
      </c>
      <c r="V35" s="65">
        <f t="shared" si="14"/>
        <v>606.375</v>
      </c>
      <c r="W35" s="65">
        <f t="shared" si="15"/>
        <v>396.2</v>
      </c>
      <c r="X35" s="65">
        <f t="shared" si="16"/>
        <v>2232.5</v>
      </c>
      <c r="Y35" s="65">
        <f t="shared" si="17"/>
        <v>1222</v>
      </c>
      <c r="Z35" s="65">
        <f t="shared" si="18"/>
        <v>0</v>
      </c>
      <c r="AA35" s="65">
        <f t="shared" si="19"/>
        <v>4457.0749999999998</v>
      </c>
      <c r="AB35" s="65">
        <f t="shared" si="20"/>
        <v>709.21599584000001</v>
      </c>
      <c r="AC35" s="12">
        <f t="shared" si="21"/>
        <v>16923.360873159276</v>
      </c>
      <c r="AD35"/>
      <c r="AE35" s="71">
        <f t="shared" si="3"/>
        <v>929.14323015309765</v>
      </c>
      <c r="AF35" s="14">
        <f t="shared" si="4"/>
        <v>40.882302126736292</v>
      </c>
      <c r="AG35"/>
      <c r="AH35" s="42">
        <f t="shared" si="5"/>
        <v>16882.478571032538</v>
      </c>
      <c r="AI35" s="97">
        <v>16585.976584519922</v>
      </c>
      <c r="AJ35" s="6">
        <f t="shared" si="22"/>
        <v>296.50198651261599</v>
      </c>
      <c r="AM35"/>
    </row>
    <row r="36" spans="1:43" x14ac:dyDescent="0.25">
      <c r="A36" s="86">
        <f t="shared" si="24"/>
        <v>37126</v>
      </c>
      <c r="B36" s="5"/>
      <c r="C36" s="100">
        <v>5580.1679999999997</v>
      </c>
      <c r="D36" s="96">
        <f t="shared" si="6"/>
        <v>5669.4506879999999</v>
      </c>
      <c r="E36" s="99">
        <v>5657.6781912197102</v>
      </c>
      <c r="F36" s="52">
        <f t="shared" si="0"/>
        <v>5657.6781912197102</v>
      </c>
      <c r="G36" s="29">
        <f t="shared" si="7"/>
        <v>0</v>
      </c>
      <c r="H36" s="11"/>
      <c r="I36" s="61">
        <f t="shared" si="23"/>
        <v>0</v>
      </c>
      <c r="J36" s="98">
        <v>910</v>
      </c>
      <c r="K36" s="52">
        <f t="shared" si="8"/>
        <v>-910</v>
      </c>
      <c r="L36" s="54">
        <f t="shared" si="25"/>
        <v>4747.6781912197102</v>
      </c>
      <c r="M36" s="52">
        <f t="shared" si="9"/>
        <v>910</v>
      </c>
      <c r="N36" s="52">
        <f t="shared" si="27"/>
        <v>1500</v>
      </c>
      <c r="O36" s="52">
        <f t="shared" si="26"/>
        <v>90</v>
      </c>
      <c r="P36" s="54">
        <f t="shared" si="1"/>
        <v>4067.6781912197102</v>
      </c>
      <c r="Q36" s="54">
        <f t="shared" si="2"/>
        <v>3247.6781912197102</v>
      </c>
      <c r="R36" s="64">
        <f t="shared" si="10"/>
        <v>0</v>
      </c>
      <c r="S36" s="65">
        <f t="shared" si="11"/>
        <v>10197.709520429891</v>
      </c>
      <c r="T36" s="67">
        <f t="shared" si="12"/>
        <v>0</v>
      </c>
      <c r="U36" s="65">
        <f t="shared" si="13"/>
        <v>0</v>
      </c>
      <c r="V36" s="65">
        <f t="shared" si="14"/>
        <v>606.375</v>
      </c>
      <c r="W36" s="65">
        <f t="shared" si="15"/>
        <v>396.2</v>
      </c>
      <c r="X36" s="65">
        <f t="shared" si="16"/>
        <v>2232.5</v>
      </c>
      <c r="Y36" s="65">
        <f t="shared" si="17"/>
        <v>1222</v>
      </c>
      <c r="Z36" s="65">
        <f t="shared" si="18"/>
        <v>0</v>
      </c>
      <c r="AA36" s="65">
        <f t="shared" si="19"/>
        <v>4457.0749999999998</v>
      </c>
      <c r="AB36" s="65">
        <f t="shared" si="20"/>
        <v>651.98682912000004</v>
      </c>
      <c r="AC36" s="12">
        <f t="shared" si="21"/>
        <v>15306.77134954989</v>
      </c>
      <c r="AD36"/>
      <c r="AE36" s="71">
        <f t="shared" si="3"/>
        <v>1425.7548087802897</v>
      </c>
      <c r="AF36" s="14">
        <f t="shared" si="4"/>
        <v>62.733211586332743</v>
      </c>
      <c r="AG36"/>
      <c r="AH36" s="42">
        <f t="shared" si="5"/>
        <v>15244.038137963558</v>
      </c>
      <c r="AI36" s="97">
        <v>14970.288307630539</v>
      </c>
      <c r="AJ36" s="6">
        <f t="shared" si="22"/>
        <v>273.74983033301942</v>
      </c>
      <c r="AM36"/>
    </row>
    <row r="37" spans="1:43" x14ac:dyDescent="0.25">
      <c r="A37" s="86">
        <f t="shared" si="24"/>
        <v>37127</v>
      </c>
      <c r="B37" s="5"/>
      <c r="C37" s="100">
        <v>5635.8280000000004</v>
      </c>
      <c r="D37" s="96">
        <f t="shared" si="6"/>
        <v>5726.0012480000005</v>
      </c>
      <c r="E37" s="99">
        <v>5714.1113251546194</v>
      </c>
      <c r="F37" s="52">
        <f t="shared" si="0"/>
        <v>5714.1113251546194</v>
      </c>
      <c r="G37" s="29">
        <f t="shared" si="7"/>
        <v>0</v>
      </c>
      <c r="H37" s="11"/>
      <c r="I37" s="61">
        <f t="shared" si="23"/>
        <v>0</v>
      </c>
      <c r="J37" s="98">
        <v>910</v>
      </c>
      <c r="K37" s="52">
        <f t="shared" si="8"/>
        <v>-910</v>
      </c>
      <c r="L37" s="54">
        <f t="shared" si="25"/>
        <v>4804.1113251546194</v>
      </c>
      <c r="M37" s="52">
        <f t="shared" si="9"/>
        <v>910</v>
      </c>
      <c r="N37" s="52">
        <f t="shared" si="27"/>
        <v>1500</v>
      </c>
      <c r="O37" s="52">
        <f t="shared" si="26"/>
        <v>90</v>
      </c>
      <c r="P37" s="54">
        <f t="shared" si="1"/>
        <v>4124.1113251546194</v>
      </c>
      <c r="Q37" s="54">
        <f t="shared" si="2"/>
        <v>3304.1113251546194</v>
      </c>
      <c r="R37" s="64">
        <f t="shared" si="10"/>
        <v>0</v>
      </c>
      <c r="S37" s="65">
        <f t="shared" si="11"/>
        <v>10374.909560985505</v>
      </c>
      <c r="T37" s="67">
        <f t="shared" si="12"/>
        <v>0</v>
      </c>
      <c r="U37" s="65">
        <f t="shared" si="13"/>
        <v>0</v>
      </c>
      <c r="V37" s="65">
        <f t="shared" si="14"/>
        <v>606.375</v>
      </c>
      <c r="W37" s="65">
        <f t="shared" si="15"/>
        <v>396.2</v>
      </c>
      <c r="X37" s="65">
        <f t="shared" si="16"/>
        <v>2232.5</v>
      </c>
      <c r="Y37" s="65">
        <f t="shared" si="17"/>
        <v>1222</v>
      </c>
      <c r="Z37" s="65">
        <f t="shared" si="18"/>
        <v>0</v>
      </c>
      <c r="AA37" s="65">
        <f t="shared" si="19"/>
        <v>4457.0749999999998</v>
      </c>
      <c r="AB37" s="65">
        <f t="shared" si="20"/>
        <v>658.49014352000006</v>
      </c>
      <c r="AC37" s="12">
        <f t="shared" si="21"/>
        <v>15490.474704505505</v>
      </c>
      <c r="AD37"/>
      <c r="AE37" s="71">
        <f t="shared" si="3"/>
        <v>1369.3216748453806</v>
      </c>
      <c r="AF37" s="14">
        <f t="shared" si="4"/>
        <v>60.250153693196744</v>
      </c>
      <c r="AG37"/>
      <c r="AH37" s="42">
        <f t="shared" si="5"/>
        <v>15430.224550812309</v>
      </c>
      <c r="AI37" s="97">
        <v>15153.889248186155</v>
      </c>
      <c r="AJ37" s="6">
        <f t="shared" si="22"/>
        <v>276.33530262615386</v>
      </c>
      <c r="AM37"/>
    </row>
    <row r="38" spans="1:43" x14ac:dyDescent="0.25">
      <c r="A38" s="86">
        <f t="shared" si="24"/>
        <v>37128</v>
      </c>
      <c r="B38" s="5"/>
      <c r="C38" s="100">
        <v>5437.4759999999997</v>
      </c>
      <c r="D38" s="96">
        <f t="shared" si="6"/>
        <v>5524.4756159999997</v>
      </c>
      <c r="E38" s="99">
        <v>5513.0041569502182</v>
      </c>
      <c r="F38" s="52">
        <f t="shared" si="0"/>
        <v>5513.0041569502182</v>
      </c>
      <c r="G38" s="29">
        <f t="shared" si="7"/>
        <v>0</v>
      </c>
      <c r="H38" s="11"/>
      <c r="I38" s="61">
        <f t="shared" si="23"/>
        <v>0</v>
      </c>
      <c r="J38" s="98">
        <v>910</v>
      </c>
      <c r="K38" s="52">
        <f t="shared" si="8"/>
        <v>-910</v>
      </c>
      <c r="L38" s="54">
        <f t="shared" si="25"/>
        <v>4603.0041569502182</v>
      </c>
      <c r="M38" s="52">
        <f t="shared" si="9"/>
        <v>910</v>
      </c>
      <c r="N38" s="52">
        <f t="shared" si="27"/>
        <v>1500</v>
      </c>
      <c r="O38" s="52">
        <f t="shared" si="26"/>
        <v>90</v>
      </c>
      <c r="P38" s="54">
        <f t="shared" si="1"/>
        <v>3923.0041569502182</v>
      </c>
      <c r="Q38" s="54">
        <f t="shared" si="2"/>
        <v>3103.0041569502182</v>
      </c>
      <c r="R38" s="64">
        <f t="shared" si="10"/>
        <v>0</v>
      </c>
      <c r="S38" s="65">
        <f t="shared" si="11"/>
        <v>9743.433052823686</v>
      </c>
      <c r="T38" s="67">
        <f t="shared" si="12"/>
        <v>0</v>
      </c>
      <c r="U38" s="65">
        <f t="shared" si="13"/>
        <v>0</v>
      </c>
      <c r="V38" s="65">
        <f t="shared" si="14"/>
        <v>606.375</v>
      </c>
      <c r="W38" s="65">
        <f t="shared" si="15"/>
        <v>396.2</v>
      </c>
      <c r="X38" s="65">
        <f t="shared" si="16"/>
        <v>2232.5</v>
      </c>
      <c r="Y38" s="65">
        <f t="shared" si="17"/>
        <v>1222</v>
      </c>
      <c r="Z38" s="65">
        <f t="shared" si="18"/>
        <v>0</v>
      </c>
      <c r="AA38" s="65">
        <f t="shared" si="19"/>
        <v>4457.0749999999998</v>
      </c>
      <c r="AB38" s="65">
        <f t="shared" si="20"/>
        <v>635.31469584000001</v>
      </c>
      <c r="AC38" s="12">
        <f t="shared" si="21"/>
        <v>14835.822748663686</v>
      </c>
      <c r="AD38"/>
      <c r="AE38" s="71">
        <f t="shared" si="3"/>
        <v>1570.4288430497818</v>
      </c>
      <c r="AF38" s="14">
        <f t="shared" si="4"/>
        <v>69.098869094190391</v>
      </c>
      <c r="AG38"/>
      <c r="AH38" s="42">
        <f t="shared" si="5"/>
        <v>14766.723879569496</v>
      </c>
      <c r="AI38" s="97">
        <v>14499.602260024334</v>
      </c>
      <c r="AJ38" s="6">
        <f t="shared" si="22"/>
        <v>267.12161954516159</v>
      </c>
      <c r="AM38"/>
    </row>
    <row r="39" spans="1:43" x14ac:dyDescent="0.25">
      <c r="A39" s="86">
        <f t="shared" si="24"/>
        <v>37129</v>
      </c>
      <c r="B39" s="5"/>
      <c r="C39" s="100">
        <v>5366.6360000000004</v>
      </c>
      <c r="D39" s="96">
        <f t="shared" si="6"/>
        <v>5452.5021760000009</v>
      </c>
      <c r="E39" s="99">
        <v>5441.1801683057902</v>
      </c>
      <c r="F39" s="52">
        <f t="shared" si="0"/>
        <v>5441.1801683057902</v>
      </c>
      <c r="G39" s="29">
        <f t="shared" si="7"/>
        <v>0</v>
      </c>
      <c r="H39" s="11"/>
      <c r="I39" s="61">
        <f t="shared" si="23"/>
        <v>0</v>
      </c>
      <c r="J39" s="98">
        <v>910</v>
      </c>
      <c r="K39" s="52">
        <f t="shared" si="8"/>
        <v>-910</v>
      </c>
      <c r="L39" s="54">
        <f t="shared" si="25"/>
        <v>4531.1801683057902</v>
      </c>
      <c r="M39" s="52">
        <f t="shared" si="9"/>
        <v>910</v>
      </c>
      <c r="N39" s="52">
        <f t="shared" si="27"/>
        <v>1500</v>
      </c>
      <c r="O39" s="52">
        <f t="shared" si="26"/>
        <v>90</v>
      </c>
      <c r="P39" s="54">
        <f t="shared" si="1"/>
        <v>3851.1801683057902</v>
      </c>
      <c r="Q39" s="54">
        <f t="shared" si="2"/>
        <v>3031.1801683057902</v>
      </c>
      <c r="R39" s="64">
        <f t="shared" si="10"/>
        <v>0</v>
      </c>
      <c r="S39" s="65">
        <f t="shared" si="11"/>
        <v>9517.905728480182</v>
      </c>
      <c r="T39" s="67">
        <f t="shared" si="12"/>
        <v>0</v>
      </c>
      <c r="U39" s="65">
        <f t="shared" si="13"/>
        <v>0</v>
      </c>
      <c r="V39" s="65">
        <f t="shared" si="14"/>
        <v>606.375</v>
      </c>
      <c r="W39" s="65">
        <f t="shared" si="15"/>
        <v>396.2</v>
      </c>
      <c r="X39" s="65">
        <f t="shared" si="16"/>
        <v>2232.5</v>
      </c>
      <c r="Y39" s="65">
        <f t="shared" si="17"/>
        <v>1222</v>
      </c>
      <c r="Z39" s="65">
        <f t="shared" si="18"/>
        <v>0</v>
      </c>
      <c r="AA39" s="65">
        <f t="shared" si="19"/>
        <v>4457.0749999999998</v>
      </c>
      <c r="AB39" s="65">
        <f t="shared" si="20"/>
        <v>627.03775024000015</v>
      </c>
      <c r="AC39" s="12">
        <f t="shared" si="21"/>
        <v>14602.018478720182</v>
      </c>
      <c r="AD39"/>
      <c r="AE39" s="71">
        <f t="shared" si="3"/>
        <v>1642.2528316942098</v>
      </c>
      <c r="AF39" s="14">
        <f t="shared" si="4"/>
        <v>72.259124594545227</v>
      </c>
      <c r="AG39"/>
      <c r="AH39" s="42">
        <f t="shared" si="5"/>
        <v>14529.759354125636</v>
      </c>
      <c r="AI39" s="97">
        <v>14265.92833568083</v>
      </c>
      <c r="AJ39" s="6">
        <f t="shared" si="22"/>
        <v>263.83101844480552</v>
      </c>
      <c r="AM39"/>
    </row>
    <row r="40" spans="1:43" x14ac:dyDescent="0.25">
      <c r="A40" s="86">
        <f t="shared" si="24"/>
        <v>37130</v>
      </c>
      <c r="B40" s="5"/>
      <c r="C40" s="100">
        <v>5525.52</v>
      </c>
      <c r="D40" s="96">
        <f t="shared" si="6"/>
        <v>5613.9283200000009</v>
      </c>
      <c r="E40" s="99">
        <v>5602.2711142654371</v>
      </c>
      <c r="F40" s="52">
        <f t="shared" si="0"/>
        <v>5602.2711142654371</v>
      </c>
      <c r="G40" s="29">
        <f t="shared" si="7"/>
        <v>0</v>
      </c>
      <c r="H40" s="11"/>
      <c r="I40" s="61">
        <f t="shared" si="23"/>
        <v>0</v>
      </c>
      <c r="J40" s="98">
        <v>910</v>
      </c>
      <c r="K40" s="52">
        <f t="shared" si="8"/>
        <v>-910</v>
      </c>
      <c r="L40" s="54">
        <f t="shared" si="25"/>
        <v>4692.2711142654371</v>
      </c>
      <c r="M40" s="52">
        <f t="shared" si="9"/>
        <v>910</v>
      </c>
      <c r="N40" s="52">
        <f t="shared" si="27"/>
        <v>1500</v>
      </c>
      <c r="O40" s="52">
        <f t="shared" si="26"/>
        <v>90</v>
      </c>
      <c r="P40" s="54">
        <f t="shared" si="1"/>
        <v>4012.2711142654371</v>
      </c>
      <c r="Q40" s="54">
        <f t="shared" si="2"/>
        <v>3192.2711142654371</v>
      </c>
      <c r="R40" s="64">
        <f t="shared" si="10"/>
        <v>0</v>
      </c>
      <c r="S40" s="65">
        <f t="shared" si="11"/>
        <v>10023.731298793473</v>
      </c>
      <c r="T40" s="67">
        <f t="shared" si="12"/>
        <v>0</v>
      </c>
      <c r="U40" s="65">
        <f t="shared" si="13"/>
        <v>0</v>
      </c>
      <c r="V40" s="65">
        <f t="shared" si="14"/>
        <v>606.375</v>
      </c>
      <c r="W40" s="65">
        <f t="shared" si="15"/>
        <v>396.2</v>
      </c>
      <c r="X40" s="65">
        <f t="shared" si="16"/>
        <v>2232.5</v>
      </c>
      <c r="Y40" s="65">
        <f t="shared" si="17"/>
        <v>1222</v>
      </c>
      <c r="Z40" s="65">
        <f t="shared" si="18"/>
        <v>0</v>
      </c>
      <c r="AA40" s="65">
        <f t="shared" si="19"/>
        <v>4457.0749999999998</v>
      </c>
      <c r="AB40" s="65">
        <f t="shared" si="20"/>
        <v>645.60175680000009</v>
      </c>
      <c r="AC40" s="12">
        <f t="shared" si="21"/>
        <v>15126.408055593472</v>
      </c>
      <c r="AD40"/>
      <c r="AE40" s="71">
        <f t="shared" si="3"/>
        <v>1481.1618857345629</v>
      </c>
      <c r="AF40" s="14">
        <f t="shared" si="4"/>
        <v>65.171122972320759</v>
      </c>
      <c r="AG40"/>
      <c r="AH40" s="42">
        <f t="shared" si="5"/>
        <v>15061.236932621152</v>
      </c>
      <c r="AI40" s="97">
        <v>14790.025565994123</v>
      </c>
      <c r="AJ40" s="6">
        <f t="shared" si="22"/>
        <v>271.21136662702884</v>
      </c>
      <c r="AM40"/>
    </row>
    <row r="41" spans="1:43" x14ac:dyDescent="0.25">
      <c r="A41" s="86">
        <f>A40+1</f>
        <v>37131</v>
      </c>
      <c r="B41" s="5"/>
      <c r="C41" s="100">
        <v>5426.3440000000001</v>
      </c>
      <c r="D41" s="96">
        <f t="shared" si="6"/>
        <v>5513.1655040000005</v>
      </c>
      <c r="E41" s="99">
        <v>5501.7175301632369</v>
      </c>
      <c r="F41" s="52">
        <f t="shared" si="0"/>
        <v>5501.7175301632369</v>
      </c>
      <c r="G41" s="29">
        <f t="shared" si="7"/>
        <v>0</v>
      </c>
      <c r="H41" s="11"/>
      <c r="I41" s="61">
        <f t="shared" si="23"/>
        <v>0</v>
      </c>
      <c r="J41" s="98">
        <v>910</v>
      </c>
      <c r="K41" s="52">
        <f t="shared" si="8"/>
        <v>-910</v>
      </c>
      <c r="L41" s="54">
        <f t="shared" si="25"/>
        <v>4591.7175301632369</v>
      </c>
      <c r="M41" s="52">
        <f t="shared" si="9"/>
        <v>910</v>
      </c>
      <c r="N41" s="52">
        <f t="shared" si="27"/>
        <v>1500</v>
      </c>
      <c r="O41" s="52">
        <f t="shared" si="26"/>
        <v>90</v>
      </c>
      <c r="P41" s="54">
        <f t="shared" si="1"/>
        <v>3911.7175301632369</v>
      </c>
      <c r="Q41" s="54">
        <f t="shared" si="2"/>
        <v>3091.7175301632369</v>
      </c>
      <c r="R41" s="64">
        <f t="shared" si="10"/>
        <v>0</v>
      </c>
      <c r="S41" s="65">
        <f t="shared" si="11"/>
        <v>9707.9930447125644</v>
      </c>
      <c r="T41" s="67">
        <f t="shared" si="12"/>
        <v>0</v>
      </c>
      <c r="U41" s="65">
        <f t="shared" si="13"/>
        <v>0</v>
      </c>
      <c r="V41" s="65">
        <f t="shared" si="14"/>
        <v>606.375</v>
      </c>
      <c r="W41" s="65">
        <f t="shared" si="15"/>
        <v>396.2</v>
      </c>
      <c r="X41" s="65">
        <f t="shared" si="16"/>
        <v>2232.5</v>
      </c>
      <c r="Y41" s="65">
        <f t="shared" si="17"/>
        <v>1222</v>
      </c>
      <c r="Z41" s="65">
        <f t="shared" si="18"/>
        <v>0</v>
      </c>
      <c r="AA41" s="65">
        <f t="shared" si="19"/>
        <v>4457.0749999999998</v>
      </c>
      <c r="AB41" s="65">
        <f t="shared" si="20"/>
        <v>634.01403296000012</v>
      </c>
      <c r="AC41" s="12">
        <f t="shared" si="21"/>
        <v>14799.082077672563</v>
      </c>
      <c r="AD41"/>
      <c r="AE41" s="71">
        <f t="shared" si="3"/>
        <v>1581.7154698367631</v>
      </c>
      <c r="AF41" s="14">
        <f t="shared" si="4"/>
        <v>69.595480672817573</v>
      </c>
      <c r="AG41"/>
      <c r="AH41" s="42">
        <f t="shared" si="5"/>
        <v>14729.486596999746</v>
      </c>
      <c r="AI41" s="97">
        <v>14462.882071913215</v>
      </c>
      <c r="AJ41" s="6">
        <f t="shared" si="22"/>
        <v>266.60452508653179</v>
      </c>
      <c r="AM41"/>
    </row>
    <row r="42" spans="1:43" x14ac:dyDescent="0.25">
      <c r="A42" s="86">
        <f>A41+1</f>
        <v>37132</v>
      </c>
      <c r="B42" s="5"/>
      <c r="C42" s="100">
        <v>5762.3280000000004</v>
      </c>
      <c r="D42" s="96">
        <f t="shared" si="6"/>
        <v>5854.5252480000008</v>
      </c>
      <c r="E42" s="99">
        <v>5842.3684477339557</v>
      </c>
      <c r="F42" s="52">
        <f t="shared" si="0"/>
        <v>5842.3684477339557</v>
      </c>
      <c r="G42" s="29">
        <f t="shared" si="7"/>
        <v>0</v>
      </c>
      <c r="H42" s="11"/>
      <c r="I42" s="61">
        <f t="shared" si="23"/>
        <v>0</v>
      </c>
      <c r="J42" s="98">
        <v>910</v>
      </c>
      <c r="K42" s="52">
        <f t="shared" si="8"/>
        <v>-910</v>
      </c>
      <c r="L42" s="54">
        <f t="shared" si="25"/>
        <v>4932.3684477339557</v>
      </c>
      <c r="M42" s="52">
        <f t="shared" si="9"/>
        <v>910</v>
      </c>
      <c r="N42" s="52">
        <f t="shared" si="27"/>
        <v>1500</v>
      </c>
      <c r="O42" s="52">
        <f t="shared" si="26"/>
        <v>90</v>
      </c>
      <c r="P42" s="54">
        <f t="shared" si="1"/>
        <v>4252.3684477339557</v>
      </c>
      <c r="Q42" s="54">
        <f t="shared" si="2"/>
        <v>3432.3684477339557</v>
      </c>
      <c r="R42" s="64">
        <f t="shared" si="10"/>
        <v>0</v>
      </c>
      <c r="S42" s="65">
        <f t="shared" si="11"/>
        <v>10777.636925884621</v>
      </c>
      <c r="T42" s="67">
        <f t="shared" si="12"/>
        <v>0</v>
      </c>
      <c r="U42" s="65">
        <f t="shared" si="13"/>
        <v>0</v>
      </c>
      <c r="V42" s="65">
        <f t="shared" si="14"/>
        <v>606.375</v>
      </c>
      <c r="W42" s="65">
        <f t="shared" si="15"/>
        <v>396.2</v>
      </c>
      <c r="X42" s="65">
        <f t="shared" si="16"/>
        <v>2232.5</v>
      </c>
      <c r="Y42" s="65">
        <f t="shared" si="17"/>
        <v>1222</v>
      </c>
      <c r="Z42" s="65">
        <f t="shared" si="18"/>
        <v>0</v>
      </c>
      <c r="AA42" s="65">
        <f t="shared" si="19"/>
        <v>4457.0749999999998</v>
      </c>
      <c r="AB42" s="65">
        <f t="shared" si="20"/>
        <v>673.27040352000017</v>
      </c>
      <c r="AC42" s="12">
        <f t="shared" si="21"/>
        <v>15907.982329404622</v>
      </c>
      <c r="AD42"/>
      <c r="AE42" s="71">
        <f t="shared" si="3"/>
        <v>1241.0645522660443</v>
      </c>
      <c r="AF42" s="14">
        <f t="shared" si="4"/>
        <v>54.606840299705944</v>
      </c>
      <c r="AG42"/>
      <c r="AH42" s="42">
        <f t="shared" si="5"/>
        <v>15853.375489104916</v>
      </c>
      <c r="AI42" s="97">
        <v>15571.164113085269</v>
      </c>
      <c r="AJ42" s="6">
        <f t="shared" si="22"/>
        <v>282.2113760196462</v>
      </c>
      <c r="AM42"/>
    </row>
    <row r="43" spans="1:43" x14ac:dyDescent="0.25">
      <c r="A43" s="86">
        <f>A42+1</f>
        <v>37133</v>
      </c>
      <c r="B43" s="5"/>
      <c r="C43" s="100">
        <v>5953.5960000000005</v>
      </c>
      <c r="D43" s="96">
        <f t="shared" si="6"/>
        <v>6048.8535360000005</v>
      </c>
      <c r="E43" s="99">
        <v>6036.2932170739132</v>
      </c>
      <c r="F43" s="52">
        <f t="shared" si="0"/>
        <v>6036.2932170739132</v>
      </c>
      <c r="G43" s="29">
        <f t="shared" si="7"/>
        <v>0</v>
      </c>
      <c r="H43" s="11"/>
      <c r="I43" s="61">
        <f t="shared" si="23"/>
        <v>0</v>
      </c>
      <c r="J43" s="98">
        <v>910</v>
      </c>
      <c r="K43" s="52">
        <f t="shared" si="8"/>
        <v>-910</v>
      </c>
      <c r="L43" s="54">
        <f t="shared" si="25"/>
        <v>5126.2932170739132</v>
      </c>
      <c r="M43" s="52">
        <f t="shared" si="9"/>
        <v>910</v>
      </c>
      <c r="N43" s="52">
        <f t="shared" si="27"/>
        <v>1500</v>
      </c>
      <c r="O43" s="52">
        <f t="shared" si="26"/>
        <v>90</v>
      </c>
      <c r="P43" s="54">
        <f t="shared" si="1"/>
        <v>4446.2932170739132</v>
      </c>
      <c r="Q43" s="54">
        <f t="shared" si="2"/>
        <v>3626.2932170739132</v>
      </c>
      <c r="R43" s="64">
        <f t="shared" si="10"/>
        <v>0</v>
      </c>
      <c r="S43" s="65">
        <f t="shared" si="11"/>
        <v>11386.560701612088</v>
      </c>
      <c r="T43" s="67">
        <f t="shared" si="12"/>
        <v>0</v>
      </c>
      <c r="U43" s="65">
        <f t="shared" si="13"/>
        <v>0</v>
      </c>
      <c r="V43" s="65">
        <f t="shared" si="14"/>
        <v>606.375</v>
      </c>
      <c r="W43" s="65">
        <f t="shared" si="15"/>
        <v>396.2</v>
      </c>
      <c r="X43" s="65">
        <f t="shared" si="16"/>
        <v>2232.5</v>
      </c>
      <c r="Y43" s="65">
        <f t="shared" si="17"/>
        <v>1222</v>
      </c>
      <c r="Z43" s="65">
        <f t="shared" si="18"/>
        <v>0</v>
      </c>
      <c r="AA43" s="65">
        <f t="shared" si="19"/>
        <v>4457.0749999999998</v>
      </c>
      <c r="AB43" s="65">
        <f t="shared" si="20"/>
        <v>695.61815664000005</v>
      </c>
      <c r="AC43" s="12">
        <f t="shared" si="21"/>
        <v>16539.253858252087</v>
      </c>
      <c r="AD43"/>
      <c r="AE43" s="71">
        <f t="shared" si="3"/>
        <v>1047.1397829260868</v>
      </c>
      <c r="AF43" s="14">
        <f t="shared" si="4"/>
        <v>46.074150448747815</v>
      </c>
      <c r="AG43"/>
      <c r="AH43" s="78">
        <f t="shared" si="5"/>
        <v>16493.179707803338</v>
      </c>
      <c r="AI43" s="97">
        <v>16202.083708812735</v>
      </c>
      <c r="AJ43" s="6">
        <f t="shared" si="22"/>
        <v>291.09599899060231</v>
      </c>
      <c r="AM43"/>
    </row>
    <row r="44" spans="1:43" ht="13.8" thickBot="1" x14ac:dyDescent="0.3">
      <c r="A44" s="87">
        <f>A43+1</f>
        <v>37134</v>
      </c>
      <c r="B44" s="5"/>
      <c r="C44" s="100">
        <v>6010.268</v>
      </c>
      <c r="D44" s="96">
        <f t="shared" si="6"/>
        <v>6106.432288</v>
      </c>
      <c r="E44" s="99">
        <v>6093.7524079894556</v>
      </c>
      <c r="F44" s="52">
        <f t="shared" si="0"/>
        <v>6093.7524079894556</v>
      </c>
      <c r="G44" s="29">
        <f>IF(F44=E44,0,((E44-F44)*(1-0.01372)))</f>
        <v>0</v>
      </c>
      <c r="H44" s="11"/>
      <c r="I44" s="62">
        <f t="shared" si="23"/>
        <v>0</v>
      </c>
      <c r="J44" s="98">
        <v>910</v>
      </c>
      <c r="K44" s="53">
        <f t="shared" si="8"/>
        <v>-910</v>
      </c>
      <c r="L44" s="54">
        <f t="shared" si="25"/>
        <v>5183.7524079894556</v>
      </c>
      <c r="M44" s="52">
        <f t="shared" si="9"/>
        <v>910</v>
      </c>
      <c r="N44" s="53">
        <f t="shared" si="27"/>
        <v>1500</v>
      </c>
      <c r="O44" s="53">
        <f t="shared" si="26"/>
        <v>90</v>
      </c>
      <c r="P44" s="55">
        <f t="shared" si="1"/>
        <v>4503.7524079894556</v>
      </c>
      <c r="Q44" s="55">
        <f t="shared" si="2"/>
        <v>3683.7524079894556</v>
      </c>
      <c r="R44" s="64">
        <f t="shared" si="10"/>
        <v>0</v>
      </c>
      <c r="S44" s="66">
        <f t="shared" si="11"/>
        <v>11566.98256108689</v>
      </c>
      <c r="T44" s="68">
        <f t="shared" si="12"/>
        <v>0</v>
      </c>
      <c r="U44" s="66">
        <f t="shared" si="13"/>
        <v>0</v>
      </c>
      <c r="V44" s="65">
        <f t="shared" si="14"/>
        <v>606.375</v>
      </c>
      <c r="W44" s="65">
        <f t="shared" si="15"/>
        <v>396.2</v>
      </c>
      <c r="X44" s="65">
        <f t="shared" si="16"/>
        <v>2232.5</v>
      </c>
      <c r="Y44" s="65">
        <f t="shared" si="17"/>
        <v>1222</v>
      </c>
      <c r="Z44" s="65">
        <f t="shared" si="18"/>
        <v>0</v>
      </c>
      <c r="AA44" s="65">
        <f t="shared" si="19"/>
        <v>4457.0749999999998</v>
      </c>
      <c r="AB44" s="66">
        <f t="shared" si="20"/>
        <v>702.23971312000003</v>
      </c>
      <c r="AC44" s="13">
        <f t="shared" si="21"/>
        <v>16726.297274206889</v>
      </c>
      <c r="AD44"/>
      <c r="AE44" s="72">
        <f t="shared" si="3"/>
        <v>989.68059201054439</v>
      </c>
      <c r="AF44" s="15">
        <f t="shared" si="4"/>
        <v>43.545946048463954</v>
      </c>
      <c r="AG44"/>
      <c r="AH44" s="79">
        <f t="shared" si="5"/>
        <v>16682.751328158425</v>
      </c>
      <c r="AI44" s="97">
        <v>16389.022848287543</v>
      </c>
      <c r="AJ44" s="6">
        <f t="shared" si="22"/>
        <v>293.72847987088244</v>
      </c>
      <c r="AM44"/>
    </row>
    <row r="45" spans="1:43" ht="16.2" thickBot="1" x14ac:dyDescent="0.35">
      <c r="A45" s="8"/>
      <c r="B45" s="47" t="s">
        <v>29</v>
      </c>
      <c r="C45" s="44">
        <f t="shared" ref="C45:AH45" si="28">SUM(C14:C44)</f>
        <v>174188.47800000003</v>
      </c>
      <c r="D45" s="46">
        <f t="shared" si="28"/>
        <v>176975.49364800006</v>
      </c>
      <c r="E45" s="46">
        <f t="shared" si="28"/>
        <v>176608.00567778567</v>
      </c>
      <c r="F45" s="46">
        <f t="shared" si="28"/>
        <v>176379.51732312684</v>
      </c>
      <c r="G45" s="45">
        <f t="shared" si="28"/>
        <v>225.35349443290713</v>
      </c>
      <c r="H45" s="27"/>
      <c r="I45" s="44">
        <f t="shared" si="28"/>
        <v>0</v>
      </c>
      <c r="J45" s="46">
        <f t="shared" si="28"/>
        <v>28210</v>
      </c>
      <c r="K45" s="73">
        <f t="shared" si="28"/>
        <v>-27984.646505567092</v>
      </c>
      <c r="L45" s="46">
        <f t="shared" si="28"/>
        <v>148394.87081755977</v>
      </c>
      <c r="M45" s="46">
        <f t="shared" si="28"/>
        <v>28210</v>
      </c>
      <c r="N45" s="46">
        <f t="shared" si="28"/>
        <v>46474</v>
      </c>
      <c r="O45" s="46">
        <f t="shared" si="28"/>
        <v>2610</v>
      </c>
      <c r="P45" s="46">
        <f t="shared" si="28"/>
        <v>127524.00567778567</v>
      </c>
      <c r="Q45" s="46">
        <f t="shared" si="28"/>
        <v>101920.87081755974</v>
      </c>
      <c r="R45" s="48">
        <f t="shared" si="28"/>
        <v>0</v>
      </c>
      <c r="S45" s="74">
        <f t="shared" si="28"/>
        <v>320031.5343671377</v>
      </c>
      <c r="T45" s="74">
        <f t="shared" si="28"/>
        <v>0</v>
      </c>
      <c r="U45" s="74">
        <f t="shared" si="28"/>
        <v>0</v>
      </c>
      <c r="V45" s="74">
        <f>SUM(V14:V44)</f>
        <v>18797.625</v>
      </c>
      <c r="W45" s="74">
        <f>SUM(W14:W44)</f>
        <v>12282.200000000004</v>
      </c>
      <c r="X45" s="74">
        <f>SUM(X14:X44)</f>
        <v>69207.5</v>
      </c>
      <c r="Y45" s="74">
        <f>SUM(Y14:Y44)</f>
        <v>37882</v>
      </c>
      <c r="Z45" s="74">
        <f>SUM(Z14:Z44)</f>
        <v>0</v>
      </c>
      <c r="AA45" s="75">
        <f t="shared" si="28"/>
        <v>138169.32499999995</v>
      </c>
      <c r="AB45" s="74">
        <f t="shared" si="28"/>
        <v>20341.672186320004</v>
      </c>
      <c r="AC45" s="77">
        <f t="shared" si="28"/>
        <v>478542.53155345761</v>
      </c>
      <c r="AD45" s="27"/>
      <c r="AE45" s="44">
        <f t="shared" si="28"/>
        <v>42981.552182440246</v>
      </c>
      <c r="AF45" s="76">
        <f t="shared" si="28"/>
        <v>1891.1882960273708</v>
      </c>
      <c r="AG45" s="27"/>
      <c r="AH45" s="80">
        <f t="shared" si="28"/>
        <v>476651.34325743024</v>
      </c>
      <c r="AJ45" s="6"/>
      <c r="AM45"/>
    </row>
    <row r="46" spans="1:43" x14ac:dyDescent="0.25">
      <c r="AP46" s="88"/>
      <c r="AQ46" s="6"/>
    </row>
  </sheetData>
  <mergeCells count="1">
    <mergeCell ref="F3:G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2001-10-17T16:47:56Z</cp:lastPrinted>
  <dcterms:created xsi:type="dcterms:W3CDTF">2001-10-02T19:56:17Z</dcterms:created>
  <dcterms:modified xsi:type="dcterms:W3CDTF">2023-09-10T15:37:04Z</dcterms:modified>
</cp:coreProperties>
</file>