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36" windowWidth="11280" windowHeight="6612"/>
  </bookViews>
  <sheets>
    <sheet name="Invoice" sheetId="7" r:id="rId1"/>
  </sheets>
  <definedNames>
    <definedName name="_xlnm.Print_Area" localSheetId="0">Invoice!$A$1:$D$45</definedName>
  </definedNames>
  <calcPr calcId="92512"/>
</workbook>
</file>

<file path=xl/calcChain.xml><?xml version="1.0" encoding="utf-8"?>
<calcChain xmlns="http://schemas.openxmlformats.org/spreadsheetml/2006/main">
  <c r="B12" i="7" l="1"/>
  <c r="I12" i="7"/>
  <c r="J12" i="7"/>
  <c r="M12" i="7"/>
  <c r="N12" i="7"/>
  <c r="O12" i="7"/>
  <c r="P12" i="7"/>
  <c r="Q12" i="7"/>
  <c r="R12" i="7"/>
  <c r="B13" i="7"/>
  <c r="I13" i="7"/>
  <c r="J13" i="7"/>
  <c r="K13" i="7"/>
  <c r="L13" i="7"/>
  <c r="M13" i="7"/>
  <c r="N13" i="7"/>
  <c r="O13" i="7"/>
  <c r="P13" i="7"/>
  <c r="Q13" i="7"/>
  <c r="R13" i="7"/>
  <c r="B14" i="7"/>
  <c r="I14" i="7"/>
  <c r="J14" i="7"/>
  <c r="K14" i="7"/>
  <c r="L14" i="7"/>
  <c r="M14" i="7"/>
  <c r="N14" i="7"/>
  <c r="O14" i="7"/>
  <c r="P14" i="7"/>
  <c r="Q14" i="7"/>
  <c r="R14" i="7"/>
  <c r="I15" i="7"/>
  <c r="J15" i="7"/>
  <c r="K15" i="7"/>
  <c r="L15" i="7"/>
  <c r="M15" i="7"/>
  <c r="N15" i="7"/>
  <c r="O15" i="7"/>
  <c r="P15" i="7"/>
  <c r="Q15" i="7"/>
  <c r="R15" i="7"/>
  <c r="B16" i="7"/>
  <c r="I16" i="7"/>
  <c r="J16" i="7"/>
  <c r="K16" i="7"/>
  <c r="L16" i="7"/>
  <c r="M16" i="7"/>
  <c r="N16" i="7"/>
  <c r="O16" i="7"/>
  <c r="P16" i="7"/>
  <c r="Q16" i="7"/>
  <c r="R16" i="7"/>
  <c r="B17" i="7"/>
  <c r="I17" i="7"/>
  <c r="J17" i="7"/>
  <c r="K17" i="7"/>
  <c r="L17" i="7"/>
  <c r="M17" i="7"/>
  <c r="N17" i="7"/>
  <c r="O17" i="7"/>
  <c r="P17" i="7"/>
  <c r="Q17" i="7"/>
  <c r="R17" i="7"/>
  <c r="B18" i="7"/>
  <c r="I18" i="7"/>
  <c r="J18" i="7"/>
  <c r="K18" i="7"/>
  <c r="L18" i="7"/>
  <c r="M18" i="7"/>
  <c r="N18" i="7"/>
  <c r="O18" i="7"/>
  <c r="P18" i="7"/>
  <c r="Q18" i="7"/>
  <c r="R18" i="7"/>
  <c r="I19" i="7"/>
  <c r="J19" i="7"/>
  <c r="K19" i="7"/>
  <c r="L19" i="7"/>
  <c r="M19" i="7"/>
  <c r="N19" i="7"/>
  <c r="O19" i="7"/>
  <c r="P19" i="7"/>
  <c r="Q19" i="7"/>
  <c r="R19" i="7"/>
  <c r="I20" i="7"/>
  <c r="J20" i="7"/>
  <c r="K20" i="7"/>
  <c r="L20" i="7"/>
  <c r="M20" i="7"/>
  <c r="N20" i="7"/>
  <c r="O20" i="7"/>
  <c r="P20" i="7"/>
  <c r="Q20" i="7"/>
  <c r="R20" i="7"/>
  <c r="B21" i="7"/>
  <c r="C21" i="7"/>
  <c r="D21" i="7"/>
  <c r="I21" i="7"/>
  <c r="J21" i="7"/>
  <c r="K21" i="7"/>
  <c r="L21" i="7"/>
  <c r="M21" i="7"/>
  <c r="N21" i="7"/>
  <c r="O21" i="7"/>
  <c r="P21" i="7"/>
  <c r="Q21" i="7"/>
  <c r="R21" i="7"/>
  <c r="B22" i="7"/>
  <c r="D22" i="7"/>
  <c r="I22" i="7"/>
  <c r="J22" i="7"/>
  <c r="K22" i="7"/>
  <c r="L22" i="7"/>
  <c r="M22" i="7"/>
  <c r="N22" i="7"/>
  <c r="O22" i="7"/>
  <c r="P22" i="7"/>
  <c r="Q22" i="7"/>
  <c r="R22" i="7"/>
  <c r="B23" i="7"/>
  <c r="D23" i="7"/>
  <c r="I23" i="7"/>
  <c r="J23" i="7"/>
  <c r="K23" i="7"/>
  <c r="L23" i="7"/>
  <c r="M23" i="7"/>
  <c r="N23" i="7"/>
  <c r="O23" i="7"/>
  <c r="P23" i="7"/>
  <c r="Q23" i="7"/>
  <c r="R23" i="7"/>
  <c r="I24" i="7"/>
  <c r="J24" i="7"/>
  <c r="K24" i="7"/>
  <c r="L24" i="7"/>
  <c r="M24" i="7"/>
  <c r="N24" i="7"/>
  <c r="O24" i="7"/>
  <c r="P24" i="7"/>
  <c r="Q24" i="7"/>
  <c r="R24" i="7"/>
  <c r="B25" i="7"/>
  <c r="C25" i="7"/>
  <c r="D25" i="7"/>
  <c r="I25" i="7"/>
  <c r="J25" i="7"/>
  <c r="K25" i="7"/>
  <c r="L25" i="7"/>
  <c r="M25" i="7"/>
  <c r="N25" i="7"/>
  <c r="O25" i="7"/>
  <c r="P25" i="7"/>
  <c r="Q25" i="7"/>
  <c r="R25" i="7"/>
  <c r="B26" i="7"/>
  <c r="C26" i="7"/>
  <c r="D26" i="7"/>
  <c r="I26" i="7"/>
  <c r="J26" i="7"/>
  <c r="K26" i="7"/>
  <c r="L26" i="7"/>
  <c r="M26" i="7"/>
  <c r="N26" i="7"/>
  <c r="O26" i="7"/>
  <c r="P26" i="7"/>
  <c r="Q26" i="7"/>
  <c r="R26" i="7"/>
  <c r="B27" i="7"/>
  <c r="D27" i="7"/>
  <c r="I27" i="7"/>
  <c r="J27" i="7"/>
  <c r="K27" i="7"/>
  <c r="L27" i="7"/>
  <c r="M27" i="7"/>
  <c r="N27" i="7"/>
  <c r="O27" i="7"/>
  <c r="P27" i="7"/>
  <c r="Q27" i="7"/>
  <c r="R27" i="7"/>
  <c r="I28" i="7"/>
  <c r="J28" i="7"/>
  <c r="K28" i="7"/>
  <c r="L28" i="7"/>
  <c r="M28" i="7"/>
  <c r="N28" i="7"/>
  <c r="O28" i="7"/>
  <c r="P28" i="7"/>
  <c r="Q28" i="7"/>
  <c r="R28" i="7"/>
  <c r="I29" i="7"/>
  <c r="J29" i="7"/>
  <c r="K29" i="7"/>
  <c r="L29" i="7"/>
  <c r="M29" i="7"/>
  <c r="N29" i="7"/>
  <c r="O29" i="7"/>
  <c r="P29" i="7"/>
  <c r="Q29" i="7"/>
  <c r="R29" i="7"/>
  <c r="C30" i="7"/>
  <c r="D30" i="7"/>
  <c r="I30" i="7"/>
  <c r="J30" i="7"/>
  <c r="K30" i="7"/>
  <c r="L30" i="7"/>
  <c r="M30" i="7"/>
  <c r="N30" i="7"/>
  <c r="O30" i="7"/>
  <c r="P30" i="7"/>
  <c r="Q30" i="7"/>
  <c r="R30" i="7"/>
  <c r="I31" i="7"/>
  <c r="J31" i="7"/>
  <c r="K31" i="7"/>
  <c r="L31" i="7"/>
  <c r="M31" i="7"/>
  <c r="N31" i="7"/>
  <c r="O31" i="7"/>
  <c r="P31" i="7"/>
  <c r="Q31" i="7"/>
  <c r="R31" i="7"/>
  <c r="I32" i="7"/>
  <c r="J32" i="7"/>
  <c r="K32" i="7"/>
  <c r="L32" i="7"/>
  <c r="M32" i="7"/>
  <c r="N32" i="7"/>
  <c r="O32" i="7"/>
  <c r="P32" i="7"/>
  <c r="Q32" i="7"/>
  <c r="R32" i="7"/>
  <c r="B33" i="7"/>
  <c r="D33" i="7"/>
  <c r="I33" i="7"/>
  <c r="J33" i="7"/>
  <c r="K33" i="7"/>
  <c r="L33" i="7"/>
  <c r="M33" i="7"/>
  <c r="N33" i="7"/>
  <c r="O33" i="7"/>
  <c r="P33" i="7"/>
  <c r="Q33" i="7"/>
  <c r="R33" i="7"/>
  <c r="C34" i="7"/>
  <c r="D34" i="7"/>
  <c r="I34" i="7"/>
  <c r="J34" i="7"/>
  <c r="K34" i="7"/>
  <c r="L34" i="7"/>
  <c r="M34" i="7"/>
  <c r="N34" i="7"/>
  <c r="O34" i="7"/>
  <c r="P34" i="7"/>
  <c r="Q34" i="7"/>
  <c r="R34" i="7"/>
  <c r="I35" i="7"/>
  <c r="J35" i="7"/>
  <c r="K35" i="7"/>
  <c r="L35" i="7"/>
  <c r="M35" i="7"/>
  <c r="N35" i="7"/>
  <c r="O35" i="7"/>
  <c r="P35" i="7"/>
  <c r="Q35" i="7"/>
  <c r="R35" i="7"/>
  <c r="D36" i="7"/>
  <c r="I36" i="7"/>
  <c r="J36" i="7"/>
  <c r="K36" i="7"/>
  <c r="L36" i="7"/>
  <c r="M36" i="7"/>
  <c r="N36" i="7"/>
  <c r="O36" i="7"/>
  <c r="P36" i="7"/>
  <c r="Q36" i="7"/>
  <c r="R36" i="7"/>
  <c r="I37" i="7"/>
  <c r="J37" i="7"/>
  <c r="K37" i="7"/>
  <c r="L37" i="7"/>
  <c r="M37" i="7"/>
  <c r="N37" i="7"/>
  <c r="O37" i="7"/>
  <c r="P37" i="7"/>
  <c r="Q37" i="7"/>
  <c r="R37" i="7"/>
  <c r="I38" i="7"/>
  <c r="J38" i="7"/>
  <c r="K38" i="7"/>
  <c r="L38" i="7"/>
  <c r="M38" i="7"/>
  <c r="N38" i="7"/>
  <c r="O38" i="7"/>
  <c r="P38" i="7"/>
  <c r="Q38" i="7"/>
  <c r="R38" i="7"/>
  <c r="I39" i="7"/>
  <c r="J39" i="7"/>
  <c r="K39" i="7"/>
  <c r="L39" i="7"/>
  <c r="M39" i="7"/>
  <c r="N39" i="7"/>
  <c r="O39" i="7"/>
  <c r="P39" i="7"/>
  <c r="Q39" i="7"/>
  <c r="R39" i="7"/>
  <c r="I40" i="7"/>
  <c r="J40" i="7"/>
  <c r="K40" i="7"/>
  <c r="L40" i="7"/>
  <c r="M40" i="7"/>
  <c r="N40" i="7"/>
  <c r="O40" i="7"/>
  <c r="P40" i="7"/>
  <c r="Q40" i="7"/>
  <c r="R40" i="7"/>
  <c r="I41" i="7"/>
  <c r="J41" i="7"/>
  <c r="K41" i="7"/>
  <c r="L41" i="7"/>
  <c r="M41" i="7"/>
  <c r="N41" i="7"/>
  <c r="O41" i="7"/>
  <c r="P41" i="7"/>
  <c r="Q41" i="7"/>
  <c r="R41" i="7"/>
  <c r="I42" i="7"/>
  <c r="J42" i="7"/>
  <c r="K42" i="7"/>
  <c r="L42" i="7"/>
  <c r="M42" i="7"/>
  <c r="N42" i="7"/>
  <c r="O42" i="7"/>
  <c r="P42" i="7"/>
  <c r="Q42" i="7"/>
  <c r="R42" i="7"/>
  <c r="B43" i="7"/>
  <c r="H43" i="7"/>
  <c r="I43" i="7"/>
  <c r="J43" i="7"/>
  <c r="K43" i="7"/>
  <c r="L43" i="7"/>
  <c r="M43" i="7"/>
  <c r="N43" i="7"/>
  <c r="O43" i="7"/>
  <c r="P43" i="7"/>
  <c r="Q43" i="7"/>
  <c r="R43" i="7"/>
  <c r="N44" i="7"/>
  <c r="B45" i="7"/>
  <c r="B49" i="7"/>
  <c r="B50" i="7"/>
</calcChain>
</file>

<file path=xl/sharedStrings.xml><?xml version="1.0" encoding="utf-8"?>
<sst xmlns="http://schemas.openxmlformats.org/spreadsheetml/2006/main" count="86" uniqueCount="51">
  <si>
    <t>City of Pasadena</t>
  </si>
  <si>
    <t>Mid</t>
  </si>
  <si>
    <t>NGI SoCal</t>
  </si>
  <si>
    <t>Date</t>
  </si>
  <si>
    <t>$/MMBtu</t>
  </si>
  <si>
    <t>IFGMR EP San Juan</t>
  </si>
  <si>
    <t>Border</t>
  </si>
  <si>
    <t>Pasadena</t>
  </si>
  <si>
    <t>MMBtu</t>
  </si>
  <si>
    <t>$</t>
  </si>
  <si>
    <t>Net Nomination</t>
  </si>
  <si>
    <t>Usage</t>
  </si>
  <si>
    <t>Net Usage</t>
  </si>
  <si>
    <t xml:space="preserve">Kern River Station Purchases </t>
  </si>
  <si>
    <t>Totals</t>
  </si>
  <si>
    <t>Purchases</t>
  </si>
  <si>
    <t>APEA</t>
  </si>
  <si>
    <t>Sales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</si>
  <si>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</si>
  <si>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</si>
  <si>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</si>
  <si>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</si>
  <si>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</si>
  <si>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</si>
  <si>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</si>
  <si>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APEA Nomination</t>
  </si>
  <si>
    <t>Less APEA Usage</t>
  </si>
  <si>
    <t>Fixed (demand charge)</t>
  </si>
  <si>
    <t>Variable  (demand charge)</t>
  </si>
  <si>
    <t># of Days</t>
  </si>
  <si>
    <t xml:space="preserve">Amount Due </t>
  </si>
  <si>
    <t xml:space="preserve"> </t>
  </si>
  <si>
    <t>Fixed Price</t>
  </si>
  <si>
    <t>KRS</t>
  </si>
  <si>
    <t>KRS NGI Supply</t>
  </si>
  <si>
    <t>KRS NGI Delivery</t>
  </si>
  <si>
    <t>Fuel</t>
  </si>
  <si>
    <t>Variable</t>
  </si>
  <si>
    <t>Total Nomination</t>
  </si>
  <si>
    <t>El Paso Capacity</t>
  </si>
  <si>
    <t>NGI Deliveries</t>
  </si>
  <si>
    <t>Fixed Price Deliveries</t>
  </si>
  <si>
    <t>Gas Daily Deliveries</t>
  </si>
  <si>
    <t>Gas Daily Purchases</t>
  </si>
  <si>
    <t>Enron Sales to Pasadena</t>
  </si>
  <si>
    <t>Enron Purchases from Pasadena</t>
  </si>
  <si>
    <t>Net Due Enron/(Pasadena)</t>
  </si>
  <si>
    <t>March 2001 Invoice</t>
  </si>
  <si>
    <t>should be zero</t>
  </si>
  <si>
    <t>Add'l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</si>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</sst>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69" formatCode="_(* #,##0.000_);_(* \(#,##0.000\);_(* &quot;-&quot;?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9"/>
      <color indexed="48"/>
      <name val="Arial"/>
      <family val="2"/>
    </font>
    <font>
      <sz val="10"/>
      <color indexed="14"/>
      <name val="Arial"/>
      <family val="2"/>
    </font>
    <font>
      <sz val="10"/>
      <color indexed="4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65" fontId="2" fillId="0" borderId="0" xfId="1" applyNumberFormat="1"/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70" fontId="2" fillId="0" borderId="0" xfId="1" applyNumberFormat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165" fontId="0" fillId="0" borderId="0" xfId="0" applyNumberFormat="1"/>
    <xf numFmtId="177" fontId="5" fillId="0" borderId="0" xfId="0" applyNumberFormat="1" applyFont="1" applyFill="1" applyBorder="1" applyAlignment="1"/>
    <xf numFmtId="43" fontId="2" fillId="0" borderId="0" xfId="1" applyBorder="1"/>
    <xf numFmtId="43" fontId="2" fillId="0" borderId="0" xfId="1"/>
    <xf numFmtId="43" fontId="2" fillId="0" borderId="0" xfId="1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170" fontId="4" fillId="0" borderId="0" xfId="1" applyNumberFormat="1" applyFont="1"/>
    <xf numFmtId="165" fontId="4" fillId="0" borderId="0" xfId="0" applyNumberFormat="1" applyFont="1"/>
    <xf numFmtId="165" fontId="4" fillId="0" borderId="1" xfId="0" applyNumberFormat="1" applyFont="1" applyBorder="1"/>
    <xf numFmtId="170" fontId="4" fillId="0" borderId="0" xfId="1" applyNumberFormat="1" applyFont="1" applyBorder="1"/>
    <xf numFmtId="165" fontId="4" fillId="0" borderId="0" xfId="0" applyNumberFormat="1" applyFont="1" applyBorder="1"/>
    <xf numFmtId="3" fontId="4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173" fontId="2" fillId="0" borderId="0" xfId="1" applyNumberFormat="1" applyAlignment="1">
      <alignment horizontal="right"/>
    </xf>
    <xf numFmtId="38" fontId="5" fillId="0" borderId="0" xfId="0" applyNumberFormat="1" applyFont="1" applyFill="1" applyBorder="1" applyAlignment="1">
      <alignment horizontal="right"/>
    </xf>
    <xf numFmtId="16" fontId="0" fillId="0" borderId="0" xfId="0" applyNumberFormat="1" applyAlignment="1">
      <alignment horizontal="center"/>
    </xf>
    <xf numFmtId="165" fontId="4" fillId="0" borderId="0" xfId="1" quotePrefix="1" applyNumberFormat="1" applyFont="1" applyFill="1" applyBorder="1" applyAlignment="1"/>
    <xf numFmtId="43" fontId="4" fillId="0" borderId="0" xfId="1" quotePrefix="1" applyNumberFormat="1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43" fontId="1" fillId="0" borderId="2" xfId="1" applyFont="1" applyBorder="1" applyAlignment="1">
      <alignment horizontal="right"/>
    </xf>
    <xf numFmtId="170" fontId="7" fillId="0" borderId="0" xfId="1" applyNumberFormat="1" applyFont="1" applyAlignment="1">
      <alignment horizontal="left"/>
    </xf>
    <xf numFmtId="165" fontId="6" fillId="0" borderId="0" xfId="1" quotePrefix="1" applyNumberFormat="1" applyFont="1" applyFill="1" applyBorder="1" applyAlignment="1"/>
    <xf numFmtId="165" fontId="6" fillId="0" borderId="0" xfId="1" applyNumberFormat="1" applyFont="1" applyFill="1" applyBorder="1" applyAlignment="1">
      <alignment horizontal="center"/>
    </xf>
    <xf numFmtId="165" fontId="6" fillId="0" borderId="0" xfId="1" quotePrefix="1" applyNumberFormat="1" applyFont="1" applyFill="1" applyBorder="1" applyAlignment="1">
      <alignment horizontal="center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70" fontId="8" fillId="0" borderId="0" xfId="1" applyNumberFormat="1" applyFont="1" applyAlignment="1">
      <alignment horizontal="left"/>
    </xf>
    <xf numFmtId="164" fontId="9" fillId="0" borderId="0" xfId="0" applyNumberFormat="1" applyFont="1" applyAlignment="1">
      <alignment horizontal="center"/>
    </xf>
    <xf numFmtId="165" fontId="3" fillId="0" borderId="2" xfId="1" applyNumberFormat="1" applyFont="1" applyBorder="1" applyAlignment="1">
      <alignment horizontal="right"/>
    </xf>
    <xf numFmtId="43" fontId="3" fillId="0" borderId="3" xfId="1" applyFont="1" applyBorder="1"/>
    <xf numFmtId="165" fontId="4" fillId="0" borderId="0" xfId="0" applyNumberFormat="1" applyFont="1" applyFill="1"/>
    <xf numFmtId="168" fontId="4" fillId="0" borderId="0" xfId="0" applyNumberFormat="1" applyFont="1" applyFill="1"/>
    <xf numFmtId="173" fontId="10" fillId="0" borderId="0" xfId="1" applyNumberFormat="1" applyFont="1"/>
    <xf numFmtId="170" fontId="10" fillId="0" borderId="0" xfId="1" applyNumberFormat="1" applyFont="1"/>
    <xf numFmtId="16" fontId="0" fillId="0" borderId="1" xfId="0" applyNumberFormat="1" applyBorder="1" applyAlignment="1">
      <alignment horizontal="center"/>
    </xf>
    <xf numFmtId="173" fontId="2" fillId="0" borderId="1" xfId="1" applyNumberFormat="1" applyBorder="1" applyAlignment="1">
      <alignment horizontal="right"/>
    </xf>
    <xf numFmtId="165" fontId="4" fillId="0" borderId="1" xfId="1" quotePrefix="1" applyNumberFormat="1" applyFont="1" applyFill="1" applyBorder="1" applyAlignment="1"/>
    <xf numFmtId="43" fontId="4" fillId="0" borderId="1" xfId="1" quotePrefix="1" applyNumberFormat="1" applyFont="1" applyFill="1" applyBorder="1" applyAlignment="1"/>
    <xf numFmtId="43" fontId="2" fillId="0" borderId="1" xfId="1" quotePrefix="1" applyFont="1" applyBorder="1"/>
    <xf numFmtId="167" fontId="10" fillId="2" borderId="0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right"/>
    </xf>
    <xf numFmtId="167" fontId="10" fillId="2" borderId="1" xfId="0" applyNumberFormat="1" applyFont="1" applyFill="1" applyBorder="1" applyAlignment="1">
      <alignment horizontal="center"/>
    </xf>
    <xf numFmtId="38" fontId="10" fillId="0" borderId="1" xfId="0" applyNumberFormat="1" applyFont="1" applyFill="1" applyBorder="1" applyAlignment="1">
      <alignment horizontal="right"/>
    </xf>
    <xf numFmtId="38" fontId="5" fillId="0" borderId="1" xfId="0" applyNumberFormat="1" applyFont="1" applyFill="1" applyBorder="1" applyAlignment="1">
      <alignment horizontal="right"/>
    </xf>
    <xf numFmtId="177" fontId="5" fillId="0" borderId="1" xfId="0" applyNumberFormat="1" applyFont="1" applyFill="1" applyBorder="1" applyAlignment="1"/>
    <xf numFmtId="165" fontId="10" fillId="0" borderId="0" xfId="1" applyNumberFormat="1" applyFont="1"/>
    <xf numFmtId="165" fontId="2" fillId="0" borderId="0" xfId="1" applyNumberFormat="1" applyFont="1"/>
    <xf numFmtId="164" fontId="10" fillId="0" borderId="0" xfId="0" applyNumberFormat="1" applyFont="1"/>
    <xf numFmtId="165" fontId="10" fillId="0" borderId="1" xfId="1" applyNumberFormat="1" applyFont="1" applyBorder="1"/>
    <xf numFmtId="165" fontId="10" fillId="0" borderId="0" xfId="1" applyNumberFormat="1" applyFont="1" applyBorder="1"/>
    <xf numFmtId="168" fontId="4" fillId="0" borderId="4" xfId="0" applyNumberFormat="1" applyFont="1" applyBorder="1"/>
    <xf numFmtId="0" fontId="11" fillId="0" borderId="0" xfId="0" applyFont="1"/>
    <xf numFmtId="165" fontId="2" fillId="0" borderId="0" xfId="1" applyNumberFormat="1" applyAlignment="1">
      <alignment horizontal="right"/>
    </xf>
    <xf numFmtId="169" fontId="4" fillId="0" borderId="0" xfId="1" applyNumberFormat="1" applyFont="1"/>
    <xf numFmtId="170" fontId="4" fillId="0" borderId="5" xfId="0" applyNumberFormat="1" applyFont="1" applyBorder="1"/>
    <xf numFmtId="43" fontId="2" fillId="0" borderId="1" xfId="1" applyBorder="1"/>
    <xf numFmtId="173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48</xdr:row>
      <xdr:rowOff>91440</xdr:rowOff>
    </xdr:from>
    <xdr:to>
      <xdr:col>2</xdr:col>
      <xdr:colOff>678180</xdr:colOff>
      <xdr:row>48</xdr:row>
      <xdr:rowOff>91440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3390900" y="8168640"/>
          <a:ext cx="6172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60960</xdr:colOff>
      <xdr:row>49</xdr:row>
      <xdr:rowOff>91440</xdr:rowOff>
    </xdr:from>
    <xdr:to>
      <xdr:col>2</xdr:col>
      <xdr:colOff>678180</xdr:colOff>
      <xdr:row>49</xdr:row>
      <xdr:rowOff>91440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3390900" y="8336280"/>
          <a:ext cx="6172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8"/>
  <sheetViews>
    <sheetView tabSelected="1" workbookViewId="0">
      <selection activeCell="C25" sqref="C25"/>
    </sheetView>
  </sheetViews>
  <sheetFormatPr defaultRowHeight="13.2" x14ac:dyDescent="0.25"/>
  <cols>
    <col min="1" max="1" width="36.6640625" bestFit="1" customWidth="1"/>
    <col min="2" max="2" width="11.88671875" style="38" bestFit="1" customWidth="1"/>
    <col min="3" max="3" width="11" customWidth="1"/>
    <col min="4" max="4" width="14.88671875" customWidth="1"/>
    <col min="6" max="6" width="10.109375" style="26" customWidth="1"/>
    <col min="7" max="7" width="11.6640625" style="26" customWidth="1"/>
    <col min="8" max="8" width="11.5546875" bestFit="1" customWidth="1"/>
    <col min="9" max="9" width="10.5546875" style="46" bestFit="1" customWidth="1"/>
    <col min="10" max="10" width="10.5546875" style="46" customWidth="1"/>
    <col min="11" max="11" width="11.5546875" style="46" customWidth="1"/>
    <col min="12" max="13" width="10.5546875" style="46" customWidth="1"/>
    <col min="14" max="15" width="12" customWidth="1"/>
    <col min="16" max="16" width="12.88671875" bestFit="1" customWidth="1"/>
    <col min="17" max="17" width="12.109375" customWidth="1"/>
    <col min="18" max="18" width="13.33203125" customWidth="1"/>
  </cols>
  <sheetData>
    <row r="1" spans="1:18" x14ac:dyDescent="0.25">
      <c r="A1" s="1" t="s">
        <v>0</v>
      </c>
      <c r="C1" s="2"/>
      <c r="D1" s="3"/>
      <c r="E1" s="5"/>
      <c r="F1" s="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x14ac:dyDescent="0.25">
      <c r="A2" s="36" t="s">
        <v>47</v>
      </c>
      <c r="F2" s="7"/>
      <c r="N2" s="37"/>
      <c r="O2" s="61"/>
      <c r="P2" s="60"/>
      <c r="Q2" s="61"/>
      <c r="R2" s="60"/>
    </row>
    <row r="3" spans="1:18" x14ac:dyDescent="0.25">
      <c r="A3" s="36"/>
      <c r="F3" s="7"/>
      <c r="N3" s="37"/>
      <c r="O3" s="59"/>
      <c r="Q3" s="7"/>
      <c r="R3" s="7"/>
    </row>
    <row r="4" spans="1:18" x14ac:dyDescent="0.25">
      <c r="A4" s="1"/>
      <c r="H4" t="s">
        <v>31</v>
      </c>
      <c r="L4" s="46" t="s">
        <v>31</v>
      </c>
    </row>
    <row r="5" spans="1:18" x14ac:dyDescent="0.25">
      <c r="A5" s="58" t="s">
        <v>29</v>
      </c>
      <c r="B5" s="71">
        <v>31</v>
      </c>
      <c r="H5" t="s">
        <v>31</v>
      </c>
    </row>
    <row r="6" spans="1:18" x14ac:dyDescent="0.25">
      <c r="A6" s="1" t="s">
        <v>2</v>
      </c>
      <c r="B6" s="72">
        <v>12.58</v>
      </c>
      <c r="C6" s="65"/>
      <c r="I6" s="95" t="s">
        <v>31</v>
      </c>
    </row>
    <row r="7" spans="1:18" x14ac:dyDescent="0.25">
      <c r="A7" s="1" t="s">
        <v>5</v>
      </c>
      <c r="B7" s="72">
        <v>4.83</v>
      </c>
      <c r="C7" s="65"/>
      <c r="J7" s="46" t="s">
        <v>31</v>
      </c>
    </row>
    <row r="8" spans="1:18" x14ac:dyDescent="0.25">
      <c r="A8" s="1"/>
      <c r="B8" s="39"/>
      <c r="C8" s="8"/>
      <c r="F8" s="7"/>
      <c r="G8" s="64"/>
      <c r="H8" s="63"/>
      <c r="O8" s="7" t="s">
        <v>23</v>
      </c>
      <c r="P8" s="7" t="s">
        <v>23</v>
      </c>
      <c r="Q8" s="7" t="s">
        <v>23</v>
      </c>
      <c r="R8" s="7" t="s">
        <v>23</v>
      </c>
    </row>
    <row r="9" spans="1:18" x14ac:dyDescent="0.25">
      <c r="B9" s="9"/>
      <c r="C9" s="8"/>
      <c r="F9" s="7"/>
      <c r="G9" s="7" t="s">
        <v>23</v>
      </c>
      <c r="H9" s="45" t="s">
        <v>24</v>
      </c>
      <c r="I9" s="45" t="s">
        <v>7</v>
      </c>
      <c r="K9" s="45" t="s">
        <v>32</v>
      </c>
      <c r="L9" s="45" t="s">
        <v>33</v>
      </c>
      <c r="M9" s="45" t="s">
        <v>49</v>
      </c>
      <c r="N9" s="45" t="s">
        <v>20</v>
      </c>
      <c r="O9" s="7" t="s">
        <v>15</v>
      </c>
      <c r="P9" s="7" t="s">
        <v>15</v>
      </c>
      <c r="Q9" s="7" t="s">
        <v>17</v>
      </c>
      <c r="R9" s="7" t="s">
        <v>17</v>
      </c>
    </row>
    <row r="10" spans="1:18" x14ac:dyDescent="0.25">
      <c r="B10" s="45" t="s">
        <v>6</v>
      </c>
      <c r="C10" s="46"/>
      <c r="D10" s="28"/>
      <c r="F10" s="7" t="s">
        <v>31</v>
      </c>
      <c r="G10" s="7" t="s">
        <v>1</v>
      </c>
      <c r="H10" s="45" t="s">
        <v>11</v>
      </c>
      <c r="I10" s="45" t="s">
        <v>22</v>
      </c>
      <c r="J10" s="45" t="s">
        <v>16</v>
      </c>
      <c r="K10" s="45" t="s">
        <v>50</v>
      </c>
      <c r="L10" s="45" t="s">
        <v>50</v>
      </c>
      <c r="M10" s="45" t="s">
        <v>50</v>
      </c>
      <c r="N10" s="45" t="s">
        <v>21</v>
      </c>
      <c r="O10" s="7" t="s">
        <v>19</v>
      </c>
      <c r="P10" s="7" t="s">
        <v>19</v>
      </c>
      <c r="Q10" s="7" t="s">
        <v>18</v>
      </c>
      <c r="R10" s="7" t="s">
        <v>18</v>
      </c>
    </row>
    <row r="11" spans="1:18" ht="13.8" thickBot="1" x14ac:dyDescent="0.3">
      <c r="A11" s="55" t="s">
        <v>7</v>
      </c>
      <c r="B11" s="54" t="s">
        <v>8</v>
      </c>
      <c r="C11" s="56" t="s">
        <v>4</v>
      </c>
      <c r="D11" s="57" t="s">
        <v>30</v>
      </c>
      <c r="F11" s="53" t="s">
        <v>3</v>
      </c>
      <c r="G11" s="53" t="s">
        <v>4</v>
      </c>
      <c r="H11" s="54" t="s">
        <v>8</v>
      </c>
      <c r="I11" s="54" t="s">
        <v>8</v>
      </c>
      <c r="J11" s="54" t="s">
        <v>8</v>
      </c>
      <c r="K11" s="54" t="s">
        <v>8</v>
      </c>
      <c r="L11" s="54" t="s">
        <v>8</v>
      </c>
      <c r="M11" s="54" t="s">
        <v>8</v>
      </c>
      <c r="N11" s="54" t="s">
        <v>8</v>
      </c>
      <c r="O11" s="53" t="s">
        <v>8</v>
      </c>
      <c r="P11" s="53" t="s">
        <v>9</v>
      </c>
      <c r="Q11" s="53" t="s">
        <v>8</v>
      </c>
      <c r="R11" s="53" t="s">
        <v>9</v>
      </c>
    </row>
    <row r="12" spans="1:18" x14ac:dyDescent="0.25">
      <c r="A12" t="s">
        <v>38</v>
      </c>
      <c r="B12" s="84">
        <f>10000*31</f>
        <v>310000</v>
      </c>
      <c r="C12" s="8"/>
      <c r="D12" s="8"/>
      <c r="E12" s="8"/>
      <c r="F12" s="50">
        <v>36951</v>
      </c>
      <c r="G12" s="78">
        <v>12.955</v>
      </c>
      <c r="H12" s="79">
        <v>8481</v>
      </c>
      <c r="I12" s="48">
        <f>B12/B5</f>
        <v>10000</v>
      </c>
      <c r="J12" s="49">
        <f>(3000*B5)/B5</f>
        <v>3000</v>
      </c>
      <c r="K12" s="79">
        <v>1500</v>
      </c>
      <c r="L12" s="79">
        <v>3944</v>
      </c>
      <c r="M12" s="79">
        <f>I12-J12-K12-L12</f>
        <v>1556</v>
      </c>
      <c r="N12" s="32">
        <f>H12-J12-K12-L12-M12</f>
        <v>-1519</v>
      </c>
      <c r="O12" s="51">
        <f t="shared" ref="O12:O42" si="0">IF(N12&gt;0,N12,0)</f>
        <v>0</v>
      </c>
      <c r="P12" s="52">
        <f t="shared" ref="P12:P42" si="1">O12*G12</f>
        <v>0</v>
      </c>
      <c r="Q12" s="51">
        <f t="shared" ref="Q12:Q42" si="2">IF(N12&gt;0,0,N12)</f>
        <v>-1519</v>
      </c>
      <c r="R12" s="35">
        <f t="shared" ref="R12:R42" si="3">Q12*G12</f>
        <v>-19678.645</v>
      </c>
    </row>
    <row r="13" spans="1:18" x14ac:dyDescent="0.25">
      <c r="A13" t="s">
        <v>25</v>
      </c>
      <c r="B13" s="10">
        <f>3000*B5</f>
        <v>93000</v>
      </c>
      <c r="C13" s="8"/>
      <c r="D13" s="8"/>
      <c r="E13" s="8"/>
      <c r="F13" s="50">
        <v>36952</v>
      </c>
      <c r="G13" s="78">
        <v>23.95</v>
      </c>
      <c r="H13" s="79">
        <v>8281</v>
      </c>
      <c r="I13" s="48">
        <f t="shared" ref="I13:I42" si="4">$I$12</f>
        <v>10000</v>
      </c>
      <c r="J13" s="49">
        <f t="shared" ref="J13:J42" si="5">$J$12</f>
        <v>3000</v>
      </c>
      <c r="K13" s="49">
        <f t="shared" ref="K13:K42" si="6">K12</f>
        <v>1500</v>
      </c>
      <c r="L13" s="49">
        <f t="shared" ref="L13:M42" si="7">L12</f>
        <v>3944</v>
      </c>
      <c r="M13" s="49">
        <f t="shared" si="7"/>
        <v>1556</v>
      </c>
      <c r="N13" s="32">
        <f t="shared" ref="N13:N42" si="8">H13-J13-K13-L13-M13</f>
        <v>-1719</v>
      </c>
      <c r="O13" s="51">
        <f t="shared" si="0"/>
        <v>0</v>
      </c>
      <c r="P13" s="52">
        <f t="shared" si="1"/>
        <v>0</v>
      </c>
      <c r="Q13" s="51">
        <f t="shared" si="2"/>
        <v>-1719</v>
      </c>
      <c r="R13" s="35">
        <f t="shared" si="3"/>
        <v>-41170.049999999996</v>
      </c>
    </row>
    <row r="14" spans="1:18" x14ac:dyDescent="0.25">
      <c r="A14" t="s">
        <v>10</v>
      </c>
      <c r="B14" s="9">
        <f>+B12-B13</f>
        <v>217000</v>
      </c>
      <c r="C14" s="8"/>
      <c r="D14" s="8"/>
      <c r="E14" s="8"/>
      <c r="F14" s="50">
        <v>36953</v>
      </c>
      <c r="G14" s="78">
        <v>27.79</v>
      </c>
      <c r="H14" s="79">
        <v>8950</v>
      </c>
      <c r="I14" s="48">
        <f t="shared" si="4"/>
        <v>10000</v>
      </c>
      <c r="J14" s="49">
        <f t="shared" si="5"/>
        <v>3000</v>
      </c>
      <c r="K14" s="49">
        <f t="shared" si="6"/>
        <v>1500</v>
      </c>
      <c r="L14" s="49">
        <f t="shared" si="7"/>
        <v>3944</v>
      </c>
      <c r="M14" s="49">
        <f t="shared" si="7"/>
        <v>1556</v>
      </c>
      <c r="N14" s="32">
        <f t="shared" si="8"/>
        <v>-1050</v>
      </c>
      <c r="O14" s="51">
        <f t="shared" si="0"/>
        <v>0</v>
      </c>
      <c r="P14" s="52">
        <f t="shared" si="1"/>
        <v>0</v>
      </c>
      <c r="Q14" s="51">
        <f t="shared" si="2"/>
        <v>-1050</v>
      </c>
      <c r="R14" s="35">
        <f t="shared" si="3"/>
        <v>-29179.5</v>
      </c>
    </row>
    <row r="15" spans="1:18" x14ac:dyDescent="0.25">
      <c r="B15" s="11"/>
      <c r="C15" s="8"/>
      <c r="D15" s="8"/>
      <c r="E15" s="8"/>
      <c r="F15" s="50">
        <v>36954</v>
      </c>
      <c r="G15" s="78">
        <v>27.79</v>
      </c>
      <c r="H15" s="79">
        <v>8996</v>
      </c>
      <c r="I15" s="48">
        <f t="shared" si="4"/>
        <v>10000</v>
      </c>
      <c r="J15" s="49">
        <f t="shared" si="5"/>
        <v>3000</v>
      </c>
      <c r="K15" s="49">
        <f t="shared" si="6"/>
        <v>1500</v>
      </c>
      <c r="L15" s="49">
        <f t="shared" si="7"/>
        <v>3944</v>
      </c>
      <c r="M15" s="49">
        <f t="shared" si="7"/>
        <v>1556</v>
      </c>
      <c r="N15" s="32">
        <f t="shared" si="8"/>
        <v>-1004</v>
      </c>
      <c r="O15" s="51">
        <f t="shared" si="0"/>
        <v>0</v>
      </c>
      <c r="P15" s="52">
        <f t="shared" si="1"/>
        <v>0</v>
      </c>
      <c r="Q15" s="51">
        <f t="shared" si="2"/>
        <v>-1004</v>
      </c>
      <c r="R15" s="35">
        <f t="shared" si="3"/>
        <v>-27901.16</v>
      </c>
    </row>
    <row r="16" spans="1:18" x14ac:dyDescent="0.25">
      <c r="A16" t="s">
        <v>11</v>
      </c>
      <c r="B16" s="11">
        <f>H43</f>
        <v>224919</v>
      </c>
      <c r="C16" s="8"/>
      <c r="D16" s="8"/>
      <c r="E16" s="8"/>
      <c r="F16" s="50">
        <v>36955</v>
      </c>
      <c r="G16" s="78">
        <v>27.79</v>
      </c>
      <c r="H16" s="79">
        <v>9059</v>
      </c>
      <c r="I16" s="48">
        <f t="shared" si="4"/>
        <v>10000</v>
      </c>
      <c r="J16" s="49">
        <f t="shared" si="5"/>
        <v>3000</v>
      </c>
      <c r="K16" s="49">
        <f t="shared" si="6"/>
        <v>1500</v>
      </c>
      <c r="L16" s="49">
        <f t="shared" si="7"/>
        <v>3944</v>
      </c>
      <c r="M16" s="49">
        <f t="shared" si="7"/>
        <v>1556</v>
      </c>
      <c r="N16" s="32">
        <f t="shared" si="8"/>
        <v>-941</v>
      </c>
      <c r="O16" s="51">
        <f t="shared" si="0"/>
        <v>0</v>
      </c>
      <c r="P16" s="52">
        <f t="shared" si="1"/>
        <v>0</v>
      </c>
      <c r="Q16" s="51">
        <f t="shared" si="2"/>
        <v>-941</v>
      </c>
      <c r="R16" s="35">
        <f t="shared" si="3"/>
        <v>-26150.39</v>
      </c>
    </row>
    <row r="17" spans="1:18" x14ac:dyDescent="0.25">
      <c r="A17" t="s">
        <v>26</v>
      </c>
      <c r="B17" s="10">
        <f>B13</f>
        <v>93000</v>
      </c>
      <c r="C17" s="8"/>
      <c r="D17" s="8"/>
      <c r="E17" s="8"/>
      <c r="F17" s="50">
        <v>36956</v>
      </c>
      <c r="G17" s="78">
        <v>31.31</v>
      </c>
      <c r="H17" s="79">
        <v>7499</v>
      </c>
      <c r="I17" s="48">
        <f t="shared" si="4"/>
        <v>10000</v>
      </c>
      <c r="J17" s="49">
        <f t="shared" si="5"/>
        <v>3000</v>
      </c>
      <c r="K17" s="49">
        <f t="shared" si="6"/>
        <v>1500</v>
      </c>
      <c r="L17" s="49">
        <f t="shared" si="7"/>
        <v>3944</v>
      </c>
      <c r="M17" s="49">
        <f t="shared" si="7"/>
        <v>1556</v>
      </c>
      <c r="N17" s="32">
        <f t="shared" si="8"/>
        <v>-2501</v>
      </c>
      <c r="O17" s="51">
        <f t="shared" si="0"/>
        <v>0</v>
      </c>
      <c r="P17" s="52">
        <f t="shared" si="1"/>
        <v>0</v>
      </c>
      <c r="Q17" s="51">
        <f t="shared" si="2"/>
        <v>-2501</v>
      </c>
      <c r="R17" s="35">
        <f t="shared" si="3"/>
        <v>-78306.31</v>
      </c>
    </row>
    <row r="18" spans="1:18" x14ac:dyDescent="0.25">
      <c r="A18" t="s">
        <v>12</v>
      </c>
      <c r="B18" s="11">
        <f>B16-B17</f>
        <v>131919</v>
      </c>
      <c r="C18" s="85" t="s">
        <v>31</v>
      </c>
      <c r="D18" s="8"/>
      <c r="E18" s="8"/>
      <c r="F18" s="50">
        <v>36957</v>
      </c>
      <c r="G18" s="78">
        <v>25.265000000000001</v>
      </c>
      <c r="H18" s="79">
        <v>7649</v>
      </c>
      <c r="I18" s="48">
        <f t="shared" si="4"/>
        <v>10000</v>
      </c>
      <c r="J18" s="49">
        <f t="shared" si="5"/>
        <v>3000</v>
      </c>
      <c r="K18" s="49">
        <f t="shared" si="6"/>
        <v>1500</v>
      </c>
      <c r="L18" s="49">
        <f t="shared" si="7"/>
        <v>3944</v>
      </c>
      <c r="M18" s="49">
        <f t="shared" si="7"/>
        <v>1556</v>
      </c>
      <c r="N18" s="32">
        <f t="shared" si="8"/>
        <v>-2351</v>
      </c>
      <c r="O18" s="51">
        <f t="shared" si="0"/>
        <v>0</v>
      </c>
      <c r="P18" s="52">
        <f t="shared" si="1"/>
        <v>0</v>
      </c>
      <c r="Q18" s="51">
        <f t="shared" si="2"/>
        <v>-2351</v>
      </c>
      <c r="R18" s="35">
        <f t="shared" si="3"/>
        <v>-59398.014999999999</v>
      </c>
    </row>
    <row r="19" spans="1:18" x14ac:dyDescent="0.25">
      <c r="B19" s="11"/>
      <c r="C19" s="8"/>
      <c r="D19" s="8"/>
      <c r="E19" s="8"/>
      <c r="F19" s="50">
        <v>36958</v>
      </c>
      <c r="G19" s="78">
        <v>14.28</v>
      </c>
      <c r="H19" s="79">
        <v>9218</v>
      </c>
      <c r="I19" s="48">
        <f t="shared" si="4"/>
        <v>10000</v>
      </c>
      <c r="J19" s="49">
        <f t="shared" si="5"/>
        <v>3000</v>
      </c>
      <c r="K19" s="49">
        <f t="shared" si="6"/>
        <v>1500</v>
      </c>
      <c r="L19" s="49">
        <f t="shared" si="7"/>
        <v>3944</v>
      </c>
      <c r="M19" s="49">
        <f t="shared" si="7"/>
        <v>1556</v>
      </c>
      <c r="N19" s="32">
        <f t="shared" si="8"/>
        <v>-782</v>
      </c>
      <c r="O19" s="51">
        <f t="shared" si="0"/>
        <v>0</v>
      </c>
      <c r="P19" s="52">
        <f t="shared" si="1"/>
        <v>0</v>
      </c>
      <c r="Q19" s="51">
        <f t="shared" si="2"/>
        <v>-782</v>
      </c>
      <c r="R19" s="35">
        <f t="shared" si="3"/>
        <v>-11166.96</v>
      </c>
    </row>
    <row r="20" spans="1:18" x14ac:dyDescent="0.25">
      <c r="A20" s="47" t="s">
        <v>44</v>
      </c>
      <c r="C20" s="85" t="s">
        <v>31</v>
      </c>
      <c r="D20" s="8"/>
      <c r="E20" s="8"/>
      <c r="F20" s="50">
        <v>36959</v>
      </c>
      <c r="G20" s="78">
        <v>12.824999999999999</v>
      </c>
      <c r="H20" s="79">
        <v>8056</v>
      </c>
      <c r="I20" s="48">
        <f t="shared" si="4"/>
        <v>10000</v>
      </c>
      <c r="J20" s="49">
        <f t="shared" si="5"/>
        <v>3000</v>
      </c>
      <c r="K20" s="49">
        <f t="shared" si="6"/>
        <v>1500</v>
      </c>
      <c r="L20" s="49">
        <f t="shared" si="7"/>
        <v>3944</v>
      </c>
      <c r="M20" s="49">
        <f t="shared" si="7"/>
        <v>1556</v>
      </c>
      <c r="N20" s="32">
        <f t="shared" si="8"/>
        <v>-1944</v>
      </c>
      <c r="O20" s="51">
        <f t="shared" si="0"/>
        <v>0</v>
      </c>
      <c r="P20" s="52">
        <f t="shared" si="1"/>
        <v>0</v>
      </c>
      <c r="Q20" s="51">
        <f t="shared" si="2"/>
        <v>-1944</v>
      </c>
      <c r="R20" s="35">
        <f t="shared" si="3"/>
        <v>-24931.8</v>
      </c>
    </row>
    <row r="21" spans="1:18" x14ac:dyDescent="0.25">
      <c r="A21" t="s">
        <v>40</v>
      </c>
      <c r="B21" s="70">
        <f>(L12+M12)*B5</f>
        <v>170500</v>
      </c>
      <c r="C21" s="92">
        <f>B6+B39</f>
        <v>12.63</v>
      </c>
      <c r="D21" s="34">
        <f>B21*C21</f>
        <v>2153415</v>
      </c>
      <c r="E21" s="8"/>
      <c r="F21" s="50">
        <v>36960</v>
      </c>
      <c r="G21" s="78">
        <v>12.505000000000001</v>
      </c>
      <c r="H21" s="79">
        <v>7736</v>
      </c>
      <c r="I21" s="48">
        <f t="shared" si="4"/>
        <v>10000</v>
      </c>
      <c r="J21" s="49">
        <f t="shared" si="5"/>
        <v>3000</v>
      </c>
      <c r="K21" s="49">
        <f t="shared" si="6"/>
        <v>1500</v>
      </c>
      <c r="L21" s="49">
        <f t="shared" si="7"/>
        <v>3944</v>
      </c>
      <c r="M21" s="49">
        <f t="shared" si="7"/>
        <v>1556</v>
      </c>
      <c r="N21" s="32">
        <f t="shared" si="8"/>
        <v>-2264</v>
      </c>
      <c r="O21" s="51">
        <f t="shared" si="0"/>
        <v>0</v>
      </c>
      <c r="P21" s="52">
        <f t="shared" si="1"/>
        <v>0</v>
      </c>
      <c r="Q21" s="51">
        <f t="shared" si="2"/>
        <v>-2264</v>
      </c>
      <c r="R21" s="35">
        <f t="shared" si="3"/>
        <v>-28311.320000000003</v>
      </c>
    </row>
    <row r="22" spans="1:18" x14ac:dyDescent="0.25">
      <c r="A22" t="s">
        <v>41</v>
      </c>
      <c r="B22" s="84">
        <f>500*B5</f>
        <v>15500</v>
      </c>
      <c r="C22" s="72">
        <v>7.63</v>
      </c>
      <c r="D22" s="34">
        <f>B22*C22</f>
        <v>118265</v>
      </c>
      <c r="F22" s="50">
        <v>36961</v>
      </c>
      <c r="G22" s="78">
        <v>12.505000000000001</v>
      </c>
      <c r="H22" s="79">
        <v>7454</v>
      </c>
      <c r="I22" s="48">
        <f t="shared" si="4"/>
        <v>10000</v>
      </c>
      <c r="J22" s="49">
        <f t="shared" si="5"/>
        <v>3000</v>
      </c>
      <c r="K22" s="49">
        <f t="shared" si="6"/>
        <v>1500</v>
      </c>
      <c r="L22" s="49">
        <f t="shared" si="7"/>
        <v>3944</v>
      </c>
      <c r="M22" s="49">
        <f t="shared" si="7"/>
        <v>1556</v>
      </c>
      <c r="N22" s="32">
        <f t="shared" si="8"/>
        <v>-2546</v>
      </c>
      <c r="O22" s="51">
        <f t="shared" si="0"/>
        <v>0</v>
      </c>
      <c r="P22" s="52">
        <f t="shared" si="1"/>
        <v>0</v>
      </c>
      <c r="Q22" s="51">
        <f t="shared" si="2"/>
        <v>-2546</v>
      </c>
      <c r="R22" s="35">
        <f t="shared" si="3"/>
        <v>-31837.730000000003</v>
      </c>
    </row>
    <row r="23" spans="1:18" x14ac:dyDescent="0.25">
      <c r="A23" t="s">
        <v>41</v>
      </c>
      <c r="B23" s="84">
        <f>1000*B5</f>
        <v>31000</v>
      </c>
      <c r="C23" s="72">
        <v>7.71</v>
      </c>
      <c r="D23" s="34">
        <f>B23*C23</f>
        <v>239010</v>
      </c>
      <c r="F23" s="50">
        <v>36962</v>
      </c>
      <c r="G23" s="78">
        <v>12.505000000000001</v>
      </c>
      <c r="H23" s="79">
        <v>7822</v>
      </c>
      <c r="I23" s="48">
        <f t="shared" si="4"/>
        <v>10000</v>
      </c>
      <c r="J23" s="49">
        <f t="shared" si="5"/>
        <v>3000</v>
      </c>
      <c r="K23" s="49">
        <f t="shared" si="6"/>
        <v>1500</v>
      </c>
      <c r="L23" s="49">
        <f t="shared" si="7"/>
        <v>3944</v>
      </c>
      <c r="M23" s="49">
        <f t="shared" si="7"/>
        <v>1556</v>
      </c>
      <c r="N23" s="32">
        <f t="shared" si="8"/>
        <v>-2178</v>
      </c>
      <c r="O23" s="51">
        <f t="shared" si="0"/>
        <v>0</v>
      </c>
      <c r="P23" s="52">
        <f t="shared" si="1"/>
        <v>0</v>
      </c>
      <c r="Q23" s="51">
        <f t="shared" si="2"/>
        <v>-2178</v>
      </c>
      <c r="R23" s="35">
        <f t="shared" si="3"/>
        <v>-27235.890000000003</v>
      </c>
    </row>
    <row r="24" spans="1:18" x14ac:dyDescent="0.25">
      <c r="B24" s="9"/>
      <c r="C24" s="14"/>
      <c r="D24" s="34"/>
      <c r="F24" s="50">
        <v>36963</v>
      </c>
      <c r="G24" s="78">
        <v>11.565</v>
      </c>
      <c r="H24" s="79">
        <v>7658</v>
      </c>
      <c r="I24" s="48">
        <f t="shared" si="4"/>
        <v>10000</v>
      </c>
      <c r="J24" s="49">
        <f t="shared" si="5"/>
        <v>3000</v>
      </c>
      <c r="K24" s="49">
        <f t="shared" si="6"/>
        <v>1500</v>
      </c>
      <c r="L24" s="49">
        <f t="shared" si="7"/>
        <v>3944</v>
      </c>
      <c r="M24" s="49">
        <f t="shared" si="7"/>
        <v>1556</v>
      </c>
      <c r="N24" s="32">
        <f t="shared" si="8"/>
        <v>-2342</v>
      </c>
      <c r="O24" s="51">
        <f t="shared" si="0"/>
        <v>0</v>
      </c>
      <c r="P24" s="52">
        <f t="shared" si="1"/>
        <v>0</v>
      </c>
      <c r="Q24" s="51">
        <f t="shared" si="2"/>
        <v>-2342</v>
      </c>
      <c r="R24" s="35">
        <f t="shared" si="3"/>
        <v>-27085.23</v>
      </c>
    </row>
    <row r="25" spans="1:18" x14ac:dyDescent="0.25">
      <c r="A25" t="s">
        <v>42</v>
      </c>
      <c r="B25" s="40">
        <f>O43</f>
        <v>1121</v>
      </c>
      <c r="C25" s="13">
        <f>D25/B25</f>
        <v>9.9450000000000003</v>
      </c>
      <c r="D25" s="34">
        <f>P43</f>
        <v>11148.345000000001</v>
      </c>
      <c r="F25" s="50">
        <v>36964</v>
      </c>
      <c r="G25" s="78">
        <v>10.92</v>
      </c>
      <c r="H25" s="79">
        <v>8504</v>
      </c>
      <c r="I25" s="48">
        <f t="shared" si="4"/>
        <v>10000</v>
      </c>
      <c r="J25" s="49">
        <f t="shared" si="5"/>
        <v>3000</v>
      </c>
      <c r="K25" s="49">
        <f t="shared" si="6"/>
        <v>1500</v>
      </c>
      <c r="L25" s="49">
        <f t="shared" si="7"/>
        <v>3944</v>
      </c>
      <c r="M25" s="49">
        <f t="shared" si="7"/>
        <v>1556</v>
      </c>
      <c r="N25" s="32">
        <f t="shared" si="8"/>
        <v>-1496</v>
      </c>
      <c r="O25" s="51">
        <f t="shared" si="0"/>
        <v>0</v>
      </c>
      <c r="P25" s="52">
        <f t="shared" si="1"/>
        <v>0</v>
      </c>
      <c r="Q25" s="51">
        <f t="shared" si="2"/>
        <v>-1496</v>
      </c>
      <c r="R25" s="35">
        <f t="shared" si="3"/>
        <v>-16336.32</v>
      </c>
    </row>
    <row r="26" spans="1:18" x14ac:dyDescent="0.25">
      <c r="A26" t="s">
        <v>43</v>
      </c>
      <c r="B26" s="41">
        <f>Q43</f>
        <v>-86202</v>
      </c>
      <c r="C26" s="13">
        <f>D26/B26</f>
        <v>13.455763961393009</v>
      </c>
      <c r="D26" s="94">
        <f>R43</f>
        <v>-1159913.7650000001</v>
      </c>
      <c r="F26" s="50">
        <v>36965</v>
      </c>
      <c r="G26" s="78">
        <v>9.5350000000000001</v>
      </c>
      <c r="H26" s="79">
        <v>8105</v>
      </c>
      <c r="I26" s="48">
        <f t="shared" si="4"/>
        <v>10000</v>
      </c>
      <c r="J26" s="49">
        <f t="shared" si="5"/>
        <v>3000</v>
      </c>
      <c r="K26" s="49">
        <f t="shared" si="6"/>
        <v>1500</v>
      </c>
      <c r="L26" s="49">
        <f t="shared" si="7"/>
        <v>3944</v>
      </c>
      <c r="M26" s="49">
        <f t="shared" si="7"/>
        <v>1556</v>
      </c>
      <c r="N26" s="32">
        <f t="shared" si="8"/>
        <v>-1895</v>
      </c>
      <c r="O26" s="51">
        <f t="shared" si="0"/>
        <v>0</v>
      </c>
      <c r="P26" s="52">
        <f t="shared" si="1"/>
        <v>0</v>
      </c>
      <c r="Q26" s="51">
        <f t="shared" si="2"/>
        <v>-1895</v>
      </c>
      <c r="R26" s="35">
        <f t="shared" si="3"/>
        <v>-18068.825000000001</v>
      </c>
    </row>
    <row r="27" spans="1:18" x14ac:dyDescent="0.25">
      <c r="A27" t="s">
        <v>12</v>
      </c>
      <c r="B27" s="69">
        <f>SUM(B21:B26)</f>
        <v>131919</v>
      </c>
      <c r="D27" s="34">
        <f>SUM(D21:D26)</f>
        <v>1361924.58</v>
      </c>
      <c r="F27" s="50">
        <v>36966</v>
      </c>
      <c r="G27" s="78">
        <v>9.41</v>
      </c>
      <c r="H27" s="79">
        <v>6977</v>
      </c>
      <c r="I27" s="48">
        <f t="shared" si="4"/>
        <v>10000</v>
      </c>
      <c r="J27" s="49">
        <f t="shared" si="5"/>
        <v>3000</v>
      </c>
      <c r="K27" s="49">
        <f t="shared" si="6"/>
        <v>1500</v>
      </c>
      <c r="L27" s="49">
        <f t="shared" si="7"/>
        <v>3944</v>
      </c>
      <c r="M27" s="49">
        <f t="shared" si="7"/>
        <v>1556</v>
      </c>
      <c r="N27" s="32">
        <f t="shared" si="8"/>
        <v>-3023</v>
      </c>
      <c r="O27" s="51">
        <f t="shared" si="0"/>
        <v>0</v>
      </c>
      <c r="P27" s="52">
        <f t="shared" si="1"/>
        <v>0</v>
      </c>
      <c r="Q27" s="51">
        <f t="shared" si="2"/>
        <v>-3023</v>
      </c>
      <c r="R27" s="35">
        <f t="shared" si="3"/>
        <v>-28446.43</v>
      </c>
    </row>
    <row r="28" spans="1:18" x14ac:dyDescent="0.25">
      <c r="B28" s="11"/>
      <c r="C28" s="16"/>
      <c r="D28" s="33"/>
      <c r="E28" s="8"/>
      <c r="F28" s="50">
        <v>36967</v>
      </c>
      <c r="G28" s="78">
        <v>9.0250000000000004</v>
      </c>
      <c r="H28" s="79">
        <v>6260</v>
      </c>
      <c r="I28" s="48">
        <f t="shared" si="4"/>
        <v>10000</v>
      </c>
      <c r="J28" s="49">
        <f t="shared" si="5"/>
        <v>3000</v>
      </c>
      <c r="K28" s="49">
        <f t="shared" si="6"/>
        <v>1500</v>
      </c>
      <c r="L28" s="49">
        <f t="shared" si="7"/>
        <v>3944</v>
      </c>
      <c r="M28" s="49">
        <f t="shared" si="7"/>
        <v>1556</v>
      </c>
      <c r="N28" s="32">
        <f t="shared" si="8"/>
        <v>-3740</v>
      </c>
      <c r="O28" s="51">
        <f t="shared" si="0"/>
        <v>0</v>
      </c>
      <c r="P28" s="52">
        <f t="shared" si="1"/>
        <v>0</v>
      </c>
      <c r="Q28" s="51">
        <f t="shared" si="2"/>
        <v>-3740</v>
      </c>
      <c r="R28" s="35">
        <f t="shared" si="3"/>
        <v>-33753.5</v>
      </c>
    </row>
    <row r="29" spans="1:18" x14ac:dyDescent="0.25">
      <c r="A29" s="47" t="s">
        <v>45</v>
      </c>
      <c r="F29" s="50">
        <v>36968</v>
      </c>
      <c r="G29" s="78">
        <v>9.0250000000000004</v>
      </c>
      <c r="H29" s="79">
        <v>6171</v>
      </c>
      <c r="I29" s="48">
        <f t="shared" si="4"/>
        <v>10000</v>
      </c>
      <c r="J29" s="49">
        <f t="shared" si="5"/>
        <v>3000</v>
      </c>
      <c r="K29" s="49">
        <f t="shared" si="6"/>
        <v>1500</v>
      </c>
      <c r="L29" s="49">
        <f t="shared" si="7"/>
        <v>3944</v>
      </c>
      <c r="M29" s="49">
        <f t="shared" si="7"/>
        <v>1556</v>
      </c>
      <c r="N29" s="32">
        <f t="shared" si="8"/>
        <v>-3829</v>
      </c>
      <c r="O29" s="51">
        <f t="shared" si="0"/>
        <v>0</v>
      </c>
      <c r="P29" s="52">
        <f t="shared" si="1"/>
        <v>0</v>
      </c>
      <c r="Q29" s="51">
        <f t="shared" si="2"/>
        <v>-3829</v>
      </c>
      <c r="R29" s="35">
        <f t="shared" si="3"/>
        <v>-34556.724999999999</v>
      </c>
    </row>
    <row r="30" spans="1:18" x14ac:dyDescent="0.25">
      <c r="A30" t="s">
        <v>13</v>
      </c>
      <c r="B30" s="88">
        <v>123501</v>
      </c>
      <c r="C30" s="62">
        <f>B6+B41</f>
        <v>12.62</v>
      </c>
      <c r="D30" s="33">
        <f>C30*-B30</f>
        <v>-1558582.6199999999</v>
      </c>
      <c r="F30" s="50">
        <v>36969</v>
      </c>
      <c r="G30" s="78">
        <v>9.0250000000000004</v>
      </c>
      <c r="H30" s="79">
        <v>9055</v>
      </c>
      <c r="I30" s="48">
        <f t="shared" si="4"/>
        <v>10000</v>
      </c>
      <c r="J30" s="49">
        <f t="shared" si="5"/>
        <v>3000</v>
      </c>
      <c r="K30" s="49">
        <f t="shared" si="6"/>
        <v>1500</v>
      </c>
      <c r="L30" s="49">
        <f t="shared" si="7"/>
        <v>3944</v>
      </c>
      <c r="M30" s="49">
        <f t="shared" si="7"/>
        <v>1556</v>
      </c>
      <c r="N30" s="32">
        <f t="shared" si="8"/>
        <v>-945</v>
      </c>
      <c r="O30" s="51">
        <f t="shared" si="0"/>
        <v>0</v>
      </c>
      <c r="P30" s="52">
        <f t="shared" si="1"/>
        <v>0</v>
      </c>
      <c r="Q30" s="51">
        <f t="shared" si="2"/>
        <v>-945</v>
      </c>
      <c r="R30" s="35">
        <f t="shared" si="3"/>
        <v>-8528.625</v>
      </c>
    </row>
    <row r="31" spans="1:18" x14ac:dyDescent="0.25">
      <c r="B31" s="9"/>
      <c r="D31" s="34"/>
      <c r="F31" s="50">
        <v>36970</v>
      </c>
      <c r="G31" s="78">
        <v>9.9450000000000003</v>
      </c>
      <c r="H31" s="79">
        <v>11121</v>
      </c>
      <c r="I31" s="48">
        <f t="shared" si="4"/>
        <v>10000</v>
      </c>
      <c r="J31" s="49">
        <f t="shared" si="5"/>
        <v>3000</v>
      </c>
      <c r="K31" s="49">
        <f t="shared" si="6"/>
        <v>1500</v>
      </c>
      <c r="L31" s="49">
        <f t="shared" si="7"/>
        <v>3944</v>
      </c>
      <c r="M31" s="49">
        <f t="shared" si="7"/>
        <v>1556</v>
      </c>
      <c r="N31" s="32">
        <f t="shared" si="8"/>
        <v>1121</v>
      </c>
      <c r="O31" s="51">
        <f t="shared" si="0"/>
        <v>1121</v>
      </c>
      <c r="P31" s="52">
        <f t="shared" si="1"/>
        <v>11148.345000000001</v>
      </c>
      <c r="Q31" s="51">
        <f t="shared" si="2"/>
        <v>0</v>
      </c>
      <c r="R31" s="35">
        <f t="shared" si="3"/>
        <v>0</v>
      </c>
    </row>
    <row r="32" spans="1:18" x14ac:dyDescent="0.25">
      <c r="A32" s="47" t="s">
        <v>39</v>
      </c>
      <c r="B32" s="11"/>
      <c r="C32" s="16"/>
      <c r="D32" s="29"/>
      <c r="F32" s="50">
        <v>36971</v>
      </c>
      <c r="G32" s="78">
        <v>11.035</v>
      </c>
      <c r="H32" s="79">
        <v>7417</v>
      </c>
      <c r="I32" s="48">
        <f t="shared" si="4"/>
        <v>10000</v>
      </c>
      <c r="J32" s="49">
        <f t="shared" si="5"/>
        <v>3000</v>
      </c>
      <c r="K32" s="49">
        <f t="shared" si="6"/>
        <v>1500</v>
      </c>
      <c r="L32" s="49">
        <f t="shared" si="7"/>
        <v>3944</v>
      </c>
      <c r="M32" s="49">
        <f t="shared" si="7"/>
        <v>1556</v>
      </c>
      <c r="N32" s="32">
        <f t="shared" si="8"/>
        <v>-2583</v>
      </c>
      <c r="O32" s="51">
        <f t="shared" si="0"/>
        <v>0</v>
      </c>
      <c r="P32" s="52">
        <f t="shared" si="1"/>
        <v>0</v>
      </c>
      <c r="Q32" s="51">
        <f t="shared" si="2"/>
        <v>-2583</v>
      </c>
      <c r="R32" s="35">
        <f t="shared" si="3"/>
        <v>-28503.404999999999</v>
      </c>
    </row>
    <row r="33" spans="1:18" x14ac:dyDescent="0.25">
      <c r="A33" t="s">
        <v>27</v>
      </c>
      <c r="B33" s="87">
        <f>3886*B5</f>
        <v>120466</v>
      </c>
      <c r="C33" s="86">
        <v>7</v>
      </c>
      <c r="D33" s="29">
        <f>-B33*C33</f>
        <v>-843262</v>
      </c>
      <c r="F33" s="50">
        <v>36972</v>
      </c>
      <c r="G33" s="78">
        <v>11.605</v>
      </c>
      <c r="H33" s="79">
        <v>7577</v>
      </c>
      <c r="I33" s="48">
        <f t="shared" si="4"/>
        <v>10000</v>
      </c>
      <c r="J33" s="49">
        <f t="shared" si="5"/>
        <v>3000</v>
      </c>
      <c r="K33" s="49">
        <f t="shared" si="6"/>
        <v>1500</v>
      </c>
      <c r="L33" s="49">
        <f t="shared" si="7"/>
        <v>3944</v>
      </c>
      <c r="M33" s="49">
        <f t="shared" si="7"/>
        <v>1556</v>
      </c>
      <c r="N33" s="32">
        <f t="shared" si="8"/>
        <v>-2423</v>
      </c>
      <c r="O33" s="51">
        <f t="shared" si="0"/>
        <v>0</v>
      </c>
      <c r="P33" s="52">
        <f t="shared" si="1"/>
        <v>0</v>
      </c>
      <c r="Q33" s="51">
        <f t="shared" si="2"/>
        <v>-2423</v>
      </c>
      <c r="R33" s="35">
        <f t="shared" si="3"/>
        <v>-28118.915000000001</v>
      </c>
    </row>
    <row r="34" spans="1:18" x14ac:dyDescent="0.25">
      <c r="A34" t="s">
        <v>28</v>
      </c>
      <c r="B34" s="88">
        <v>113558</v>
      </c>
      <c r="C34" s="62">
        <f>B45</f>
        <v>0.21340400000000001</v>
      </c>
      <c r="D34" s="29">
        <f>-B34*C34</f>
        <v>-24233.731432</v>
      </c>
      <c r="F34" s="50">
        <v>36973</v>
      </c>
      <c r="G34" s="78">
        <v>10.994999999999999</v>
      </c>
      <c r="H34" s="79">
        <v>6599</v>
      </c>
      <c r="I34" s="48">
        <f t="shared" si="4"/>
        <v>10000</v>
      </c>
      <c r="J34" s="49">
        <f t="shared" si="5"/>
        <v>3000</v>
      </c>
      <c r="K34" s="49">
        <f t="shared" si="6"/>
        <v>1500</v>
      </c>
      <c r="L34" s="49">
        <f t="shared" si="7"/>
        <v>3944</v>
      </c>
      <c r="M34" s="49">
        <f t="shared" si="7"/>
        <v>1556</v>
      </c>
      <c r="N34" s="32">
        <f t="shared" si="8"/>
        <v>-3401</v>
      </c>
      <c r="O34" s="51">
        <f t="shared" si="0"/>
        <v>0</v>
      </c>
      <c r="P34" s="52">
        <f t="shared" si="1"/>
        <v>0</v>
      </c>
      <c r="Q34" s="51">
        <f t="shared" si="2"/>
        <v>-3401</v>
      </c>
      <c r="R34" s="35">
        <f t="shared" si="3"/>
        <v>-37393.994999999995</v>
      </c>
    </row>
    <row r="35" spans="1:18" x14ac:dyDescent="0.25">
      <c r="B35" s="11"/>
      <c r="C35" s="13"/>
      <c r="D35" s="30"/>
      <c r="F35" s="50">
        <v>36974</v>
      </c>
      <c r="G35" s="78">
        <v>11.13</v>
      </c>
      <c r="H35" s="79">
        <v>6595</v>
      </c>
      <c r="I35" s="48">
        <f t="shared" si="4"/>
        <v>10000</v>
      </c>
      <c r="J35" s="49">
        <f t="shared" si="5"/>
        <v>3000</v>
      </c>
      <c r="K35" s="49">
        <f t="shared" si="6"/>
        <v>1500</v>
      </c>
      <c r="L35" s="49">
        <f t="shared" si="7"/>
        <v>3944</v>
      </c>
      <c r="M35" s="49">
        <f t="shared" si="7"/>
        <v>1556</v>
      </c>
      <c r="N35" s="32">
        <f t="shared" si="8"/>
        <v>-3405</v>
      </c>
      <c r="O35" s="51">
        <f t="shared" si="0"/>
        <v>0</v>
      </c>
      <c r="P35" s="52">
        <f t="shared" si="1"/>
        <v>0</v>
      </c>
      <c r="Q35" s="51">
        <f t="shared" si="2"/>
        <v>-3405</v>
      </c>
      <c r="R35" s="35">
        <f t="shared" si="3"/>
        <v>-37897.65</v>
      </c>
    </row>
    <row r="36" spans="1:18" ht="13.8" thickBot="1" x14ac:dyDescent="0.3">
      <c r="A36" s="6" t="s">
        <v>46</v>
      </c>
      <c r="B36" s="11"/>
      <c r="C36" s="13"/>
      <c r="D36" s="68">
        <f>SUM(D27:D34)</f>
        <v>-1064153.7714319997</v>
      </c>
      <c r="F36" s="50">
        <v>36975</v>
      </c>
      <c r="G36" s="78">
        <v>11.13</v>
      </c>
      <c r="H36" s="79">
        <v>7661</v>
      </c>
      <c r="I36" s="48">
        <f t="shared" si="4"/>
        <v>10000</v>
      </c>
      <c r="J36" s="49">
        <f t="shared" si="5"/>
        <v>3000</v>
      </c>
      <c r="K36" s="49">
        <f t="shared" si="6"/>
        <v>1500</v>
      </c>
      <c r="L36" s="49">
        <f t="shared" si="7"/>
        <v>3944</v>
      </c>
      <c r="M36" s="49">
        <f t="shared" si="7"/>
        <v>1556</v>
      </c>
      <c r="N36" s="32">
        <f t="shared" si="8"/>
        <v>-2339</v>
      </c>
      <c r="O36" s="51">
        <f t="shared" si="0"/>
        <v>0</v>
      </c>
      <c r="P36" s="52">
        <f t="shared" si="1"/>
        <v>0</v>
      </c>
      <c r="Q36" s="51">
        <f t="shared" si="2"/>
        <v>-2339</v>
      </c>
      <c r="R36" s="35">
        <f t="shared" si="3"/>
        <v>-26033.070000000003</v>
      </c>
    </row>
    <row r="37" spans="1:18" ht="13.8" thickTop="1" x14ac:dyDescent="0.25">
      <c r="B37" s="11"/>
      <c r="C37" s="8"/>
      <c r="F37" s="50">
        <v>36976</v>
      </c>
      <c r="G37" s="78">
        <v>11.13</v>
      </c>
      <c r="H37" s="79">
        <v>6748</v>
      </c>
      <c r="I37" s="48">
        <f t="shared" si="4"/>
        <v>10000</v>
      </c>
      <c r="J37" s="49">
        <f t="shared" si="5"/>
        <v>3000</v>
      </c>
      <c r="K37" s="49">
        <f t="shared" si="6"/>
        <v>1500</v>
      </c>
      <c r="L37" s="49">
        <f t="shared" si="7"/>
        <v>3944</v>
      </c>
      <c r="M37" s="49">
        <f t="shared" si="7"/>
        <v>1556</v>
      </c>
      <c r="N37" s="32">
        <f t="shared" si="8"/>
        <v>-3252</v>
      </c>
      <c r="O37" s="51">
        <f t="shared" si="0"/>
        <v>0</v>
      </c>
      <c r="P37" s="52">
        <f t="shared" si="1"/>
        <v>0</v>
      </c>
      <c r="Q37" s="51">
        <f t="shared" si="2"/>
        <v>-3252</v>
      </c>
      <c r="R37" s="35">
        <f t="shared" si="3"/>
        <v>-36194.76</v>
      </c>
    </row>
    <row r="38" spans="1:18" ht="13.8" thickBot="1" x14ac:dyDescent="0.3">
      <c r="A38" s="6"/>
      <c r="B38" s="67" t="s">
        <v>4</v>
      </c>
      <c r="F38" s="50">
        <v>36977</v>
      </c>
      <c r="G38" s="78">
        <v>10.25</v>
      </c>
      <c r="H38" s="79">
        <v>4069</v>
      </c>
      <c r="I38" s="48">
        <f t="shared" si="4"/>
        <v>10000</v>
      </c>
      <c r="J38" s="49">
        <f t="shared" si="5"/>
        <v>3000</v>
      </c>
      <c r="K38" s="49">
        <f t="shared" si="6"/>
        <v>1500</v>
      </c>
      <c r="L38" s="49">
        <f t="shared" si="7"/>
        <v>3944</v>
      </c>
      <c r="M38" s="49">
        <f t="shared" si="7"/>
        <v>1556</v>
      </c>
      <c r="N38" s="32">
        <f t="shared" si="8"/>
        <v>-5931</v>
      </c>
      <c r="O38" s="51">
        <f t="shared" si="0"/>
        <v>0</v>
      </c>
      <c r="P38" s="52">
        <f t="shared" si="1"/>
        <v>0</v>
      </c>
      <c r="Q38" s="51">
        <f t="shared" si="2"/>
        <v>-5931</v>
      </c>
      <c r="R38" s="35">
        <f t="shared" si="3"/>
        <v>-60792.75</v>
      </c>
    </row>
    <row r="39" spans="1:18" x14ac:dyDescent="0.25">
      <c r="A39" t="s">
        <v>35</v>
      </c>
      <c r="B39" s="42">
        <v>0.05</v>
      </c>
      <c r="F39" s="50">
        <v>36978</v>
      </c>
      <c r="G39" s="78">
        <v>10.78</v>
      </c>
      <c r="H39" s="79">
        <v>5304</v>
      </c>
      <c r="I39" s="48">
        <f t="shared" si="4"/>
        <v>10000</v>
      </c>
      <c r="J39" s="49">
        <f t="shared" si="5"/>
        <v>3000</v>
      </c>
      <c r="K39" s="49">
        <f t="shared" si="6"/>
        <v>1500</v>
      </c>
      <c r="L39" s="49">
        <f t="shared" si="7"/>
        <v>3944</v>
      </c>
      <c r="M39" s="49">
        <f t="shared" si="7"/>
        <v>1556</v>
      </c>
      <c r="N39" s="32">
        <f t="shared" si="8"/>
        <v>-4696</v>
      </c>
      <c r="O39" s="51">
        <f t="shared" si="0"/>
        <v>0</v>
      </c>
      <c r="P39" s="52">
        <f t="shared" si="1"/>
        <v>0</v>
      </c>
      <c r="Q39" s="51">
        <f t="shared" si="2"/>
        <v>-4696</v>
      </c>
      <c r="R39" s="35">
        <f t="shared" si="3"/>
        <v>-50622.879999999997</v>
      </c>
    </row>
    <row r="40" spans="1:18" x14ac:dyDescent="0.25">
      <c r="F40" s="50">
        <v>36979</v>
      </c>
      <c r="G40" s="78">
        <v>13.585000000000001</v>
      </c>
      <c r="H40" s="79">
        <v>5859</v>
      </c>
      <c r="I40" s="48">
        <f t="shared" si="4"/>
        <v>10000</v>
      </c>
      <c r="J40" s="49">
        <f t="shared" si="5"/>
        <v>3000</v>
      </c>
      <c r="K40" s="49">
        <f t="shared" si="6"/>
        <v>1500</v>
      </c>
      <c r="L40" s="49">
        <f t="shared" si="7"/>
        <v>3944</v>
      </c>
      <c r="M40" s="49">
        <f t="shared" si="7"/>
        <v>1556</v>
      </c>
      <c r="N40" s="32">
        <f t="shared" si="8"/>
        <v>-4141</v>
      </c>
      <c r="O40" s="51">
        <f t="shared" si="0"/>
        <v>0</v>
      </c>
      <c r="P40" s="52">
        <f t="shared" si="1"/>
        <v>0</v>
      </c>
      <c r="Q40" s="51">
        <f t="shared" si="2"/>
        <v>-4141</v>
      </c>
      <c r="R40" s="35">
        <f t="shared" si="3"/>
        <v>-56255.485000000001</v>
      </c>
    </row>
    <row r="41" spans="1:18" x14ac:dyDescent="0.25">
      <c r="A41" t="s">
        <v>34</v>
      </c>
      <c r="B41" s="42">
        <v>0.04</v>
      </c>
      <c r="F41" s="50">
        <v>36980</v>
      </c>
      <c r="G41" s="78">
        <v>14.015000000000001</v>
      </c>
      <c r="H41" s="79">
        <v>4038</v>
      </c>
      <c r="I41" s="48">
        <f t="shared" si="4"/>
        <v>10000</v>
      </c>
      <c r="J41" s="49">
        <f t="shared" si="5"/>
        <v>3000</v>
      </c>
      <c r="K41" s="49">
        <f t="shared" si="6"/>
        <v>1500</v>
      </c>
      <c r="L41" s="49">
        <f t="shared" si="7"/>
        <v>3944</v>
      </c>
      <c r="M41" s="49">
        <f t="shared" si="7"/>
        <v>1556</v>
      </c>
      <c r="N41" s="32">
        <f t="shared" si="8"/>
        <v>-5962</v>
      </c>
      <c r="O41" s="51">
        <f t="shared" si="0"/>
        <v>0</v>
      </c>
      <c r="P41" s="52">
        <f t="shared" si="1"/>
        <v>0</v>
      </c>
      <c r="Q41" s="51">
        <f t="shared" si="2"/>
        <v>-5962</v>
      </c>
      <c r="R41" s="35">
        <f t="shared" si="3"/>
        <v>-83557.430000000008</v>
      </c>
    </row>
    <row r="42" spans="1:18" x14ac:dyDescent="0.25">
      <c r="F42" s="73">
        <v>36981</v>
      </c>
      <c r="G42" s="80">
        <v>14.25</v>
      </c>
      <c r="H42" s="81">
        <v>0</v>
      </c>
      <c r="I42" s="74">
        <f t="shared" si="4"/>
        <v>10000</v>
      </c>
      <c r="J42" s="82">
        <f t="shared" si="5"/>
        <v>3000</v>
      </c>
      <c r="K42" s="82">
        <f t="shared" si="6"/>
        <v>1500</v>
      </c>
      <c r="L42" s="82">
        <f t="shared" si="7"/>
        <v>3944</v>
      </c>
      <c r="M42" s="82">
        <f t="shared" si="7"/>
        <v>1556</v>
      </c>
      <c r="N42" s="83">
        <f t="shared" si="8"/>
        <v>-10000</v>
      </c>
      <c r="O42" s="75">
        <f t="shared" si="0"/>
        <v>0</v>
      </c>
      <c r="P42" s="76">
        <f t="shared" si="1"/>
        <v>0</v>
      </c>
      <c r="Q42" s="75">
        <f t="shared" si="2"/>
        <v>-10000</v>
      </c>
      <c r="R42" s="77">
        <f t="shared" si="3"/>
        <v>-142500</v>
      </c>
    </row>
    <row r="43" spans="1:18" x14ac:dyDescent="0.25">
      <c r="A43" t="s">
        <v>36</v>
      </c>
      <c r="B43" s="39">
        <f>0.0388*B7</f>
        <v>0.18740400000000002</v>
      </c>
      <c r="F43" s="26" t="s">
        <v>14</v>
      </c>
      <c r="G43" s="66" t="s">
        <v>31</v>
      </c>
      <c r="H43" s="48">
        <f t="shared" ref="H43:R43" si="9">SUM(H12:H42)</f>
        <v>224919</v>
      </c>
      <c r="I43" s="48">
        <f t="shared" si="9"/>
        <v>310000</v>
      </c>
      <c r="J43" s="48">
        <f t="shared" si="9"/>
        <v>93000</v>
      </c>
      <c r="K43" s="48">
        <f t="shared" si="9"/>
        <v>46500</v>
      </c>
      <c r="L43" s="48">
        <f t="shared" si="9"/>
        <v>122264</v>
      </c>
      <c r="M43" s="48">
        <f t="shared" si="9"/>
        <v>48236</v>
      </c>
      <c r="N43" s="48">
        <f t="shared" si="9"/>
        <v>-85081</v>
      </c>
      <c r="O43" s="91">
        <f t="shared" si="9"/>
        <v>1121</v>
      </c>
      <c r="P43" s="12">
        <f t="shared" si="9"/>
        <v>11148.345000000001</v>
      </c>
      <c r="Q43" s="31">
        <f t="shared" si="9"/>
        <v>-86202</v>
      </c>
      <c r="R43" s="12">
        <f t="shared" si="9"/>
        <v>-1159913.7650000001</v>
      </c>
    </row>
    <row r="44" spans="1:18" x14ac:dyDescent="0.25">
      <c r="A44" t="s">
        <v>37</v>
      </c>
      <c r="B44" s="42">
        <v>2.5999999999999999E-2</v>
      </c>
      <c r="N44" s="13">
        <f>+(P43+R43)/N43</f>
        <v>13.502020662662641</v>
      </c>
    </row>
    <row r="45" spans="1:18" x14ac:dyDescent="0.25">
      <c r="B45" s="93">
        <f>SUM(B43:B44)</f>
        <v>0.21340400000000001</v>
      </c>
    </row>
    <row r="49" spans="1:5" x14ac:dyDescent="0.25">
      <c r="B49" s="89">
        <f>B18-B27</f>
        <v>0</v>
      </c>
      <c r="C49" s="90"/>
      <c r="D49" s="90" t="s">
        <v>48</v>
      </c>
    </row>
    <row r="50" spans="1:5" x14ac:dyDescent="0.25">
      <c r="A50" s="17"/>
      <c r="B50" s="89">
        <f>I43-J43-K43-L43-M43</f>
        <v>0</v>
      </c>
      <c r="C50" s="90"/>
      <c r="D50" s="90" t="s">
        <v>48</v>
      </c>
    </row>
    <row r="51" spans="1:5" x14ac:dyDescent="0.25">
      <c r="A51" s="4"/>
      <c r="B51" s="20"/>
      <c r="C51" s="4"/>
      <c r="D51" s="18"/>
    </row>
    <row r="52" spans="1:5" x14ac:dyDescent="0.25">
      <c r="A52" s="4"/>
      <c r="B52" s="11"/>
      <c r="C52" s="4"/>
      <c r="D52" s="18"/>
    </row>
    <row r="53" spans="1:5" x14ac:dyDescent="0.25">
      <c r="A53" s="4"/>
      <c r="B53" s="43"/>
      <c r="C53" s="4"/>
      <c r="D53" s="19"/>
    </row>
    <row r="54" spans="1:5" x14ac:dyDescent="0.25">
      <c r="A54" s="20"/>
      <c r="B54" s="11"/>
      <c r="C54" s="4"/>
      <c r="D54" s="18"/>
      <c r="E54" s="4"/>
    </row>
    <row r="55" spans="1:5" x14ac:dyDescent="0.25">
      <c r="B55" s="11"/>
      <c r="C55" s="21"/>
      <c r="D55" s="18"/>
      <c r="E55" s="4"/>
    </row>
    <row r="56" spans="1:5" x14ac:dyDescent="0.25">
      <c r="A56" s="4"/>
      <c r="B56" s="11"/>
      <c r="C56" s="2"/>
      <c r="D56" s="18"/>
      <c r="E56" s="4"/>
    </row>
    <row r="57" spans="1:5" x14ac:dyDescent="0.25">
      <c r="A57" s="4"/>
      <c r="B57" s="11"/>
      <c r="C57" s="2"/>
      <c r="D57" s="18"/>
      <c r="E57" s="4"/>
    </row>
    <row r="58" spans="1:5" x14ac:dyDescent="0.25">
      <c r="A58" s="4"/>
      <c r="B58" s="20"/>
      <c r="C58" s="24"/>
      <c r="D58" s="25"/>
      <c r="E58" s="27"/>
    </row>
    <row r="59" spans="1:5" x14ac:dyDescent="0.25">
      <c r="A59" s="4"/>
      <c r="B59" s="11"/>
      <c r="C59" s="22"/>
      <c r="D59" s="15"/>
      <c r="E59" s="4"/>
    </row>
    <row r="60" spans="1:5" x14ac:dyDescent="0.25">
      <c r="A60" s="4"/>
      <c r="B60" s="20"/>
      <c r="C60" s="22"/>
      <c r="D60" s="15"/>
      <c r="E60" s="4"/>
    </row>
    <row r="61" spans="1:5" x14ac:dyDescent="0.25">
      <c r="A61" s="4"/>
      <c r="B61" s="11"/>
      <c r="C61" s="2"/>
      <c r="D61" s="3"/>
      <c r="E61" s="4"/>
    </row>
    <row r="62" spans="1:5" x14ac:dyDescent="0.25">
      <c r="A62" s="4"/>
      <c r="B62" s="11"/>
      <c r="C62" s="2"/>
      <c r="D62" s="3"/>
      <c r="E62" s="4"/>
    </row>
    <row r="63" spans="1:5" x14ac:dyDescent="0.25">
      <c r="A63" s="4"/>
      <c r="E63" s="4"/>
    </row>
    <row r="64" spans="1:5" x14ac:dyDescent="0.25">
      <c r="A64" s="4"/>
      <c r="E64" s="4"/>
    </row>
    <row r="67" spans="2:3" x14ac:dyDescent="0.25">
      <c r="B67" s="44"/>
      <c r="C67" s="23"/>
    </row>
    <row r="68" spans="2:3" x14ac:dyDescent="0.25">
      <c r="C68" s="23"/>
    </row>
  </sheetData>
  <phoneticPr fontId="0" type="noConversion"/>
  <printOptions gridLines="1"/>
  <pageMargins left="0.75" right="0.75" top="1" bottom="1" header="0.5" footer="0.5"/>
  <pageSetup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Havlíček Jan</cp:lastModifiedBy>
  <cp:lastPrinted>2001-07-16T21:08:47Z</cp:lastPrinted>
  <dcterms:created xsi:type="dcterms:W3CDTF">1999-07-01T15:58:30Z</dcterms:created>
  <dcterms:modified xsi:type="dcterms:W3CDTF">2023-09-10T15:37:06Z</dcterms:modified>
</cp:coreProperties>
</file>