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3260" windowHeight="8328"/>
  </bookViews>
  <sheets>
    <sheet name="GelberJun" sheetId="2" r:id="rId1"/>
  </sheets>
  <externalReferences>
    <externalReference r:id="rId2"/>
    <externalReference r:id="rId3"/>
  </externalReferences>
  <definedNames>
    <definedName name="calculate">#REF!</definedName>
    <definedName name="CALCULATION" localSheetId="0">#REF!</definedName>
    <definedName name="CALCULATION">#REF!</definedName>
    <definedName name="ENRONCAPWIRE" localSheetId="0">#REF!</definedName>
    <definedName name="ENRONCAPWIRE">#REF!</definedName>
    <definedName name="enroncapwire2">#REF!</definedName>
    <definedName name="_PG1" localSheetId="0">#REF!</definedName>
    <definedName name="_PG1">#REF!</definedName>
    <definedName name="PG1a">#REF!</definedName>
    <definedName name="_PG2" localSheetId="0">#REF!</definedName>
    <definedName name="_PG2">#REF!</definedName>
    <definedName name="PG2a">#REF!</definedName>
    <definedName name="_PG3" localSheetId="0">#REF!</definedName>
    <definedName name="_PG3">#REF!</definedName>
    <definedName name="PG3a">#REF!</definedName>
    <definedName name="TWPWIRE" localSheetId="0">#REF!</definedName>
    <definedName name="TWPWIRE">#REF!</definedName>
    <definedName name="TWPWIRE2">#REF!</definedName>
  </definedNames>
  <calcPr calcId="92512"/>
</workbook>
</file>

<file path=xl/calcChain.xml><?xml version="1.0" encoding="utf-8"?>
<calcChain xmlns="http://schemas.openxmlformats.org/spreadsheetml/2006/main">
  <c r="B1" i="2" l="1"/>
  <c r="C1" i="2"/>
  <c r="B2" i="2"/>
  <c r="B3" i="2"/>
  <c r="B4" i="2"/>
  <c r="B6" i="2"/>
  <c r="C11" i="2"/>
  <c r="D11" i="2"/>
  <c r="F11" i="2"/>
  <c r="G11" i="2"/>
  <c r="H11" i="2"/>
  <c r="C12" i="2"/>
  <c r="D12" i="2"/>
  <c r="F12" i="2"/>
  <c r="G12" i="2"/>
  <c r="H12" i="2"/>
  <c r="C13" i="2"/>
  <c r="H13" i="2"/>
  <c r="C14" i="2"/>
  <c r="D14" i="2"/>
  <c r="F14" i="2"/>
  <c r="G14" i="2"/>
  <c r="H14" i="2"/>
  <c r="J14" i="2"/>
  <c r="C15" i="2"/>
  <c r="D15" i="2"/>
  <c r="F15" i="2"/>
  <c r="G15" i="2"/>
  <c r="H15" i="2"/>
  <c r="J15" i="2"/>
  <c r="K15" i="2"/>
  <c r="C16" i="2"/>
  <c r="D16" i="2"/>
  <c r="F16" i="2"/>
  <c r="G16" i="2"/>
  <c r="H16" i="2"/>
  <c r="J16" i="2"/>
  <c r="K16" i="2"/>
  <c r="C17" i="2"/>
  <c r="H17" i="2"/>
  <c r="J17" i="2"/>
  <c r="K17" i="2"/>
  <c r="J18" i="2"/>
  <c r="K18" i="2"/>
  <c r="C19" i="2"/>
  <c r="D19" i="2"/>
  <c r="E19" i="2"/>
  <c r="G19" i="2"/>
  <c r="H19" i="2"/>
  <c r="K19" i="2"/>
  <c r="H22" i="2"/>
  <c r="H23" i="2"/>
  <c r="D27" i="2"/>
  <c r="F27" i="2"/>
  <c r="G27" i="2"/>
  <c r="D28" i="2"/>
  <c r="F28" i="2"/>
  <c r="G28" i="2"/>
  <c r="D29" i="2"/>
  <c r="F29" i="2"/>
  <c r="G29" i="2"/>
  <c r="D30" i="2"/>
  <c r="F30" i="2"/>
  <c r="G30" i="2"/>
  <c r="D31" i="2"/>
  <c r="F31" i="2"/>
  <c r="G31" i="2"/>
  <c r="F32" i="2"/>
  <c r="F33" i="2"/>
  <c r="F34" i="2"/>
  <c r="F35" i="2"/>
  <c r="F36" i="2"/>
  <c r="F37" i="2"/>
  <c r="F38" i="2"/>
  <c r="F39" i="2"/>
  <c r="G41" i="2"/>
  <c r="C42" i="2"/>
  <c r="C43" i="2"/>
  <c r="G55" i="2"/>
  <c r="H55" i="2"/>
  <c r="G56" i="2"/>
  <c r="H56" i="2"/>
  <c r="G57" i="2"/>
  <c r="H57" i="2"/>
  <c r="G58" i="2"/>
  <c r="H58" i="2"/>
  <c r="G59" i="2"/>
  <c r="H59" i="2"/>
  <c r="G60" i="2"/>
  <c r="H60" i="2"/>
  <c r="G61" i="2"/>
  <c r="H61" i="2"/>
  <c r="G73" i="2"/>
  <c r="H73" i="2"/>
  <c r="G74" i="2"/>
  <c r="H74" i="2"/>
  <c r="G75" i="2"/>
  <c r="H75" i="2"/>
  <c r="G76" i="2"/>
  <c r="H76" i="2"/>
  <c r="G77" i="2"/>
  <c r="H77" i="2"/>
  <c r="G78" i="2"/>
  <c r="H78" i="2"/>
  <c r="H90" i="2"/>
  <c r="H91" i="2"/>
  <c r="H92" i="2"/>
  <c r="H93" i="2"/>
  <c r="G94" i="2"/>
  <c r="H94" i="2"/>
  <c r="J106" i="2"/>
  <c r="K106" i="2"/>
  <c r="J107" i="2"/>
  <c r="K107" i="2"/>
  <c r="J108" i="2"/>
  <c r="K108" i="2"/>
  <c r="J109" i="2"/>
  <c r="K109" i="2"/>
  <c r="J110" i="2"/>
  <c r="K110" i="2"/>
  <c r="K111" i="2"/>
  <c r="K112" i="2"/>
  <c r="K113" i="2"/>
  <c r="H114" i="2"/>
  <c r="J114" i="2"/>
  <c r="K114" i="2"/>
</calcChain>
</file>

<file path=xl/sharedStrings.xml><?xml version="1.0" encoding="utf-8"?>
<sst xmlns="http://schemas.openxmlformats.org/spreadsheetml/2006/main" count="128" uniqueCount="58">
  <si>
    <t>Accounting Month:</t>
  </si>
  <si>
    <t>Number of Days:</t>
  </si>
  <si>
    <t>NYMEX=</t>
  </si>
  <si>
    <t>IF-EP-San Juan=</t>
  </si>
  <si>
    <t>Basis Differential=</t>
  </si>
  <si>
    <t>Contracts at Fixed Qty / Price</t>
  </si>
  <si>
    <t xml:space="preserve"> Trans #</t>
  </si>
  <si>
    <t>Date</t>
  </si>
  <si>
    <t>Dth / day</t>
  </si>
  <si>
    <t>Dth / mo</t>
  </si>
  <si>
    <t xml:space="preserve">Contract $ / Dth   </t>
  </si>
  <si>
    <t>Basis Diff.</t>
  </si>
  <si>
    <t>Net $ / Dth</t>
  </si>
  <si>
    <t xml:space="preserve">   Total $</t>
  </si>
  <si>
    <t>EU8529.G-L / 67851</t>
  </si>
  <si>
    <t>EU8529.X / 67851</t>
  </si>
  <si>
    <t>QS5478.C / 67851</t>
  </si>
  <si>
    <t>nymex - 0.27</t>
  </si>
  <si>
    <t>QS5478.I / 67851</t>
  </si>
  <si>
    <t>QS5478.S / 67851</t>
  </si>
  <si>
    <t>Month</t>
  </si>
  <si>
    <t>Adjustment</t>
  </si>
  <si>
    <t>Totals:</t>
  </si>
  <si>
    <t>From Az Gas Book</t>
  </si>
  <si>
    <t>Total Adj:</t>
  </si>
  <si>
    <t>Confirmation #</t>
  </si>
  <si>
    <t>Contracts</t>
  </si>
  <si>
    <t>Basis</t>
  </si>
  <si>
    <t>NYMEX</t>
  </si>
  <si>
    <t>Total</t>
  </si>
  <si>
    <t>EU8529.X/67851</t>
  </si>
  <si>
    <t>QS5478.I,67851</t>
  </si>
  <si>
    <t>QS5478.S/67851</t>
  </si>
  <si>
    <t>Actual (Rev.A)</t>
  </si>
  <si>
    <t>San Juan Index =</t>
  </si>
  <si>
    <t>Discount =</t>
  </si>
  <si>
    <t>EPNG Fuel % =</t>
  </si>
  <si>
    <t xml:space="preserve">$ / Dth   </t>
  </si>
  <si>
    <t>Credit Due</t>
  </si>
  <si>
    <t>EU8529.N / 67851</t>
  </si>
  <si>
    <t>EU8529.M / 67851</t>
  </si>
  <si>
    <t>EU8529.F / 67851</t>
  </si>
  <si>
    <t>EU8529.G / 67851</t>
  </si>
  <si>
    <t>EU8529.1 / 67851</t>
  </si>
  <si>
    <t>EU8529.I / 67851</t>
  </si>
  <si>
    <t>Actual</t>
  </si>
  <si>
    <t>EU8529.O / 67851</t>
  </si>
  <si>
    <t>EU8529.T / 67851</t>
  </si>
  <si>
    <t>EU8529.4 / 67851</t>
  </si>
  <si>
    <t>QS5478.B / 67851</t>
  </si>
  <si>
    <t>EU8529.4/67851</t>
  </si>
  <si>
    <t>QS5478.7 / 67851</t>
  </si>
  <si>
    <t>=Verified w/ confirmation sheets.</t>
  </si>
  <si>
    <t>Contract Discount=</t>
  </si>
  <si>
    <t>Performance Check:</t>
  </si>
  <si>
    <t>- Above Qty at Index:</t>
  </si>
  <si>
    <t>Gain / (Loss):</t>
  </si>
  <si>
    <t>Extended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</si>
</sst>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_(* #,##0_);_(* \(#,##0\);_(* &quot;-&quot;??_);_(@_)"/>
    <numFmt numFmtId="173" formatCode="#,##0.0000"/>
    <numFmt numFmtId="176" formatCode="0.000%"/>
    <numFmt numFmtId="183" formatCode="_(* #,##0.0000_);_(* \(#,##0.0000\);_(* &quot;-&quot;??_);_(@_)"/>
    <numFmt numFmtId="184" formatCode="_(&quot;$&quot;* #,##0.000_);_(&quot;$&quot;* \(#,##0.000\);_(&quot;$&quot;* &quot;-&quot;??_);_(@_)"/>
    <numFmt numFmtId="185" formatCode="_(&quot;$&quot;* #,##0.0000_);_(&quot;$&quot;* \(#,##0.0000\);_(&quot;$&quot;* &quot;-&quot;??_);_(@_)"/>
    <numFmt numFmtId="193" formatCode="_(\A\v\g&quot;$&quot;* #,##0.0000_);_(\A\v\g&quot;$&quot;* \(#,##0.0000\);_(&quot;$&quot;* &quot;-&quot;??_);_(@_)"/>
    <numFmt numFmtId="196" formatCode="_(* #,##0.0_);_(* \(#,##0.0\);_(* &quot;-&quot;??_);_(@_)"/>
    <numFmt numFmtId="211" formatCode="dd\-mmm\-yy"/>
    <numFmt numFmtId="227" formatCode="_(* #,##0.000_);_(* \(#,##0.000\);_(* &quot;-&quot;???_);_(@_)"/>
  </numFmts>
  <fonts count="16" x14ac:knownFonts="1">
    <font>
      <sz val="12"/>
      <name val="Arial"/>
    </font>
    <font>
      <sz val="10"/>
      <name val="Arial"/>
    </font>
    <font>
      <sz val="12"/>
      <color indexed="8"/>
      <name val="Arial"/>
      <family val="2"/>
    </font>
    <font>
      <b/>
      <sz val="14"/>
      <color indexed="10"/>
      <name val="Arial"/>
      <family val="2"/>
    </font>
    <font>
      <sz val="12"/>
      <name val="Arial"/>
      <family val="2"/>
    </font>
    <font>
      <sz val="12"/>
      <name val="Arial"/>
    </font>
    <font>
      <b/>
      <sz val="12"/>
      <name val="Arial"/>
      <family val="2"/>
    </font>
    <font>
      <b/>
      <sz val="16"/>
      <name val="Arial"/>
      <family val="2"/>
    </font>
    <font>
      <b/>
      <sz val="12"/>
      <color indexed="12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10"/>
      <name val="Arial"/>
      <family val="2"/>
    </font>
    <font>
      <b/>
      <u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0"/>
      </left>
      <right/>
      <top style="medium">
        <color indexed="60"/>
      </top>
      <bottom/>
      <diagonal/>
    </border>
    <border>
      <left/>
      <right/>
      <top style="medium">
        <color indexed="60"/>
      </top>
      <bottom/>
      <diagonal/>
    </border>
    <border>
      <left/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/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/>
      <top/>
      <bottom/>
      <diagonal/>
    </border>
    <border>
      <left/>
      <right style="medium">
        <color indexed="60"/>
      </right>
      <top/>
      <bottom/>
      <diagonal/>
    </border>
    <border>
      <left style="medium">
        <color indexed="60"/>
      </left>
      <right/>
      <top/>
      <bottom style="medium">
        <color indexed="60"/>
      </bottom>
      <diagonal/>
    </border>
    <border>
      <left/>
      <right/>
      <top/>
      <bottom style="medium">
        <color indexed="60"/>
      </bottom>
      <diagonal/>
    </border>
    <border>
      <left/>
      <right style="medium">
        <color indexed="60"/>
      </right>
      <top/>
      <bottom style="medium">
        <color indexed="6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0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0">
    <xf numFmtId="0" fontId="0" fillId="0" borderId="0" xfId="0"/>
    <xf numFmtId="0" fontId="2" fillId="0" borderId="0" xfId="0" applyFont="1" applyBorder="1" applyAlignment="1">
      <alignment horizontal="right"/>
    </xf>
    <xf numFmtId="17" fontId="2" fillId="0" borderId="0" xfId="0" applyNumberFormat="1" applyFont="1" applyBorder="1" applyAlignment="1">
      <alignment horizontal="right"/>
    </xf>
    <xf numFmtId="169" fontId="2" fillId="0" borderId="0" xfId="1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185" fontId="2" fillId="0" borderId="0" xfId="2" applyNumberFormat="1" applyFont="1" applyBorder="1" applyAlignment="1">
      <alignment horizontal="right"/>
    </xf>
    <xf numFmtId="185" fontId="5" fillId="0" borderId="0" xfId="2" applyNumberFormat="1" applyFont="1"/>
    <xf numFmtId="0" fontId="4" fillId="0" borderId="0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right"/>
    </xf>
    <xf numFmtId="0" fontId="4" fillId="0" borderId="5" xfId="0" applyFont="1" applyFill="1" applyBorder="1"/>
    <xf numFmtId="211" fontId="4" fillId="0" borderId="6" xfId="0" applyNumberFormat="1" applyFont="1" applyBorder="1" applyAlignment="1">
      <alignment horizontal="center"/>
    </xf>
    <xf numFmtId="196" fontId="4" fillId="0" borderId="6" xfId="1" applyNumberFormat="1" applyFont="1" applyBorder="1"/>
    <xf numFmtId="169" fontId="8" fillId="0" borderId="0" xfId="1" applyNumberFormat="1" applyFont="1" applyBorder="1"/>
    <xf numFmtId="183" fontId="8" fillId="0" borderId="6" xfId="1" applyNumberFormat="1" applyFont="1" applyBorder="1"/>
    <xf numFmtId="183" fontId="8" fillId="0" borderId="7" xfId="1" applyNumberFormat="1" applyFont="1" applyBorder="1"/>
    <xf numFmtId="44" fontId="4" fillId="0" borderId="7" xfId="0" applyNumberFormat="1" applyFont="1" applyBorder="1"/>
    <xf numFmtId="0" fontId="9" fillId="2" borderId="5" xfId="0" applyFont="1" applyFill="1" applyBorder="1"/>
    <xf numFmtId="211" fontId="9" fillId="2" borderId="6" xfId="0" applyNumberFormat="1" applyFont="1" applyFill="1" applyBorder="1" applyAlignment="1">
      <alignment horizontal="center"/>
    </xf>
    <xf numFmtId="196" fontId="4" fillId="2" borderId="6" xfId="1" applyNumberFormat="1" applyFont="1" applyFill="1" applyBorder="1"/>
    <xf numFmtId="169" fontId="8" fillId="2" borderId="0" xfId="1" applyNumberFormat="1" applyFont="1" applyFill="1" applyBorder="1"/>
    <xf numFmtId="185" fontId="8" fillId="2" borderId="6" xfId="2" applyNumberFormat="1" applyFont="1" applyFill="1" applyBorder="1"/>
    <xf numFmtId="185" fontId="6" fillId="0" borderId="7" xfId="2" applyNumberFormat="1" applyFont="1" applyBorder="1"/>
    <xf numFmtId="44" fontId="4" fillId="0" borderId="7" xfId="2" applyFont="1" applyBorder="1"/>
    <xf numFmtId="183" fontId="8" fillId="2" borderId="6" xfId="1" applyNumberFormat="1" applyFont="1" applyFill="1" applyBorder="1"/>
    <xf numFmtId="183" fontId="6" fillId="0" borderId="7" xfId="1" applyNumberFormat="1" applyFont="1" applyBorder="1"/>
    <xf numFmtId="43" fontId="4" fillId="0" borderId="7" xfId="1" applyFont="1" applyBorder="1"/>
    <xf numFmtId="0" fontId="9" fillId="0" borderId="5" xfId="0" applyFont="1" applyFill="1" applyBorder="1"/>
    <xf numFmtId="211" fontId="9" fillId="0" borderId="6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44" fontId="4" fillId="0" borderId="11" xfId="2" applyFont="1" applyBorder="1"/>
    <xf numFmtId="0" fontId="6" fillId="0" borderId="8" xfId="0" applyFont="1" applyBorder="1" applyAlignment="1">
      <alignment horizontal="right"/>
    </xf>
    <xf numFmtId="196" fontId="4" fillId="0" borderId="4" xfId="1" applyNumberFormat="1" applyFont="1" applyBorder="1"/>
    <xf numFmtId="169" fontId="6" fillId="0" borderId="4" xfId="0" applyNumberFormat="1" applyFont="1" applyBorder="1"/>
    <xf numFmtId="193" fontId="4" fillId="0" borderId="10" xfId="2" applyNumberFormat="1" applyFont="1" applyBorder="1"/>
    <xf numFmtId="44" fontId="6" fillId="0" borderId="4" xfId="0" applyNumberFormat="1" applyFont="1" applyBorder="1"/>
    <xf numFmtId="44" fontId="0" fillId="0" borderId="0" xfId="0" applyNumberFormat="1"/>
    <xf numFmtId="0" fontId="0" fillId="2" borderId="4" xfId="0" applyFill="1" applyBorder="1"/>
    <xf numFmtId="0" fontId="0" fillId="0" borderId="0" xfId="0" quotePrefix="1"/>
    <xf numFmtId="0" fontId="0" fillId="0" borderId="1" xfId="0" applyBorder="1"/>
    <xf numFmtId="0" fontId="6" fillId="0" borderId="2" xfId="0" applyFont="1" applyBorder="1" applyAlignment="1">
      <alignment horizontal="right"/>
    </xf>
    <xf numFmtId="0" fontId="0" fillId="0" borderId="3" xfId="0" applyBorder="1"/>
    <xf numFmtId="0" fontId="0" fillId="0" borderId="0" xfId="0" quotePrefix="1" applyAlignment="1">
      <alignment horizontal="right"/>
    </xf>
    <xf numFmtId="44" fontId="6" fillId="0" borderId="10" xfId="0" applyNumberFormat="1" applyFont="1" applyBorder="1"/>
    <xf numFmtId="0" fontId="0" fillId="0" borderId="0" xfId="0" applyAlignment="1">
      <alignment horizontal="right"/>
    </xf>
    <xf numFmtId="44" fontId="6" fillId="0" borderId="0" xfId="0" applyNumberFormat="1" applyFont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1" fillId="3" borderId="15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0" fillId="3" borderId="12" xfId="0" applyFont="1" applyFill="1" applyBorder="1"/>
    <xf numFmtId="14" fontId="10" fillId="3" borderId="13" xfId="0" applyNumberFormat="1" applyFont="1" applyFill="1" applyBorder="1"/>
    <xf numFmtId="3" fontId="10" fillId="3" borderId="13" xfId="0" applyNumberFormat="1" applyFont="1" applyFill="1" applyBorder="1"/>
    <xf numFmtId="184" fontId="10" fillId="3" borderId="13" xfId="2" applyNumberFormat="1" applyFont="1" applyFill="1" applyBorder="1"/>
    <xf numFmtId="184" fontId="10" fillId="3" borderId="14" xfId="2" applyNumberFormat="1" applyFont="1" applyFill="1" applyBorder="1"/>
    <xf numFmtId="0" fontId="10" fillId="3" borderId="17" xfId="0" applyFont="1" applyFill="1" applyBorder="1"/>
    <xf numFmtId="14" fontId="10" fillId="3" borderId="0" xfId="0" applyNumberFormat="1" applyFont="1" applyFill="1" applyBorder="1"/>
    <xf numFmtId="0" fontId="10" fillId="3" borderId="0" xfId="0" applyFont="1" applyFill="1" applyBorder="1"/>
    <xf numFmtId="184" fontId="10" fillId="3" borderId="0" xfId="2" applyNumberFormat="1" applyFont="1" applyFill="1" applyBorder="1"/>
    <xf numFmtId="184" fontId="10" fillId="3" borderId="18" xfId="2" applyNumberFormat="1" applyFont="1" applyFill="1" applyBorder="1"/>
    <xf numFmtId="8" fontId="0" fillId="0" borderId="0" xfId="0" applyNumberFormat="1"/>
    <xf numFmtId="0" fontId="10" fillId="3" borderId="19" xfId="0" applyFont="1" applyFill="1" applyBorder="1"/>
    <xf numFmtId="0" fontId="10" fillId="3" borderId="20" xfId="0" applyFont="1" applyFill="1" applyBorder="1"/>
    <xf numFmtId="184" fontId="10" fillId="3" borderId="21" xfId="2" applyNumberFormat="1" applyFont="1" applyFill="1" applyBorder="1"/>
    <xf numFmtId="0" fontId="10" fillId="4" borderId="0" xfId="0" applyFont="1" applyFill="1"/>
    <xf numFmtId="44" fontId="10" fillId="5" borderId="22" xfId="2" applyFont="1" applyFill="1" applyBorder="1"/>
    <xf numFmtId="44" fontId="10" fillId="5" borderId="23" xfId="2" applyFont="1" applyFill="1" applyBorder="1"/>
    <xf numFmtId="44" fontId="10" fillId="5" borderId="24" xfId="2" applyFont="1" applyFill="1" applyBorder="1"/>
    <xf numFmtId="0" fontId="10" fillId="5" borderId="25" xfId="0" applyFont="1" applyFill="1" applyBorder="1"/>
    <xf numFmtId="0" fontId="10" fillId="5" borderId="26" xfId="0" applyFont="1" applyFill="1" applyBorder="1"/>
    <xf numFmtId="0" fontId="10" fillId="5" borderId="27" xfId="0" applyFont="1" applyFill="1" applyBorder="1"/>
    <xf numFmtId="0" fontId="2" fillId="0" borderId="28" xfId="0" applyFont="1" applyBorder="1" applyAlignment="1">
      <alignment horizontal="right"/>
    </xf>
    <xf numFmtId="17" fontId="12" fillId="0" borderId="29" xfId="0" applyNumberFormat="1" applyFont="1" applyBorder="1" applyAlignment="1">
      <alignment horizontal="right"/>
    </xf>
    <xf numFmtId="17" fontId="3" fillId="0" borderId="29" xfId="0" applyNumberFormat="1" applyFont="1" applyBorder="1" applyAlignment="1">
      <alignment horizontal="left"/>
    </xf>
    <xf numFmtId="0" fontId="2" fillId="0" borderId="29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17" fontId="2" fillId="0" borderId="5" xfId="0" applyNumberFormat="1" applyFont="1" applyBorder="1" applyAlignment="1">
      <alignment horizontal="right"/>
    </xf>
    <xf numFmtId="17" fontId="2" fillId="0" borderId="7" xfId="0" applyNumberFormat="1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76" fontId="2" fillId="0" borderId="0" xfId="3" applyNumberFormat="1" applyFont="1" applyBorder="1" applyAlignment="1">
      <alignment horizontal="right"/>
    </xf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13" fillId="0" borderId="4" xfId="0" applyFont="1" applyFill="1" applyBorder="1" applyAlignment="1">
      <alignment horizontal="right"/>
    </xf>
    <xf numFmtId="185" fontId="14" fillId="0" borderId="7" xfId="0" applyNumberFormat="1" applyFont="1" applyBorder="1"/>
    <xf numFmtId="44" fontId="14" fillId="0" borderId="7" xfId="0" applyNumberFormat="1" applyFont="1" applyBorder="1"/>
    <xf numFmtId="183" fontId="14" fillId="0" borderId="7" xfId="1" applyNumberFormat="1" applyFont="1" applyBorder="1"/>
    <xf numFmtId="43" fontId="14" fillId="0" borderId="7" xfId="1" applyFont="1" applyBorder="1"/>
    <xf numFmtId="185" fontId="14" fillId="0" borderId="1" xfId="0" applyNumberFormat="1" applyFont="1" applyBorder="1"/>
    <xf numFmtId="44" fontId="13" fillId="0" borderId="31" xfId="0" applyNumberFormat="1" applyFont="1" applyBorder="1"/>
    <xf numFmtId="17" fontId="3" fillId="0" borderId="29" xfId="0" applyNumberFormat="1" applyFont="1" applyBorder="1" applyAlignment="1">
      <alignment horizontal="center"/>
    </xf>
    <xf numFmtId="185" fontId="14" fillId="0" borderId="7" xfId="2" applyNumberFormat="1" applyFont="1" applyBorder="1"/>
    <xf numFmtId="44" fontId="14" fillId="0" borderId="7" xfId="2" applyFont="1" applyBorder="1"/>
    <xf numFmtId="183" fontId="14" fillId="0" borderId="9" xfId="1" applyNumberFormat="1" applyFont="1" applyBorder="1"/>
    <xf numFmtId="17" fontId="2" fillId="0" borderId="29" xfId="0" applyNumberFormat="1" applyFont="1" applyBorder="1" applyAlignment="1">
      <alignment horizontal="right"/>
    </xf>
    <xf numFmtId="43" fontId="14" fillId="0" borderId="9" xfId="1" applyFont="1" applyBorder="1"/>
    <xf numFmtId="43" fontId="14" fillId="0" borderId="0" xfId="1" applyFont="1" applyBorder="1"/>
    <xf numFmtId="43" fontId="14" fillId="0" borderId="29" xfId="1" applyFont="1" applyBorder="1"/>
    <xf numFmtId="43" fontId="14" fillId="0" borderId="30" xfId="1" applyFont="1" applyBorder="1"/>
    <xf numFmtId="44" fontId="14" fillId="0" borderId="0" xfId="0" applyNumberFormat="1" applyFont="1" applyBorder="1"/>
    <xf numFmtId="44" fontId="13" fillId="0" borderId="7" xfId="0" applyNumberFormat="1" applyFont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44" fontId="14" fillId="0" borderId="32" xfId="0" applyNumberFormat="1" applyFont="1" applyBorder="1"/>
    <xf numFmtId="185" fontId="8" fillId="0" borderId="6" xfId="2" applyNumberFormat="1" applyFont="1" applyBorder="1"/>
    <xf numFmtId="185" fontId="8" fillId="0" borderId="7" xfId="2" applyNumberFormat="1" applyFont="1" applyBorder="1"/>
    <xf numFmtId="44" fontId="14" fillId="0" borderId="1" xfId="0" applyNumberFormat="1" applyFont="1" applyBorder="1"/>
    <xf numFmtId="17" fontId="9" fillId="0" borderId="0" xfId="0" applyNumberFormat="1" applyFont="1" applyBorder="1" applyAlignment="1"/>
    <xf numFmtId="17" fontId="3" fillId="0" borderId="0" xfId="0" applyNumberFormat="1" applyFont="1" applyBorder="1" applyAlignment="1">
      <alignment horizontal="left"/>
    </xf>
    <xf numFmtId="169" fontId="9" fillId="0" borderId="0" xfId="1" applyNumberFormat="1" applyFont="1" applyBorder="1" applyAlignment="1"/>
    <xf numFmtId="185" fontId="9" fillId="0" borderId="0" xfId="2" applyNumberFormat="1" applyFont="1" applyBorder="1" applyAlignment="1"/>
    <xf numFmtId="185" fontId="4" fillId="0" borderId="0" xfId="0" applyNumberFormat="1" applyFont="1" applyBorder="1" applyAlignment="1">
      <alignment horizontal="right"/>
    </xf>
    <xf numFmtId="185" fontId="2" fillId="0" borderId="0" xfId="2" applyNumberFormat="1" applyFont="1" applyBorder="1" applyAlignment="1"/>
    <xf numFmtId="0" fontId="15" fillId="0" borderId="22" xfId="0" applyFont="1" applyBorder="1" applyAlignment="1">
      <alignment horizontal="right"/>
    </xf>
    <xf numFmtId="0" fontId="15" fillId="0" borderId="24" xfId="0" applyFont="1" applyBorder="1" applyAlignment="1">
      <alignment horizontal="right"/>
    </xf>
    <xf numFmtId="17" fontId="14" fillId="0" borderId="33" xfId="0" applyNumberFormat="1" applyFont="1" applyBorder="1"/>
    <xf numFmtId="44" fontId="14" fillId="0" borderId="34" xfId="2" applyFont="1" applyBorder="1"/>
    <xf numFmtId="44" fontId="14" fillId="0" borderId="34" xfId="0" applyNumberFormat="1" applyFont="1" applyBorder="1"/>
    <xf numFmtId="0" fontId="6" fillId="0" borderId="35" xfId="0" applyFont="1" applyBorder="1" applyAlignment="1">
      <alignment horizontal="right"/>
    </xf>
    <xf numFmtId="44" fontId="13" fillId="0" borderId="36" xfId="0" applyNumberFormat="1" applyFont="1" applyBorder="1"/>
    <xf numFmtId="173" fontId="10" fillId="3" borderId="13" xfId="0" applyNumberFormat="1" applyFont="1" applyFill="1" applyBorder="1"/>
    <xf numFmtId="227" fontId="0" fillId="0" borderId="0" xfId="0" applyNumberFormat="1"/>
    <xf numFmtId="173" fontId="10" fillId="3" borderId="0" xfId="0" applyNumberFormat="1" applyFont="1" applyFill="1" applyBorder="1"/>
    <xf numFmtId="227" fontId="0" fillId="0" borderId="37" xfId="0" applyNumberFormat="1" applyBorder="1"/>
    <xf numFmtId="0" fontId="10" fillId="5" borderId="22" xfId="0" applyFont="1" applyFill="1" applyBorder="1"/>
    <xf numFmtId="0" fontId="10" fillId="5" borderId="23" xfId="0" applyFont="1" applyFill="1" applyBorder="1"/>
    <xf numFmtId="0" fontId="10" fillId="5" borderId="24" xfId="0" applyFont="1" applyFill="1" applyBorder="1"/>
    <xf numFmtId="184" fontId="5" fillId="0" borderId="0" xfId="2" applyNumberFormat="1" applyFont="1"/>
    <xf numFmtId="196" fontId="4" fillId="0" borderId="9" xfId="1" applyNumberFormat="1" applyFont="1" applyBorder="1"/>
    <xf numFmtId="169" fontId="8" fillId="0" borderId="10" xfId="1" applyNumberFormat="1" applyFont="1" applyBorder="1"/>
    <xf numFmtId="183" fontId="8" fillId="0" borderId="9" xfId="1" applyNumberFormat="1" applyFont="1" applyBorder="1"/>
    <xf numFmtId="43" fontId="14" fillId="0" borderId="9" xfId="1" applyNumberFormat="1" applyFont="1" applyBorder="1"/>
    <xf numFmtId="185" fontId="14" fillId="0" borderId="6" xfId="2" applyNumberFormat="1" applyFont="1" applyBorder="1"/>
    <xf numFmtId="185" fontId="14" fillId="0" borderId="6" xfId="1" applyNumberFormat="1" applyFont="1" applyBorder="1"/>
    <xf numFmtId="185" fontId="14" fillId="0" borderId="9" xfId="1" applyNumberFormat="1" applyFont="1" applyBorder="1"/>
    <xf numFmtId="17" fontId="10" fillId="3" borderId="19" xfId="0" applyNumberFormat="1" applyFont="1" applyFill="1" applyBorder="1" applyAlignment="1">
      <alignment horizontal="center"/>
    </xf>
    <xf numFmtId="17" fontId="10" fillId="3" borderId="20" xfId="0" applyNumberFormat="1" applyFont="1" applyFill="1" applyBorder="1" applyAlignment="1">
      <alignment horizontal="center"/>
    </xf>
    <xf numFmtId="17" fontId="10" fillId="3" borderId="21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Fix01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nsition/CRAIG/MonthlySupply/ACTUALS/Pur0106ActCznCWL%20JACRevised%20For%20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lber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 NSP-spreadsheet"/>
      <sheetName val="Gelber"/>
      <sheetName val="EPNG-spreadsheet"/>
      <sheetName val="TWP- spreadsheet"/>
      <sheetName val="TWP-PPL-Griffith"/>
      <sheetName val="Allocation"/>
      <sheetName val="Enron Wire"/>
      <sheetName val="EP Merchant -NSP"/>
      <sheetName val="EP Merchant Wire"/>
      <sheetName val="Document Requirement"/>
    </sheetNames>
    <sheetDataSet>
      <sheetData sheetId="0">
        <row r="1">
          <cell r="B1" t="str">
            <v>Actual Rev. D</v>
          </cell>
        </row>
        <row r="2">
          <cell r="B2">
            <v>37043</v>
          </cell>
        </row>
        <row r="3">
          <cell r="B3">
            <v>30</v>
          </cell>
        </row>
        <row r="4">
          <cell r="B4">
            <v>3.738</v>
          </cell>
        </row>
        <row r="5">
          <cell r="B5">
            <v>3.14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114"/>
  <sheetViews>
    <sheetView tabSelected="1" zoomScale="70" workbookViewId="0">
      <selection activeCell="H19" sqref="H19:K19"/>
    </sheetView>
  </sheetViews>
  <sheetFormatPr defaultRowHeight="15" x14ac:dyDescent="0.25"/>
  <cols>
    <col min="1" max="1" width="17.36328125" customWidth="1"/>
    <col min="2" max="2" width="10.90625" customWidth="1"/>
    <col min="3" max="3" width="12.6328125" customWidth="1"/>
    <col min="4" max="4" width="11.08984375" customWidth="1"/>
    <col min="5" max="5" width="15.453125" bestFit="1" customWidth="1"/>
    <col min="6" max="6" width="13.90625" customWidth="1"/>
    <col min="7" max="7" width="14" customWidth="1"/>
    <col min="8" max="8" width="15.453125" customWidth="1"/>
    <col min="9" max="9" width="1.90625" customWidth="1"/>
    <col min="10" max="10" width="11.36328125" customWidth="1"/>
    <col min="11" max="11" width="12.6328125" bestFit="1" customWidth="1"/>
  </cols>
  <sheetData>
    <row r="1" spans="1:256" ht="17.399999999999999" x14ac:dyDescent="0.3">
      <c r="A1" s="1" t="s">
        <v>0</v>
      </c>
      <c r="B1" s="119">
        <f>'[2] NSP-spreadsheet'!B2</f>
        <v>37043</v>
      </c>
      <c r="C1" s="120" t="str">
        <f>'[2] NSP-spreadsheet'!B1</f>
        <v>Actual Rev. D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x14ac:dyDescent="0.25">
      <c r="A2" s="2" t="s">
        <v>1</v>
      </c>
      <c r="B2" s="121">
        <f>'[2] NSP-spreadsheet'!B3</f>
        <v>30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</row>
    <row r="3" spans="1:256" x14ac:dyDescent="0.25">
      <c r="A3" s="4" t="s">
        <v>2</v>
      </c>
      <c r="B3" s="122">
        <f>'[2] NSP-spreadsheet'!B4</f>
        <v>3.738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</row>
    <row r="4" spans="1:256" x14ac:dyDescent="0.25">
      <c r="A4" s="1" t="s">
        <v>3</v>
      </c>
      <c r="B4" s="122">
        <f>'[2] NSP-spreadsheet'!B5</f>
        <v>3.14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</row>
    <row r="5" spans="1:256" x14ac:dyDescent="0.25">
      <c r="A5" s="51" t="s">
        <v>53</v>
      </c>
      <c r="B5" s="6">
        <v>-1.2E-2</v>
      </c>
      <c r="C5" s="7"/>
      <c r="D5" s="7"/>
      <c r="E5" s="7"/>
      <c r="F5" s="123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</row>
    <row r="6" spans="1:256" x14ac:dyDescent="0.25">
      <c r="A6" s="7" t="s">
        <v>4</v>
      </c>
      <c r="B6" s="124">
        <f>$B$4-$B$3</f>
        <v>-0.59799999999999986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</row>
    <row r="8" spans="1:256" ht="27.75" customHeight="1" x14ac:dyDescent="0.4">
      <c r="A8" s="8"/>
      <c r="B8" s="9"/>
      <c r="C8" s="9"/>
      <c r="D8" s="10" t="s">
        <v>5</v>
      </c>
      <c r="E8" s="9"/>
      <c r="F8" s="9"/>
      <c r="G8" s="9"/>
      <c r="H8" s="11"/>
    </row>
    <row r="9" spans="1:256" ht="15.6" x14ac:dyDescent="0.3">
      <c r="A9" s="12" t="s">
        <v>6</v>
      </c>
      <c r="B9" s="12" t="s">
        <v>7</v>
      </c>
      <c r="C9" s="13" t="s">
        <v>8</v>
      </c>
      <c r="D9" s="13" t="s">
        <v>9</v>
      </c>
      <c r="E9" s="13" t="s">
        <v>10</v>
      </c>
      <c r="F9" s="13" t="s">
        <v>11</v>
      </c>
      <c r="G9" s="13" t="s">
        <v>12</v>
      </c>
      <c r="H9" s="12" t="s">
        <v>13</v>
      </c>
    </row>
    <row r="10" spans="1:256" ht="15.6" x14ac:dyDescent="0.3">
      <c r="A10" s="14"/>
      <c r="B10" s="15"/>
      <c r="C10" s="16"/>
      <c r="D10" s="17"/>
      <c r="E10" s="18"/>
      <c r="F10" s="19"/>
      <c r="G10" s="19"/>
      <c r="H10" s="20"/>
    </row>
    <row r="11" spans="1:256" ht="15.6" x14ac:dyDescent="0.3">
      <c r="A11" s="21" t="s">
        <v>14</v>
      </c>
      <c r="B11" s="22">
        <v>36888</v>
      </c>
      <c r="C11" s="23">
        <f t="shared" ref="C11:C17" si="0">D11/$B$2</f>
        <v>1666.6666666666667</v>
      </c>
      <c r="D11" s="24">
        <f>10000*5</f>
        <v>50000</v>
      </c>
      <c r="E11" s="25">
        <v>5.32</v>
      </c>
      <c r="F11" s="26">
        <f>$B$5-0.27</f>
        <v>-0.28200000000000003</v>
      </c>
      <c r="G11" s="26">
        <f>E11+F11</f>
        <v>5.0380000000000003</v>
      </c>
      <c r="H11" s="27">
        <f t="shared" ref="H11:H17" si="1">D11*G11</f>
        <v>251900</v>
      </c>
    </row>
    <row r="12" spans="1:256" ht="16.2" thickBot="1" x14ac:dyDescent="0.35">
      <c r="A12" s="21" t="s">
        <v>15</v>
      </c>
      <c r="B12" s="22">
        <v>36938</v>
      </c>
      <c r="C12" s="23">
        <f t="shared" si="0"/>
        <v>1666.6666666666667</v>
      </c>
      <c r="D12" s="24">
        <f>10000*5</f>
        <v>50000</v>
      </c>
      <c r="E12" s="28">
        <v>5.53</v>
      </c>
      <c r="F12" s="29">
        <f>$B$5-0.27</f>
        <v>-0.28200000000000003</v>
      </c>
      <c r="G12" s="29">
        <f>E12+F12</f>
        <v>5.2480000000000002</v>
      </c>
      <c r="H12" s="30">
        <f t="shared" si="1"/>
        <v>262400</v>
      </c>
    </row>
    <row r="13" spans="1:256" ht="15.6" x14ac:dyDescent="0.3">
      <c r="A13" s="21" t="s">
        <v>16</v>
      </c>
      <c r="B13" s="22">
        <v>36972</v>
      </c>
      <c r="C13" s="23">
        <f t="shared" si="0"/>
        <v>0</v>
      </c>
      <c r="D13" s="24"/>
      <c r="E13" s="28" t="s">
        <v>17</v>
      </c>
      <c r="F13" s="29">
        <v>-0.27</v>
      </c>
      <c r="G13" s="29"/>
      <c r="H13" s="30">
        <f t="shared" si="1"/>
        <v>0</v>
      </c>
      <c r="J13" s="125" t="s">
        <v>20</v>
      </c>
      <c r="K13" s="126" t="s">
        <v>21</v>
      </c>
    </row>
    <row r="14" spans="1:256" ht="15.6" x14ac:dyDescent="0.3">
      <c r="A14" s="21" t="s">
        <v>18</v>
      </c>
      <c r="B14" s="22">
        <v>36979</v>
      </c>
      <c r="C14" s="23">
        <f t="shared" si="0"/>
        <v>2333.3333333333335</v>
      </c>
      <c r="D14" s="24">
        <f>10000*7</f>
        <v>70000</v>
      </c>
      <c r="E14" s="28">
        <v>5.45</v>
      </c>
      <c r="F14" s="29">
        <f>$B$5-0.27</f>
        <v>-0.28200000000000003</v>
      </c>
      <c r="G14" s="29">
        <f>E14+F14</f>
        <v>5.1680000000000001</v>
      </c>
      <c r="H14" s="30">
        <f t="shared" si="1"/>
        <v>361760</v>
      </c>
      <c r="J14" s="127">
        <f>B1</f>
        <v>37043</v>
      </c>
      <c r="K14" s="128">
        <v>0</v>
      </c>
    </row>
    <row r="15" spans="1:256" ht="15.6" x14ac:dyDescent="0.3">
      <c r="A15" s="21" t="s">
        <v>18</v>
      </c>
      <c r="B15" s="22">
        <v>36979</v>
      </c>
      <c r="C15" s="23">
        <f t="shared" si="0"/>
        <v>333.33333333333331</v>
      </c>
      <c r="D15" s="24">
        <f>10000*1</f>
        <v>10000</v>
      </c>
      <c r="E15" s="28">
        <v>5.45</v>
      </c>
      <c r="F15" s="29">
        <f>$B$4+$B$5-$B$3</f>
        <v>-0.60999999999999988</v>
      </c>
      <c r="G15" s="29">
        <f>E15+F15</f>
        <v>4.84</v>
      </c>
      <c r="H15" s="30">
        <f t="shared" si="1"/>
        <v>48400</v>
      </c>
      <c r="J15" s="127">
        <f>B96</f>
        <v>37012</v>
      </c>
      <c r="K15" s="129">
        <f>K114</f>
        <v>-4439.9999999998399</v>
      </c>
    </row>
    <row r="16" spans="1:256" ht="15.6" x14ac:dyDescent="0.3">
      <c r="A16" s="21" t="s">
        <v>19</v>
      </c>
      <c r="B16" s="22">
        <v>36998</v>
      </c>
      <c r="C16" s="23">
        <f t="shared" si="0"/>
        <v>2000</v>
      </c>
      <c r="D16" s="24">
        <f>10000*6</f>
        <v>60000</v>
      </c>
      <c r="E16" s="28">
        <v>5.32</v>
      </c>
      <c r="F16" s="29">
        <f>$B$4+$B$5-$B$3</f>
        <v>-0.60999999999999988</v>
      </c>
      <c r="G16" s="29">
        <f>E16+F16</f>
        <v>4.7100000000000009</v>
      </c>
      <c r="H16" s="30">
        <f t="shared" si="1"/>
        <v>282600.00000000006</v>
      </c>
      <c r="J16" s="127">
        <f>B80</f>
        <v>36982</v>
      </c>
      <c r="K16" s="129">
        <f>H94</f>
        <v>0</v>
      </c>
    </row>
    <row r="17" spans="1:11" ht="15.6" x14ac:dyDescent="0.3">
      <c r="A17" s="31"/>
      <c r="B17" s="32"/>
      <c r="C17" s="16">
        <f t="shared" si="0"/>
        <v>0</v>
      </c>
      <c r="D17" s="17">
        <v>0</v>
      </c>
      <c r="E17" s="18"/>
      <c r="F17" s="19"/>
      <c r="G17" s="19"/>
      <c r="H17" s="30">
        <f t="shared" si="1"/>
        <v>0</v>
      </c>
      <c r="J17" s="127">
        <f>B63</f>
        <v>36951</v>
      </c>
      <c r="K17" s="129">
        <f>H78</f>
        <v>-53999.999999999913</v>
      </c>
    </row>
    <row r="18" spans="1:11" x14ac:dyDescent="0.25">
      <c r="A18" s="33"/>
      <c r="B18" s="15"/>
      <c r="C18" s="34"/>
      <c r="D18" s="35"/>
      <c r="E18" s="34"/>
      <c r="F18" s="36"/>
      <c r="G18" s="36"/>
      <c r="H18" s="37"/>
      <c r="J18" s="127">
        <f>B46</f>
        <v>36923</v>
      </c>
      <c r="K18" s="129">
        <f>H61</f>
        <v>-50049.999999999622</v>
      </c>
    </row>
    <row r="19" spans="1:11" ht="16.2" thickBot="1" x14ac:dyDescent="0.35">
      <c r="A19" s="38" t="s">
        <v>22</v>
      </c>
      <c r="B19" s="12"/>
      <c r="C19" s="39">
        <f>SUM(C10:C18)</f>
        <v>8000</v>
      </c>
      <c r="D19" s="40">
        <f>SUM(D10:D18)</f>
        <v>240000</v>
      </c>
      <c r="E19" s="41">
        <f>ROUND(F19/D19,4)</f>
        <v>0</v>
      </c>
      <c r="F19" s="41"/>
      <c r="G19" s="41">
        <f>ROUND(H19/D19,4)</f>
        <v>5.0293999999999999</v>
      </c>
      <c r="H19" s="42">
        <f>SUM(H10:H18)</f>
        <v>1207060</v>
      </c>
      <c r="J19" s="130" t="s">
        <v>24</v>
      </c>
      <c r="K19" s="131">
        <f>SUM(K14:K18)</f>
        <v>-108489.99999999937</v>
      </c>
    </row>
    <row r="21" spans="1:11" ht="15.6" x14ac:dyDescent="0.3">
      <c r="B21" s="44"/>
      <c r="C21" s="45" t="s">
        <v>52</v>
      </c>
      <c r="F21" s="46"/>
      <c r="G21" s="47" t="s">
        <v>54</v>
      </c>
      <c r="H21" s="48"/>
    </row>
    <row r="22" spans="1:11" ht="15.6" x14ac:dyDescent="0.3">
      <c r="G22" s="49" t="s">
        <v>55</v>
      </c>
      <c r="H22" s="50">
        <f>D19*(B4+B5)</f>
        <v>750720</v>
      </c>
    </row>
    <row r="23" spans="1:11" ht="16.2" thickBot="1" x14ac:dyDescent="0.35">
      <c r="G23" s="51" t="s">
        <v>56</v>
      </c>
      <c r="H23" s="52">
        <f>H22-H19</f>
        <v>-456340</v>
      </c>
    </row>
    <row r="24" spans="1:11" x14ac:dyDescent="0.25">
      <c r="A24" s="53"/>
      <c r="B24" s="54"/>
      <c r="C24" s="54" t="s">
        <v>23</v>
      </c>
      <c r="D24" s="54"/>
      <c r="E24" s="54"/>
      <c r="F24" s="55"/>
    </row>
    <row r="25" spans="1:11" ht="15.6" thickBot="1" x14ac:dyDescent="0.3">
      <c r="A25" s="147">
        <v>37043</v>
      </c>
      <c r="B25" s="148"/>
      <c r="C25" s="148"/>
      <c r="D25" s="148"/>
      <c r="E25" s="148"/>
      <c r="F25" s="149"/>
    </row>
    <row r="26" spans="1:11" ht="15.6" thickBot="1" x14ac:dyDescent="0.3">
      <c r="A26" s="56" t="s">
        <v>25</v>
      </c>
      <c r="B26" s="56" t="s">
        <v>7</v>
      </c>
      <c r="C26" s="56" t="s">
        <v>26</v>
      </c>
      <c r="D26" s="57" t="s">
        <v>27</v>
      </c>
      <c r="E26" s="57" t="s">
        <v>28</v>
      </c>
      <c r="F26" s="57" t="s">
        <v>29</v>
      </c>
      <c r="G26" s="57" t="s">
        <v>57</v>
      </c>
    </row>
    <row r="27" spans="1:11" x14ac:dyDescent="0.25">
      <c r="A27" s="58"/>
      <c r="B27" s="59">
        <v>36888</v>
      </c>
      <c r="C27" s="60">
        <v>5</v>
      </c>
      <c r="D27" s="132">
        <f>-0.27+B5</f>
        <v>-0.28200000000000003</v>
      </c>
      <c r="E27" s="61">
        <v>5.32</v>
      </c>
      <c r="F27" s="62">
        <f t="shared" ref="F27:F39" si="2">E27+D27</f>
        <v>5.0380000000000003</v>
      </c>
      <c r="G27" s="133">
        <f>C27*10000*F27</f>
        <v>251900</v>
      </c>
    </row>
    <row r="28" spans="1:11" x14ac:dyDescent="0.25">
      <c r="A28" s="63" t="s">
        <v>30</v>
      </c>
      <c r="B28" s="64">
        <v>36938</v>
      </c>
      <c r="C28" s="65">
        <v>5</v>
      </c>
      <c r="D28" s="134">
        <f>-0.27+B5</f>
        <v>-0.28200000000000003</v>
      </c>
      <c r="E28" s="66">
        <v>5.53</v>
      </c>
      <c r="F28" s="67">
        <f t="shared" si="2"/>
        <v>5.2480000000000002</v>
      </c>
      <c r="G28" s="133">
        <f>C28*10000*F28</f>
        <v>262400</v>
      </c>
    </row>
    <row r="29" spans="1:11" x14ac:dyDescent="0.25">
      <c r="A29" s="63" t="s">
        <v>31</v>
      </c>
      <c r="B29" s="64">
        <v>36979</v>
      </c>
      <c r="C29" s="65">
        <v>7</v>
      </c>
      <c r="D29" s="134">
        <f>-0.27+B5</f>
        <v>-0.28200000000000003</v>
      </c>
      <c r="E29" s="66">
        <v>5.45</v>
      </c>
      <c r="F29" s="67">
        <f t="shared" si="2"/>
        <v>5.1680000000000001</v>
      </c>
      <c r="G29" s="133">
        <f>C29*10000*F29</f>
        <v>361760</v>
      </c>
    </row>
    <row r="30" spans="1:11" x14ac:dyDescent="0.25">
      <c r="A30" s="63" t="s">
        <v>32</v>
      </c>
      <c r="B30" s="64">
        <v>36979</v>
      </c>
      <c r="C30" s="65">
        <v>1</v>
      </c>
      <c r="D30" s="134">
        <f>-0.598+B5</f>
        <v>-0.61</v>
      </c>
      <c r="E30" s="66">
        <v>5.45</v>
      </c>
      <c r="F30" s="67">
        <f t="shared" si="2"/>
        <v>4.84</v>
      </c>
      <c r="G30" s="133">
        <f>C30*10000*F30</f>
        <v>48400</v>
      </c>
    </row>
    <row r="31" spans="1:11" x14ac:dyDescent="0.25">
      <c r="A31" s="63"/>
      <c r="B31" s="64">
        <v>36998</v>
      </c>
      <c r="C31" s="65">
        <v>6</v>
      </c>
      <c r="D31" s="134">
        <f>-0.598+B5</f>
        <v>-0.61</v>
      </c>
      <c r="E31" s="66">
        <v>5.32</v>
      </c>
      <c r="F31" s="67">
        <f t="shared" si="2"/>
        <v>4.71</v>
      </c>
      <c r="G31" s="135">
        <f>C31*10000*F31</f>
        <v>282600</v>
      </c>
    </row>
    <row r="32" spans="1:11" hidden="1" x14ac:dyDescent="0.25">
      <c r="A32" s="63"/>
      <c r="B32" s="65"/>
      <c r="C32" s="65"/>
      <c r="D32" s="65"/>
      <c r="E32" s="65"/>
      <c r="F32" s="67">
        <f t="shared" si="2"/>
        <v>0</v>
      </c>
    </row>
    <row r="33" spans="1:8" hidden="1" x14ac:dyDescent="0.25">
      <c r="A33" s="63"/>
      <c r="B33" s="65"/>
      <c r="C33" s="65"/>
      <c r="D33" s="65"/>
      <c r="E33" s="65"/>
      <c r="F33" s="67">
        <f t="shared" si="2"/>
        <v>0</v>
      </c>
    </row>
    <row r="34" spans="1:8" hidden="1" x14ac:dyDescent="0.25">
      <c r="A34" s="63"/>
      <c r="B34" s="65"/>
      <c r="C34" s="65"/>
      <c r="D34" s="65"/>
      <c r="E34" s="65"/>
      <c r="F34" s="67">
        <f t="shared" si="2"/>
        <v>0</v>
      </c>
      <c r="H34" s="68"/>
    </row>
    <row r="35" spans="1:8" hidden="1" x14ac:dyDescent="0.25">
      <c r="A35" s="63"/>
      <c r="B35" s="65"/>
      <c r="C35" s="65"/>
      <c r="D35" s="65"/>
      <c r="E35" s="65"/>
      <c r="F35" s="67">
        <f t="shared" si="2"/>
        <v>0</v>
      </c>
    </row>
    <row r="36" spans="1:8" hidden="1" x14ac:dyDescent="0.25">
      <c r="A36" s="63"/>
      <c r="B36" s="65"/>
      <c r="C36" s="65"/>
      <c r="D36" s="65"/>
      <c r="E36" s="65"/>
      <c r="F36" s="67">
        <f t="shared" si="2"/>
        <v>0</v>
      </c>
    </row>
    <row r="37" spans="1:8" hidden="1" x14ac:dyDescent="0.25">
      <c r="A37" s="63"/>
      <c r="B37" s="65"/>
      <c r="C37" s="65"/>
      <c r="D37" s="65"/>
      <c r="E37" s="65"/>
      <c r="F37" s="67">
        <f t="shared" si="2"/>
        <v>0</v>
      </c>
    </row>
    <row r="38" spans="1:8" hidden="1" x14ac:dyDescent="0.25">
      <c r="A38" s="63"/>
      <c r="B38" s="65"/>
      <c r="C38" s="65"/>
      <c r="D38" s="65"/>
      <c r="E38" s="65"/>
      <c r="F38" s="67">
        <f t="shared" si="2"/>
        <v>0</v>
      </c>
    </row>
    <row r="39" spans="1:8" ht="15.6" hidden="1" thickBot="1" x14ac:dyDescent="0.3">
      <c r="A39" s="69"/>
      <c r="B39" s="70"/>
      <c r="C39" s="70"/>
      <c r="D39" s="70"/>
      <c r="E39" s="70"/>
      <c r="F39" s="71">
        <f t="shared" si="2"/>
        <v>0</v>
      </c>
    </row>
    <row r="40" spans="1:8" ht="15.6" thickBot="1" x14ac:dyDescent="0.3">
      <c r="A40" s="72"/>
      <c r="B40" s="72"/>
      <c r="C40" s="72"/>
      <c r="D40" s="72"/>
      <c r="E40" s="72"/>
      <c r="F40" s="72"/>
    </row>
    <row r="41" spans="1:8" ht="15.6" thickBot="1" x14ac:dyDescent="0.3">
      <c r="A41" s="136"/>
      <c r="B41" s="137"/>
      <c r="C41" s="137"/>
      <c r="D41" s="137"/>
      <c r="E41" s="137"/>
      <c r="F41" s="138"/>
      <c r="G41" s="139">
        <f>SUM(G27:G40)</f>
        <v>1207060</v>
      </c>
    </row>
    <row r="42" spans="1:8" x14ac:dyDescent="0.25">
      <c r="A42" s="73"/>
      <c r="B42" s="74"/>
      <c r="C42" s="74">
        <f>IF(SUM(C27:C39)=0,0,((C27*F27)+(C28*F28)+(C29*F29)+(C30*F30)+(C31*F31)+(C32*F32)+(C33*F33)+(C34*F34)+(C35*F35)+(C36*F36)+(C37*F37)+(C38*F38)+(C39*F39))/SUM(C27:C39))</f>
        <v>5.0294166666666671</v>
      </c>
      <c r="D42" s="74"/>
      <c r="E42" s="74"/>
      <c r="F42" s="75"/>
    </row>
    <row r="43" spans="1:8" ht="15.6" thickBot="1" x14ac:dyDescent="0.3">
      <c r="A43" s="76"/>
      <c r="B43" s="77"/>
      <c r="C43" s="77">
        <f>SUM(C27:C39)*10000</f>
        <v>240000</v>
      </c>
      <c r="D43" s="77"/>
      <c r="E43" s="77"/>
      <c r="F43" s="78"/>
    </row>
    <row r="45" spans="1:8" ht="8.25" customHeight="1" x14ac:dyDescent="0.25"/>
    <row r="46" spans="1:8" ht="17.399999999999999" x14ac:dyDescent="0.3">
      <c r="A46" s="79" t="s">
        <v>0</v>
      </c>
      <c r="B46" s="80">
        <v>36923</v>
      </c>
      <c r="C46" s="81" t="s">
        <v>33</v>
      </c>
      <c r="D46" s="82"/>
      <c r="E46" s="82"/>
      <c r="F46" s="83"/>
    </row>
    <row r="47" spans="1:8" x14ac:dyDescent="0.25">
      <c r="A47" s="84" t="s">
        <v>1</v>
      </c>
      <c r="B47" s="3">
        <v>28</v>
      </c>
      <c r="C47" s="2"/>
      <c r="D47" s="2"/>
      <c r="E47" s="2"/>
      <c r="F47" s="85"/>
    </row>
    <row r="48" spans="1:8" x14ac:dyDescent="0.25">
      <c r="A48" s="86" t="s">
        <v>2</v>
      </c>
      <c r="B48" s="5">
        <v>6.2930000000000001</v>
      </c>
      <c r="C48" s="7"/>
      <c r="D48" s="7"/>
      <c r="E48" s="7"/>
      <c r="F48" s="87"/>
    </row>
    <row r="49" spans="1:8" x14ac:dyDescent="0.25">
      <c r="A49" s="88" t="s">
        <v>34</v>
      </c>
      <c r="B49" s="5">
        <v>6.24</v>
      </c>
      <c r="C49" s="1"/>
      <c r="D49" s="1"/>
      <c r="E49" s="1"/>
      <c r="F49" s="89"/>
    </row>
    <row r="50" spans="1:8" x14ac:dyDescent="0.25">
      <c r="A50" s="86" t="s">
        <v>35</v>
      </c>
      <c r="B50" s="5">
        <v>-1.2E-2</v>
      </c>
      <c r="C50" s="7"/>
      <c r="D50" s="7"/>
      <c r="E50" s="7"/>
      <c r="F50" s="87"/>
    </row>
    <row r="51" spans="1:8" x14ac:dyDescent="0.25">
      <c r="A51" s="86" t="s">
        <v>36</v>
      </c>
      <c r="B51" s="90">
        <v>3.4700000000000002E-2</v>
      </c>
      <c r="C51" s="7"/>
      <c r="D51" s="7"/>
      <c r="E51" s="7"/>
      <c r="F51" s="87"/>
    </row>
    <row r="52" spans="1:8" x14ac:dyDescent="0.25">
      <c r="A52" s="91"/>
      <c r="B52" s="92"/>
      <c r="C52" s="92"/>
      <c r="D52" s="92"/>
      <c r="E52" s="92"/>
      <c r="F52" s="93"/>
    </row>
    <row r="53" spans="1:8" ht="21" x14ac:dyDescent="0.4">
      <c r="A53" s="8"/>
      <c r="B53" s="9"/>
      <c r="C53" s="9"/>
      <c r="D53" s="10" t="s">
        <v>5</v>
      </c>
      <c r="E53" s="9"/>
      <c r="F53" s="11"/>
    </row>
    <row r="54" spans="1:8" ht="15.6" x14ac:dyDescent="0.3">
      <c r="A54" s="12" t="s">
        <v>6</v>
      </c>
      <c r="B54" s="12" t="s">
        <v>7</v>
      </c>
      <c r="C54" s="13" t="s">
        <v>8</v>
      </c>
      <c r="D54" s="13" t="s">
        <v>9</v>
      </c>
      <c r="E54" s="13" t="s">
        <v>37</v>
      </c>
      <c r="F54" s="12" t="s">
        <v>13</v>
      </c>
      <c r="G54" s="94" t="s">
        <v>11</v>
      </c>
      <c r="H54" s="94" t="s">
        <v>38</v>
      </c>
    </row>
    <row r="55" spans="1:8" ht="15.6" x14ac:dyDescent="0.3">
      <c r="A55" s="14" t="s">
        <v>39</v>
      </c>
      <c r="B55" s="15">
        <v>36909</v>
      </c>
      <c r="C55" s="16">
        <v>10714.285714285714</v>
      </c>
      <c r="D55" s="17">
        <v>300000</v>
      </c>
      <c r="E55" s="18">
        <v>7.9950000000000001</v>
      </c>
      <c r="F55" s="20">
        <v>2398500</v>
      </c>
      <c r="G55" s="95">
        <f t="shared" ref="G55:G60" si="3">$B$49+$B$50-$B$48</f>
        <v>-6.4999999999999503E-2</v>
      </c>
      <c r="H55" s="96">
        <f t="shared" ref="H55:H60" si="4">D55*G55</f>
        <v>-19499.999999999851</v>
      </c>
    </row>
    <row r="56" spans="1:8" ht="15.6" x14ac:dyDescent="0.3">
      <c r="A56" s="14" t="s">
        <v>40</v>
      </c>
      <c r="B56" s="15">
        <v>36902</v>
      </c>
      <c r="C56" s="16">
        <v>2500</v>
      </c>
      <c r="D56" s="17">
        <v>70000</v>
      </c>
      <c r="E56" s="18">
        <v>8.73</v>
      </c>
      <c r="F56" s="20">
        <v>611100</v>
      </c>
      <c r="G56" s="97">
        <f t="shared" si="3"/>
        <v>-6.4999999999999503E-2</v>
      </c>
      <c r="H56" s="98">
        <f t="shared" si="4"/>
        <v>-4549.9999999999654</v>
      </c>
    </row>
    <row r="57" spans="1:8" ht="15.6" x14ac:dyDescent="0.3">
      <c r="A57" s="14" t="s">
        <v>41</v>
      </c>
      <c r="B57" s="15">
        <v>36901</v>
      </c>
      <c r="C57" s="16">
        <v>7142.8571428571431</v>
      </c>
      <c r="D57" s="17">
        <v>200000</v>
      </c>
      <c r="E57" s="18">
        <v>5.59</v>
      </c>
      <c r="F57" s="20">
        <v>1118000</v>
      </c>
      <c r="G57" s="97">
        <f t="shared" si="3"/>
        <v>-6.4999999999999503E-2</v>
      </c>
      <c r="H57" s="98">
        <f t="shared" si="4"/>
        <v>-12999.9999999999</v>
      </c>
    </row>
    <row r="58" spans="1:8" ht="15.6" x14ac:dyDescent="0.3">
      <c r="A58" s="14" t="s">
        <v>42</v>
      </c>
      <c r="B58" s="15">
        <v>36901</v>
      </c>
      <c r="C58" s="16">
        <v>3571.4285714285716</v>
      </c>
      <c r="D58" s="17">
        <v>100000</v>
      </c>
      <c r="E58" s="18">
        <v>9.7200000000000006</v>
      </c>
      <c r="F58" s="20">
        <v>972000</v>
      </c>
      <c r="G58" s="97">
        <f t="shared" si="3"/>
        <v>-6.4999999999999503E-2</v>
      </c>
      <c r="H58" s="98">
        <f t="shared" si="4"/>
        <v>-6499.99999999995</v>
      </c>
    </row>
    <row r="59" spans="1:8" ht="15.6" x14ac:dyDescent="0.3">
      <c r="A59" s="14" t="s">
        <v>43</v>
      </c>
      <c r="B59" s="15">
        <v>36894</v>
      </c>
      <c r="C59" s="16">
        <v>1785.7142857142858</v>
      </c>
      <c r="D59" s="17">
        <v>50000</v>
      </c>
      <c r="E59" s="18">
        <v>8.1999999999999993</v>
      </c>
      <c r="F59" s="20">
        <v>410000</v>
      </c>
      <c r="G59" s="97">
        <f t="shared" si="3"/>
        <v>-6.4999999999999503E-2</v>
      </c>
      <c r="H59" s="98">
        <f t="shared" si="4"/>
        <v>-3249.999999999975</v>
      </c>
    </row>
    <row r="60" spans="1:8" ht="16.2" thickBot="1" x14ac:dyDescent="0.35">
      <c r="A60" s="33" t="s">
        <v>44</v>
      </c>
      <c r="B60" s="15">
        <v>36894</v>
      </c>
      <c r="C60" s="140">
        <v>1785.7142857142858</v>
      </c>
      <c r="D60" s="141">
        <v>50000</v>
      </c>
      <c r="E60" s="142">
        <v>8.61</v>
      </c>
      <c r="F60" s="37">
        <v>430500</v>
      </c>
      <c r="G60" s="104">
        <f t="shared" si="3"/>
        <v>-6.4999999999999503E-2</v>
      </c>
      <c r="H60" s="143">
        <f t="shared" si="4"/>
        <v>-3249.999999999975</v>
      </c>
    </row>
    <row r="61" spans="1:8" ht="16.2" thickBot="1" x14ac:dyDescent="0.35">
      <c r="A61" s="38" t="s">
        <v>22</v>
      </c>
      <c r="B61" s="12"/>
      <c r="C61" s="39">
        <v>27500</v>
      </c>
      <c r="D61" s="40">
        <v>770000</v>
      </c>
      <c r="E61" s="41">
        <v>7.7144000000000004</v>
      </c>
      <c r="F61" s="42">
        <v>5940100</v>
      </c>
      <c r="G61" s="99">
        <f>SUM(G55:G60)</f>
        <v>-0.38999999999999702</v>
      </c>
      <c r="H61" s="100">
        <f>SUM(H55:H60)</f>
        <v>-50049.999999999622</v>
      </c>
    </row>
    <row r="62" spans="1:8" ht="8.25" customHeight="1" x14ac:dyDescent="0.25"/>
    <row r="63" spans="1:8" ht="17.399999999999999" x14ac:dyDescent="0.3">
      <c r="A63" s="79" t="s">
        <v>0</v>
      </c>
      <c r="B63" s="80">
        <v>36951</v>
      </c>
      <c r="C63" s="101" t="s">
        <v>45</v>
      </c>
      <c r="D63" s="82"/>
      <c r="E63" s="82"/>
      <c r="F63" s="83"/>
    </row>
    <row r="64" spans="1:8" x14ac:dyDescent="0.25">
      <c r="A64" s="84" t="s">
        <v>1</v>
      </c>
      <c r="B64" s="3">
        <v>31</v>
      </c>
      <c r="C64" s="2"/>
      <c r="D64" s="2"/>
      <c r="E64" s="2"/>
      <c r="F64" s="85"/>
    </row>
    <row r="65" spans="1:8" x14ac:dyDescent="0.25">
      <c r="A65" s="86" t="s">
        <v>2</v>
      </c>
      <c r="B65" s="5">
        <v>4.9980000000000002</v>
      </c>
      <c r="C65" s="7"/>
      <c r="D65" s="7"/>
      <c r="E65" s="7"/>
      <c r="F65" s="87"/>
    </row>
    <row r="66" spans="1:8" x14ac:dyDescent="0.25">
      <c r="A66" s="88" t="s">
        <v>34</v>
      </c>
      <c r="B66" s="5">
        <v>4.83</v>
      </c>
      <c r="C66" s="1"/>
      <c r="D66" s="1"/>
      <c r="E66" s="1"/>
      <c r="F66" s="89"/>
    </row>
    <row r="67" spans="1:8" x14ac:dyDescent="0.25">
      <c r="A67" s="86" t="s">
        <v>35</v>
      </c>
      <c r="B67" s="5">
        <v>-1.2E-2</v>
      </c>
      <c r="C67" s="7"/>
      <c r="D67" s="7"/>
      <c r="E67" s="7"/>
      <c r="F67" s="87"/>
    </row>
    <row r="68" spans="1:8" x14ac:dyDescent="0.25">
      <c r="A68" s="86" t="s">
        <v>36</v>
      </c>
      <c r="B68" s="90">
        <v>3.4700000000000002E-2</v>
      </c>
      <c r="C68" s="7"/>
      <c r="D68" s="7"/>
      <c r="E68" s="7"/>
      <c r="F68" s="87"/>
    </row>
    <row r="69" spans="1:8" x14ac:dyDescent="0.25">
      <c r="A69" s="91"/>
      <c r="B69" s="92"/>
      <c r="C69" s="92"/>
      <c r="D69" s="92"/>
      <c r="E69" s="92"/>
      <c r="F69" s="93"/>
    </row>
    <row r="70" spans="1:8" ht="21" x14ac:dyDescent="0.4">
      <c r="A70" s="8"/>
      <c r="B70" s="9"/>
      <c r="C70" s="9"/>
      <c r="D70" s="10" t="s">
        <v>5</v>
      </c>
      <c r="E70" s="9"/>
      <c r="F70" s="11"/>
    </row>
    <row r="71" spans="1:8" ht="15.6" x14ac:dyDescent="0.3">
      <c r="A71" s="12" t="s">
        <v>6</v>
      </c>
      <c r="B71" s="12" t="s">
        <v>7</v>
      </c>
      <c r="C71" s="13" t="s">
        <v>8</v>
      </c>
      <c r="D71" s="13" t="s">
        <v>9</v>
      </c>
      <c r="E71" s="13" t="s">
        <v>37</v>
      </c>
      <c r="F71" s="12" t="s">
        <v>13</v>
      </c>
      <c r="G71" s="94" t="s">
        <v>11</v>
      </c>
      <c r="H71" s="94" t="s">
        <v>38</v>
      </c>
    </row>
    <row r="72" spans="1:8" ht="15.6" x14ac:dyDescent="0.3">
      <c r="A72" s="14"/>
      <c r="B72" s="15"/>
      <c r="C72" s="16">
        <v>0</v>
      </c>
      <c r="D72" s="17"/>
      <c r="E72" s="18"/>
      <c r="F72" s="20">
        <v>0</v>
      </c>
      <c r="G72" s="96"/>
      <c r="H72" s="96"/>
    </row>
    <row r="73" spans="1:8" ht="15.6" x14ac:dyDescent="0.3">
      <c r="A73" s="14" t="s">
        <v>14</v>
      </c>
      <c r="B73" s="15">
        <v>36901</v>
      </c>
      <c r="C73" s="16">
        <v>3225.8064516129034</v>
      </c>
      <c r="D73" s="17">
        <v>100000</v>
      </c>
      <c r="E73" s="18">
        <v>9.1</v>
      </c>
      <c r="F73" s="20">
        <v>910000</v>
      </c>
      <c r="G73" s="102">
        <f>$B$66+$B$67-$B$65</f>
        <v>-0.17999999999999972</v>
      </c>
      <c r="H73" s="103">
        <f>D73*G73</f>
        <v>-17999.999999999971</v>
      </c>
    </row>
    <row r="74" spans="1:8" ht="15.6" x14ac:dyDescent="0.3">
      <c r="A74" s="14"/>
      <c r="B74" s="15"/>
      <c r="C74" s="16">
        <v>0</v>
      </c>
      <c r="D74" s="17"/>
      <c r="E74" s="18"/>
      <c r="F74" s="20">
        <v>0</v>
      </c>
      <c r="G74" s="97">
        <f>$B$66+$B$67-$B$65</f>
        <v>-0.17999999999999972</v>
      </c>
      <c r="H74" s="98">
        <f>D74*G74</f>
        <v>0</v>
      </c>
    </row>
    <row r="75" spans="1:8" ht="15.6" x14ac:dyDescent="0.3">
      <c r="A75" s="14" t="s">
        <v>46</v>
      </c>
      <c r="B75" s="15">
        <v>36913</v>
      </c>
      <c r="C75" s="16">
        <v>4838.7096774193551</v>
      </c>
      <c r="D75" s="17">
        <v>150000</v>
      </c>
      <c r="E75" s="18">
        <v>7.07</v>
      </c>
      <c r="F75" s="20">
        <v>1060500</v>
      </c>
      <c r="G75" s="97">
        <f>$B$66+$B$67-$B$65</f>
        <v>-0.17999999999999972</v>
      </c>
      <c r="H75" s="98">
        <f>D75*G75</f>
        <v>-26999.999999999956</v>
      </c>
    </row>
    <row r="76" spans="1:8" ht="15.6" x14ac:dyDescent="0.3">
      <c r="A76" s="14" t="s">
        <v>47</v>
      </c>
      <c r="B76" s="15">
        <v>36935</v>
      </c>
      <c r="C76" s="16">
        <v>1612.9032258064517</v>
      </c>
      <c r="D76" s="17">
        <v>50000</v>
      </c>
      <c r="E76" s="18">
        <v>5.88</v>
      </c>
      <c r="F76" s="20">
        <v>294000</v>
      </c>
      <c r="G76" s="97">
        <f>$B$66+$B$67-$B$65</f>
        <v>-0.17999999999999972</v>
      </c>
      <c r="H76" s="98">
        <f>D76*G76</f>
        <v>-8999.9999999999854</v>
      </c>
    </row>
    <row r="77" spans="1:8" ht="15.6" thickBot="1" x14ac:dyDescent="0.3">
      <c r="A77" s="33"/>
      <c r="B77" s="15"/>
      <c r="C77" s="34"/>
      <c r="D77" s="35"/>
      <c r="E77" s="34"/>
      <c r="F77" s="37"/>
      <c r="G77" s="104">
        <f>$B$66+$B$67-$B$65</f>
        <v>-0.17999999999999972</v>
      </c>
      <c r="H77" s="106">
        <f>D77*G77</f>
        <v>0</v>
      </c>
    </row>
    <row r="78" spans="1:8" ht="16.2" thickBot="1" x14ac:dyDescent="0.35">
      <c r="A78" s="38" t="s">
        <v>22</v>
      </c>
      <c r="B78" s="12"/>
      <c r="C78" s="39">
        <v>9677.4193548387102</v>
      </c>
      <c r="D78" s="40">
        <v>300000</v>
      </c>
      <c r="E78" s="41">
        <v>7.5483000000000002</v>
      </c>
      <c r="F78" s="42">
        <v>2264500</v>
      </c>
      <c r="G78" s="99">
        <f>SUM(G72:G77)</f>
        <v>-0.89999999999999858</v>
      </c>
      <c r="H78" s="100">
        <f>SUM(H72:H77)</f>
        <v>-53999.999999999913</v>
      </c>
    </row>
    <row r="79" spans="1:8" ht="8.25" customHeight="1" x14ac:dyDescent="0.25"/>
    <row r="80" spans="1:8" ht="17.399999999999999" x14ac:dyDescent="0.3">
      <c r="A80" s="79" t="s">
        <v>0</v>
      </c>
      <c r="B80" s="105">
        <v>36982</v>
      </c>
      <c r="C80" s="101" t="s">
        <v>45</v>
      </c>
      <c r="D80" s="82"/>
      <c r="E80" s="82"/>
      <c r="F80" s="83"/>
    </row>
    <row r="81" spans="1:8" x14ac:dyDescent="0.25">
      <c r="A81" s="84" t="s">
        <v>1</v>
      </c>
      <c r="B81" s="3">
        <v>30</v>
      </c>
      <c r="C81" s="2"/>
      <c r="D81" s="2"/>
      <c r="E81" s="2"/>
      <c r="F81" s="85"/>
    </row>
    <row r="82" spans="1:8" x14ac:dyDescent="0.25">
      <c r="A82" s="86" t="s">
        <v>2</v>
      </c>
      <c r="B82" s="5">
        <v>5.3840000000000003</v>
      </c>
      <c r="C82" s="7"/>
      <c r="D82" s="7"/>
      <c r="E82" s="7"/>
      <c r="F82" s="87"/>
    </row>
    <row r="83" spans="1:8" x14ac:dyDescent="0.25">
      <c r="A83" s="88" t="s">
        <v>34</v>
      </c>
      <c r="B83" s="5">
        <v>4.6500000000000004</v>
      </c>
      <c r="C83" s="1"/>
      <c r="D83" s="1"/>
      <c r="E83" s="1"/>
      <c r="F83" s="89"/>
    </row>
    <row r="84" spans="1:8" x14ac:dyDescent="0.25">
      <c r="A84" s="86" t="s">
        <v>35</v>
      </c>
      <c r="B84" s="5">
        <v>-1.2E-2</v>
      </c>
      <c r="C84" s="7"/>
      <c r="D84" s="7"/>
      <c r="E84" s="123"/>
      <c r="F84" s="87"/>
    </row>
    <row r="85" spans="1:8" x14ac:dyDescent="0.25">
      <c r="A85" s="86" t="s">
        <v>36</v>
      </c>
      <c r="B85" s="90">
        <v>3.4700000000000002E-2</v>
      </c>
      <c r="C85" s="7"/>
      <c r="D85" s="7"/>
      <c r="E85" s="7"/>
      <c r="F85" s="87"/>
    </row>
    <row r="86" spans="1:8" x14ac:dyDescent="0.25">
      <c r="A86" s="91"/>
      <c r="B86" s="92"/>
      <c r="C86" s="92"/>
      <c r="D86" s="92"/>
      <c r="E86" s="92"/>
      <c r="F86" s="93"/>
    </row>
    <row r="87" spans="1:8" ht="21" x14ac:dyDescent="0.4">
      <c r="A87" s="8"/>
      <c r="B87" s="9"/>
      <c r="C87" s="9"/>
      <c r="D87" s="10" t="s">
        <v>5</v>
      </c>
      <c r="E87" s="9"/>
      <c r="F87" s="11"/>
    </row>
    <row r="88" spans="1:8" ht="15.6" x14ac:dyDescent="0.3">
      <c r="A88" s="12" t="s">
        <v>6</v>
      </c>
      <c r="B88" s="12" t="s">
        <v>7</v>
      </c>
      <c r="C88" s="13" t="s">
        <v>8</v>
      </c>
      <c r="D88" s="13" t="s">
        <v>9</v>
      </c>
      <c r="E88" s="13" t="s">
        <v>37</v>
      </c>
      <c r="F88" s="12" t="s">
        <v>13</v>
      </c>
      <c r="G88" s="94" t="s">
        <v>11</v>
      </c>
      <c r="H88" s="94" t="s">
        <v>38</v>
      </c>
    </row>
    <row r="89" spans="1:8" ht="15.6" x14ac:dyDescent="0.3">
      <c r="A89" s="14"/>
      <c r="B89" s="15"/>
      <c r="C89" s="16">
        <v>0</v>
      </c>
      <c r="D89" s="17"/>
      <c r="E89" s="18"/>
      <c r="F89" s="20">
        <v>0</v>
      </c>
      <c r="G89" s="96"/>
      <c r="H89" s="96"/>
    </row>
    <row r="90" spans="1:8" ht="15.6" x14ac:dyDescent="0.3">
      <c r="A90" s="14" t="s">
        <v>44</v>
      </c>
      <c r="B90" s="15">
        <v>36888</v>
      </c>
      <c r="C90" s="16">
        <v>3333.3333333333335</v>
      </c>
      <c r="D90" s="17">
        <v>100000</v>
      </c>
      <c r="E90" s="18">
        <v>5.81</v>
      </c>
      <c r="F90" s="30">
        <v>581000</v>
      </c>
      <c r="G90" s="102"/>
      <c r="H90" s="103">
        <f>D90*G90</f>
        <v>0</v>
      </c>
    </row>
    <row r="91" spans="1:8" ht="15.6" x14ac:dyDescent="0.3">
      <c r="A91" s="14" t="s">
        <v>48</v>
      </c>
      <c r="B91" s="15">
        <v>36951</v>
      </c>
      <c r="C91" s="16">
        <v>5000</v>
      </c>
      <c r="D91" s="17">
        <v>150000</v>
      </c>
      <c r="E91" s="18">
        <v>4.96</v>
      </c>
      <c r="F91" s="30">
        <v>744000</v>
      </c>
      <c r="G91" s="97"/>
      <c r="H91" s="98">
        <f>D91*G91</f>
        <v>0</v>
      </c>
    </row>
    <row r="92" spans="1:8" ht="15.6" x14ac:dyDescent="0.3">
      <c r="A92" s="14" t="s">
        <v>49</v>
      </c>
      <c r="B92" s="15">
        <v>36972</v>
      </c>
      <c r="C92" s="16">
        <v>8333.3333333333339</v>
      </c>
      <c r="D92" s="17">
        <v>250000</v>
      </c>
      <c r="E92" s="18">
        <v>5.0940000000000003</v>
      </c>
      <c r="F92" s="30">
        <v>1273500</v>
      </c>
      <c r="G92" s="97"/>
      <c r="H92" s="98">
        <f>D92*G92</f>
        <v>0</v>
      </c>
    </row>
    <row r="93" spans="1:8" ht="15.6" thickBot="1" x14ac:dyDescent="0.3">
      <c r="A93" s="33"/>
      <c r="B93" s="15"/>
      <c r="C93" s="34"/>
      <c r="D93" s="35"/>
      <c r="E93" s="34"/>
      <c r="F93" s="37"/>
      <c r="G93" s="106"/>
      <c r="H93" s="98">
        <f>B93*G93</f>
        <v>0</v>
      </c>
    </row>
    <row r="94" spans="1:8" ht="16.2" thickBot="1" x14ac:dyDescent="0.35">
      <c r="A94" s="38" t="s">
        <v>22</v>
      </c>
      <c r="B94" s="12"/>
      <c r="C94" s="39">
        <v>16666.666666666668</v>
      </c>
      <c r="D94" s="40">
        <v>500000</v>
      </c>
      <c r="E94" s="41">
        <v>5.1970000000000001</v>
      </c>
      <c r="F94" s="42">
        <v>2598500</v>
      </c>
      <c r="G94" s="99">
        <f>SUM(G89:G93)</f>
        <v>0</v>
      </c>
      <c r="H94" s="100">
        <f>SUM(H89:H93)</f>
        <v>0</v>
      </c>
    </row>
    <row r="95" spans="1:8" ht="8.25" customHeight="1" x14ac:dyDescent="0.25">
      <c r="G95" s="107"/>
      <c r="H95" s="107"/>
    </row>
    <row r="96" spans="1:8" ht="17.399999999999999" x14ac:dyDescent="0.3">
      <c r="A96" s="79" t="s">
        <v>0</v>
      </c>
      <c r="B96" s="105">
        <v>37012</v>
      </c>
      <c r="C96" s="101" t="s">
        <v>45</v>
      </c>
      <c r="D96" s="82"/>
      <c r="E96" s="82"/>
      <c r="F96" s="82"/>
      <c r="G96" s="108"/>
      <c r="H96" s="109"/>
    </row>
    <row r="97" spans="1:12" x14ac:dyDescent="0.25">
      <c r="A97" s="84" t="s">
        <v>1</v>
      </c>
      <c r="B97" s="3">
        <v>31</v>
      </c>
      <c r="C97" s="2"/>
      <c r="D97" s="2"/>
      <c r="E97" s="2"/>
      <c r="F97" s="2"/>
      <c r="G97" s="107"/>
      <c r="H97" s="98"/>
    </row>
    <row r="98" spans="1:12" ht="15.6" x14ac:dyDescent="0.3">
      <c r="A98" s="86" t="s">
        <v>2</v>
      </c>
      <c r="B98" s="5">
        <v>4.891</v>
      </c>
      <c r="C98" s="7"/>
      <c r="D98" s="7"/>
      <c r="E98" s="7"/>
      <c r="F98" s="7"/>
      <c r="G98" s="110"/>
      <c r="H98" s="111"/>
    </row>
    <row r="99" spans="1:12" x14ac:dyDescent="0.25">
      <c r="A99" s="88" t="s">
        <v>3</v>
      </c>
      <c r="B99" s="5">
        <v>4.2300000000000004</v>
      </c>
      <c r="C99" s="1"/>
      <c r="D99" s="1"/>
      <c r="E99" s="1"/>
      <c r="F99" s="1"/>
      <c r="G99" s="1"/>
      <c r="H99" s="89"/>
    </row>
    <row r="100" spans="1:12" x14ac:dyDescent="0.25">
      <c r="A100" s="86" t="s">
        <v>35</v>
      </c>
      <c r="B100" s="5">
        <v>-1.2E-2</v>
      </c>
      <c r="C100" s="7"/>
      <c r="D100" s="7"/>
      <c r="E100" s="7"/>
      <c r="F100" s="7"/>
      <c r="G100" s="7"/>
      <c r="H100" s="87"/>
    </row>
    <row r="101" spans="1:12" x14ac:dyDescent="0.25">
      <c r="A101" s="86" t="s">
        <v>36</v>
      </c>
      <c r="B101" s="90">
        <v>3.4700000000000002E-2</v>
      </c>
      <c r="C101" s="7"/>
      <c r="D101" s="7"/>
      <c r="E101" s="7"/>
      <c r="F101" s="7"/>
      <c r="G101" s="7"/>
      <c r="H101" s="87"/>
    </row>
    <row r="102" spans="1:12" x14ac:dyDescent="0.25">
      <c r="A102" s="112"/>
      <c r="B102" s="113"/>
      <c r="C102" s="113"/>
      <c r="D102" s="113"/>
      <c r="E102" s="113"/>
      <c r="F102" s="113"/>
      <c r="G102" s="113"/>
      <c r="H102" s="114"/>
    </row>
    <row r="103" spans="1:12" ht="21" x14ac:dyDescent="0.4">
      <c r="A103" s="8"/>
      <c r="B103" s="9"/>
      <c r="C103" s="9"/>
      <c r="D103" s="10" t="s">
        <v>5</v>
      </c>
      <c r="E103" s="9"/>
      <c r="F103" s="9"/>
      <c r="G103" s="9"/>
      <c r="H103" s="11"/>
    </row>
    <row r="104" spans="1:12" ht="15.6" x14ac:dyDescent="0.3">
      <c r="A104" s="12" t="s">
        <v>6</v>
      </c>
      <c r="B104" s="12" t="s">
        <v>7</v>
      </c>
      <c r="C104" s="13" t="s">
        <v>8</v>
      </c>
      <c r="D104" s="13" t="s">
        <v>9</v>
      </c>
      <c r="E104" s="13" t="s">
        <v>10</v>
      </c>
      <c r="F104" s="13" t="s">
        <v>11</v>
      </c>
      <c r="G104" s="13" t="s">
        <v>12</v>
      </c>
      <c r="H104" s="12" t="s">
        <v>13</v>
      </c>
      <c r="J104" s="94" t="s">
        <v>11</v>
      </c>
      <c r="K104" s="94" t="s">
        <v>38</v>
      </c>
    </row>
    <row r="105" spans="1:12" ht="15.6" x14ac:dyDescent="0.3">
      <c r="A105" s="14"/>
      <c r="B105" s="15"/>
      <c r="C105" s="16"/>
      <c r="D105" s="17"/>
      <c r="E105" s="18"/>
      <c r="F105" s="19"/>
      <c r="G105" s="19"/>
      <c r="H105" s="20"/>
      <c r="J105" s="115"/>
      <c r="K105" s="96"/>
    </row>
    <row r="106" spans="1:12" ht="15.6" x14ac:dyDescent="0.3">
      <c r="A106" s="31" t="s">
        <v>14</v>
      </c>
      <c r="B106" s="32">
        <v>36888</v>
      </c>
      <c r="C106" s="16">
        <v>1612.9032258064517</v>
      </c>
      <c r="D106" s="17">
        <v>50000</v>
      </c>
      <c r="E106" s="116">
        <v>5.4</v>
      </c>
      <c r="F106" s="117">
        <v>-0.66099999999999959</v>
      </c>
      <c r="G106" s="117">
        <v>4.7390000000000008</v>
      </c>
      <c r="H106" s="27">
        <v>236950</v>
      </c>
      <c r="J106" s="144">
        <f>$B$99+$B$100-$B$98-F106</f>
        <v>-1.1999999999999567E-2</v>
      </c>
      <c r="K106" s="103">
        <f t="shared" ref="K106:K113" si="5">D106*J106</f>
        <v>-599.99999999997829</v>
      </c>
      <c r="L106" s="43"/>
    </row>
    <row r="107" spans="1:12" ht="15.6" x14ac:dyDescent="0.3">
      <c r="A107" s="31" t="s">
        <v>50</v>
      </c>
      <c r="B107" s="32">
        <v>36949</v>
      </c>
      <c r="C107" s="16">
        <v>1612.9032258064517</v>
      </c>
      <c r="D107" s="17">
        <v>50000</v>
      </c>
      <c r="E107" s="18">
        <v>5.28</v>
      </c>
      <c r="F107" s="19">
        <v>-0.66099999999999959</v>
      </c>
      <c r="G107" s="19">
        <v>4.6190000000000007</v>
      </c>
      <c r="H107" s="30">
        <v>230950</v>
      </c>
      <c r="J107" s="145">
        <f>$B$99+$B$100-$B$98-F107</f>
        <v>-1.1999999999999567E-2</v>
      </c>
      <c r="K107" s="98">
        <f t="shared" si="5"/>
        <v>-599.99999999997829</v>
      </c>
    </row>
    <row r="108" spans="1:12" ht="15.6" x14ac:dyDescent="0.3">
      <c r="A108" s="31" t="s">
        <v>51</v>
      </c>
      <c r="B108" s="32">
        <v>36951</v>
      </c>
      <c r="C108" s="16">
        <v>1612.9032258064517</v>
      </c>
      <c r="D108" s="17">
        <v>50000</v>
      </c>
      <c r="E108" s="18">
        <v>5.2450000000000001</v>
      </c>
      <c r="F108" s="19">
        <v>-0.66099999999999959</v>
      </c>
      <c r="G108" s="19">
        <v>4.5840000000000005</v>
      </c>
      <c r="H108" s="30">
        <v>229200</v>
      </c>
      <c r="J108" s="145">
        <f>$B$99+$B$100-$B$98-F108</f>
        <v>-1.1999999999999567E-2</v>
      </c>
      <c r="K108" s="98">
        <f t="shared" si="5"/>
        <v>-599.99999999997829</v>
      </c>
    </row>
    <row r="109" spans="1:12" ht="15.6" x14ac:dyDescent="0.3">
      <c r="A109" s="31" t="s">
        <v>18</v>
      </c>
      <c r="B109" s="32">
        <v>36979</v>
      </c>
      <c r="C109" s="16">
        <v>3225.8064516129034</v>
      </c>
      <c r="D109" s="17">
        <v>100000</v>
      </c>
      <c r="E109" s="18">
        <v>5.4</v>
      </c>
      <c r="F109" s="19">
        <v>-0.66099999999999959</v>
      </c>
      <c r="G109" s="19">
        <v>4.7390000000000008</v>
      </c>
      <c r="H109" s="30">
        <v>473900</v>
      </c>
      <c r="J109" s="145">
        <f>$B$99+$B$100-$B$98-F109</f>
        <v>-1.1999999999999567E-2</v>
      </c>
      <c r="K109" s="98">
        <f t="shared" si="5"/>
        <v>-1199.9999999999566</v>
      </c>
    </row>
    <row r="110" spans="1:12" ht="15.6" x14ac:dyDescent="0.3">
      <c r="A110" s="31" t="s">
        <v>32</v>
      </c>
      <c r="B110" s="32">
        <v>36998</v>
      </c>
      <c r="C110" s="16">
        <v>3870.9677419354839</v>
      </c>
      <c r="D110" s="17">
        <v>120000</v>
      </c>
      <c r="E110" s="18">
        <v>5.2649999999999997</v>
      </c>
      <c r="F110" s="19">
        <v>-0.66099999999999959</v>
      </c>
      <c r="G110" s="19">
        <v>4.6040000000000001</v>
      </c>
      <c r="H110" s="30">
        <v>552480</v>
      </c>
      <c r="J110" s="145">
        <f>$B$99+$B$100-$B$98-F110</f>
        <v>-1.1999999999999567E-2</v>
      </c>
      <c r="K110" s="98">
        <f t="shared" si="5"/>
        <v>-1439.9999999999479</v>
      </c>
    </row>
    <row r="111" spans="1:12" ht="15.6" x14ac:dyDescent="0.3">
      <c r="A111" s="31"/>
      <c r="B111" s="32"/>
      <c r="C111" s="16">
        <v>0</v>
      </c>
      <c r="D111" s="17">
        <v>0</v>
      </c>
      <c r="E111" s="18"/>
      <c r="F111" s="19"/>
      <c r="G111" s="19"/>
      <c r="H111" s="30">
        <v>0</v>
      </c>
      <c r="J111" s="145"/>
      <c r="K111" s="98">
        <f t="shared" si="5"/>
        <v>0</v>
      </c>
    </row>
    <row r="112" spans="1:12" ht="15.6" x14ac:dyDescent="0.3">
      <c r="A112" s="31"/>
      <c r="B112" s="32"/>
      <c r="C112" s="16">
        <v>0</v>
      </c>
      <c r="D112" s="17">
        <v>0</v>
      </c>
      <c r="E112" s="18"/>
      <c r="F112" s="19"/>
      <c r="G112" s="19"/>
      <c r="H112" s="30">
        <v>0</v>
      </c>
      <c r="J112" s="145"/>
      <c r="K112" s="98">
        <f t="shared" si="5"/>
        <v>0</v>
      </c>
    </row>
    <row r="113" spans="1:11" ht="15.6" thickBot="1" x14ac:dyDescent="0.3">
      <c r="A113" s="33"/>
      <c r="B113" s="15"/>
      <c r="C113" s="34"/>
      <c r="D113" s="35"/>
      <c r="E113" s="34"/>
      <c r="F113" s="36"/>
      <c r="G113" s="36"/>
      <c r="H113" s="37"/>
      <c r="J113" s="146"/>
      <c r="K113" s="98">
        <f t="shared" si="5"/>
        <v>0</v>
      </c>
    </row>
    <row r="114" spans="1:11" ht="16.2" thickBot="1" x14ac:dyDescent="0.35">
      <c r="A114" s="38" t="s">
        <v>22</v>
      </c>
      <c r="B114" s="12"/>
      <c r="C114" s="39">
        <v>11935.483870967742</v>
      </c>
      <c r="D114" s="40">
        <v>370000</v>
      </c>
      <c r="E114" s="41">
        <v>5.3180000000000005</v>
      </c>
      <c r="F114" s="41"/>
      <c r="G114" s="41">
        <v>4.6581000000000001</v>
      </c>
      <c r="H114" s="42">
        <f>SUM(H106:H113)</f>
        <v>1723480</v>
      </c>
      <c r="J114" s="118">
        <f>SUM(J106:J113)</f>
        <v>-5.9999999999997833E-2</v>
      </c>
      <c r="K114" s="100">
        <f>SUM(K106:K113)</f>
        <v>-4439.9999999998399</v>
      </c>
    </row>
  </sheetData>
  <mergeCells count="1">
    <mergeCell ref="A25:F25"/>
  </mergeCells>
  <phoneticPr fontId="0" type="noConversion"/>
  <pageMargins left="1" right="0.5" top="0.5" bottom="0.5" header="0.25" footer="0.25"/>
  <pageSetup scale="44" orientation="portrait" horizontalDpi="300" verticalDpi="300" r:id="rId1"/>
  <headerFooter alignWithMargins="0">
    <oddFooter>&amp;L&amp;F (&amp;A)&amp;R&amp;D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GelberJun</vt:lpstr>
    </vt:vector>
  </TitlesOfParts>
  <Company>Citizens Arizona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CWLipke</dc:creator>
  <cp:lastModifiedBy>Havlíček Jan</cp:lastModifiedBy>
  <dcterms:created xsi:type="dcterms:W3CDTF">2001-07-30T20:54:37Z</dcterms:created>
  <dcterms:modified xsi:type="dcterms:W3CDTF">2023-09-10T15:37:37Z</dcterms:modified>
</cp:coreProperties>
</file>