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6" windowWidth="11280" windowHeight="6612" activeTab="1"/>
  </bookViews>
  <sheets>
    <sheet name="Invoice" sheetId="8" r:id="rId1"/>
    <sheet name="Detail" sheetId="7" r:id="rId2"/>
  </sheets>
  <definedNames>
    <definedName name="_xlnm.Print_Area" localSheetId="1">Detail!$A$1:$D$49</definedName>
  </definedNames>
  <calcPr calcId="92512"/>
</workbook>
</file>

<file path=xl/calcChain.xml><?xml version="1.0" encoding="utf-8"?>
<calcChain xmlns="http://schemas.openxmlformats.org/spreadsheetml/2006/main">
  <c r="I12" i="7" l="1"/>
  <c r="J12" i="7"/>
  <c r="L12" i="7"/>
  <c r="O12" i="7"/>
  <c r="P12" i="7"/>
  <c r="Q12" i="7"/>
  <c r="R12" i="7"/>
  <c r="S12" i="7"/>
  <c r="B13" i="7"/>
  <c r="I13" i="7"/>
  <c r="J13" i="7"/>
  <c r="K13" i="7"/>
  <c r="L13" i="7"/>
  <c r="N13" i="7"/>
  <c r="O13" i="7"/>
  <c r="P13" i="7"/>
  <c r="Q13" i="7"/>
  <c r="R13" i="7"/>
  <c r="S13" i="7"/>
  <c r="B14" i="7"/>
  <c r="I14" i="7"/>
  <c r="J14" i="7"/>
  <c r="K14" i="7"/>
  <c r="L14" i="7"/>
  <c r="N14" i="7"/>
  <c r="O14" i="7"/>
  <c r="P14" i="7"/>
  <c r="Q14" i="7"/>
  <c r="R14" i="7"/>
  <c r="S14" i="7"/>
  <c r="I15" i="7"/>
  <c r="J15" i="7"/>
  <c r="K15" i="7"/>
  <c r="L15" i="7"/>
  <c r="N15" i="7"/>
  <c r="O15" i="7"/>
  <c r="P15" i="7"/>
  <c r="Q15" i="7"/>
  <c r="R15" i="7"/>
  <c r="S15" i="7"/>
  <c r="B16" i="7"/>
  <c r="I16" i="7"/>
  <c r="J16" i="7"/>
  <c r="K16" i="7"/>
  <c r="L16" i="7"/>
  <c r="N16" i="7"/>
  <c r="O16" i="7"/>
  <c r="P16" i="7"/>
  <c r="Q16" i="7"/>
  <c r="R16" i="7"/>
  <c r="S16" i="7"/>
  <c r="B17" i="7"/>
  <c r="I17" i="7"/>
  <c r="J17" i="7"/>
  <c r="K17" i="7"/>
  <c r="L17" i="7"/>
  <c r="N17" i="7"/>
  <c r="O17" i="7"/>
  <c r="P17" i="7"/>
  <c r="Q17" i="7"/>
  <c r="R17" i="7"/>
  <c r="S17" i="7"/>
  <c r="B18" i="7"/>
  <c r="I18" i="7"/>
  <c r="J18" i="7"/>
  <c r="K18" i="7"/>
  <c r="L18" i="7"/>
  <c r="N18" i="7"/>
  <c r="O18" i="7"/>
  <c r="P18" i="7"/>
  <c r="Q18" i="7"/>
  <c r="R18" i="7"/>
  <c r="S18" i="7"/>
  <c r="I19" i="7"/>
  <c r="J19" i="7"/>
  <c r="K19" i="7"/>
  <c r="L19" i="7"/>
  <c r="N19" i="7"/>
  <c r="O19" i="7"/>
  <c r="P19" i="7"/>
  <c r="Q19" i="7"/>
  <c r="R19" i="7"/>
  <c r="S19" i="7"/>
  <c r="I20" i="7"/>
  <c r="J20" i="7"/>
  <c r="K20" i="7"/>
  <c r="L20" i="7"/>
  <c r="N20" i="7"/>
  <c r="O20" i="7"/>
  <c r="P20" i="7"/>
  <c r="Q20" i="7"/>
  <c r="R20" i="7"/>
  <c r="S20" i="7"/>
  <c r="B21" i="7"/>
  <c r="C21" i="7"/>
  <c r="D21" i="7"/>
  <c r="I21" i="7"/>
  <c r="J21" i="7"/>
  <c r="K21" i="7"/>
  <c r="L21" i="7"/>
  <c r="N21" i="7"/>
  <c r="O21" i="7"/>
  <c r="P21" i="7"/>
  <c r="Q21" i="7"/>
  <c r="R21" i="7"/>
  <c r="S21" i="7"/>
  <c r="B22" i="7"/>
  <c r="C22" i="7"/>
  <c r="D22" i="7"/>
  <c r="I22" i="7"/>
  <c r="J22" i="7"/>
  <c r="K22" i="7"/>
  <c r="L22" i="7"/>
  <c r="O22" i="7"/>
  <c r="P22" i="7"/>
  <c r="Q22" i="7"/>
  <c r="R22" i="7"/>
  <c r="S22" i="7"/>
  <c r="B23" i="7"/>
  <c r="D23" i="7"/>
  <c r="I23" i="7"/>
  <c r="J23" i="7"/>
  <c r="K23" i="7"/>
  <c r="L23" i="7"/>
  <c r="O23" i="7"/>
  <c r="P23" i="7"/>
  <c r="Q23" i="7"/>
  <c r="R23" i="7"/>
  <c r="S23" i="7"/>
  <c r="B24" i="7"/>
  <c r="D24" i="7"/>
  <c r="I24" i="7"/>
  <c r="J24" i="7"/>
  <c r="K24" i="7"/>
  <c r="L24" i="7"/>
  <c r="O24" i="7"/>
  <c r="P24" i="7"/>
  <c r="Q24" i="7"/>
  <c r="R24" i="7"/>
  <c r="S24" i="7"/>
  <c r="B25" i="7"/>
  <c r="D25" i="7"/>
  <c r="I25" i="7"/>
  <c r="J25" i="7"/>
  <c r="K25" i="7"/>
  <c r="L25" i="7"/>
  <c r="O25" i="7"/>
  <c r="P25" i="7"/>
  <c r="Q25" i="7"/>
  <c r="R25" i="7"/>
  <c r="S25" i="7"/>
  <c r="B26" i="7"/>
  <c r="D26" i="7"/>
  <c r="I26" i="7"/>
  <c r="J26" i="7"/>
  <c r="K26" i="7"/>
  <c r="L26" i="7"/>
  <c r="O26" i="7"/>
  <c r="P26" i="7"/>
  <c r="Q26" i="7"/>
  <c r="R26" i="7"/>
  <c r="S26" i="7"/>
  <c r="I27" i="7"/>
  <c r="J27" i="7"/>
  <c r="K27" i="7"/>
  <c r="L27" i="7"/>
  <c r="O27" i="7"/>
  <c r="P27" i="7"/>
  <c r="Q27" i="7"/>
  <c r="R27" i="7"/>
  <c r="S27" i="7"/>
  <c r="B28" i="7"/>
  <c r="D28" i="7"/>
  <c r="I28" i="7"/>
  <c r="J28" i="7"/>
  <c r="K28" i="7"/>
  <c r="L28" i="7"/>
  <c r="O28" i="7"/>
  <c r="P28" i="7"/>
  <c r="Q28" i="7"/>
  <c r="R28" i="7"/>
  <c r="S28" i="7"/>
  <c r="B29" i="7"/>
  <c r="C29" i="7"/>
  <c r="D29" i="7"/>
  <c r="I29" i="7"/>
  <c r="J29" i="7"/>
  <c r="K29" i="7"/>
  <c r="L29" i="7"/>
  <c r="O29" i="7"/>
  <c r="P29" i="7"/>
  <c r="Q29" i="7"/>
  <c r="R29" i="7"/>
  <c r="S29" i="7"/>
  <c r="B30" i="7"/>
  <c r="C30" i="7"/>
  <c r="D30" i="7"/>
  <c r="I30" i="7"/>
  <c r="J30" i="7"/>
  <c r="K30" i="7"/>
  <c r="L30" i="7"/>
  <c r="O30" i="7"/>
  <c r="P30" i="7"/>
  <c r="Q30" i="7"/>
  <c r="R30" i="7"/>
  <c r="S30" i="7"/>
  <c r="B31" i="7"/>
  <c r="D31" i="7"/>
  <c r="I31" i="7"/>
  <c r="J31" i="7"/>
  <c r="K31" i="7"/>
  <c r="L31" i="7"/>
  <c r="O31" i="7"/>
  <c r="P31" i="7"/>
  <c r="Q31" i="7"/>
  <c r="R31" i="7"/>
  <c r="S31" i="7"/>
  <c r="I32" i="7"/>
  <c r="J32" i="7"/>
  <c r="K32" i="7"/>
  <c r="L32" i="7"/>
  <c r="O32" i="7"/>
  <c r="P32" i="7"/>
  <c r="Q32" i="7"/>
  <c r="R32" i="7"/>
  <c r="S32" i="7"/>
  <c r="I33" i="7"/>
  <c r="J33" i="7"/>
  <c r="K33" i="7"/>
  <c r="L33" i="7"/>
  <c r="O33" i="7"/>
  <c r="P33" i="7"/>
  <c r="Q33" i="7"/>
  <c r="R33" i="7"/>
  <c r="S33" i="7"/>
  <c r="C34" i="7"/>
  <c r="D34" i="7"/>
  <c r="I34" i="7"/>
  <c r="J34" i="7"/>
  <c r="K34" i="7"/>
  <c r="L34" i="7"/>
  <c r="O34" i="7"/>
  <c r="P34" i="7"/>
  <c r="Q34" i="7"/>
  <c r="R34" i="7"/>
  <c r="S34" i="7"/>
  <c r="I35" i="7"/>
  <c r="J35" i="7"/>
  <c r="K35" i="7"/>
  <c r="L35" i="7"/>
  <c r="O35" i="7"/>
  <c r="P35" i="7"/>
  <c r="Q35" i="7"/>
  <c r="R35" i="7"/>
  <c r="S35" i="7"/>
  <c r="I36" i="7"/>
  <c r="J36" i="7"/>
  <c r="K36" i="7"/>
  <c r="L36" i="7"/>
  <c r="O36" i="7"/>
  <c r="P36" i="7"/>
  <c r="Q36" i="7"/>
  <c r="R36" i="7"/>
  <c r="S36" i="7"/>
  <c r="B37" i="7"/>
  <c r="D37" i="7"/>
  <c r="I37" i="7"/>
  <c r="J37" i="7"/>
  <c r="K37" i="7"/>
  <c r="L37" i="7"/>
  <c r="O37" i="7"/>
  <c r="P37" i="7"/>
  <c r="Q37" i="7"/>
  <c r="R37" i="7"/>
  <c r="S37" i="7"/>
  <c r="C38" i="7"/>
  <c r="D38" i="7"/>
  <c r="I38" i="7"/>
  <c r="J38" i="7"/>
  <c r="K38" i="7"/>
  <c r="L38" i="7"/>
  <c r="O38" i="7"/>
  <c r="P38" i="7"/>
  <c r="Q38" i="7"/>
  <c r="R38" i="7"/>
  <c r="S38" i="7"/>
  <c r="I39" i="7"/>
  <c r="J39" i="7"/>
  <c r="K39" i="7"/>
  <c r="L39" i="7"/>
  <c r="O39" i="7"/>
  <c r="P39" i="7"/>
  <c r="Q39" i="7"/>
  <c r="R39" i="7"/>
  <c r="S39" i="7"/>
  <c r="D40" i="7"/>
  <c r="I40" i="7"/>
  <c r="J40" i="7"/>
  <c r="K40" i="7"/>
  <c r="L40" i="7"/>
  <c r="O40" i="7"/>
  <c r="P40" i="7"/>
  <c r="Q40" i="7"/>
  <c r="R40" i="7"/>
  <c r="S40" i="7"/>
  <c r="I41" i="7"/>
  <c r="J41" i="7"/>
  <c r="K41" i="7"/>
  <c r="L41" i="7"/>
  <c r="O41" i="7"/>
  <c r="P41" i="7"/>
  <c r="Q41" i="7"/>
  <c r="R41" i="7"/>
  <c r="S41" i="7"/>
  <c r="P42" i="7"/>
  <c r="Q42" i="7"/>
  <c r="R42" i="7"/>
  <c r="S42" i="7"/>
  <c r="H43" i="7"/>
  <c r="I43" i="7"/>
  <c r="J43" i="7"/>
  <c r="K43" i="7"/>
  <c r="L43" i="7"/>
  <c r="M43" i="7"/>
  <c r="N43" i="7"/>
  <c r="O43" i="7"/>
  <c r="P43" i="7"/>
  <c r="Q43" i="7"/>
  <c r="R43" i="7"/>
  <c r="S43" i="7"/>
  <c r="O44" i="7"/>
  <c r="B47" i="7"/>
  <c r="B49" i="7"/>
  <c r="B53" i="7"/>
  <c r="B54" i="7"/>
</calcChain>
</file>

<file path=xl/comments1.xml><?xml version="1.0" encoding="utf-8"?>
<comments xmlns="http://schemas.openxmlformats.org/spreadsheetml/2006/main">
  <authors>
    <author>jcashin</author>
  </authors>
  <commentList>
    <comment ref="C22" authorId="0" shapeId="0">
      <text>
        <r>
          <rPr>
            <b/>
            <sz val="8"/>
            <color indexed="81"/>
            <rFont val="Tahoma"/>
          </rPr>
          <t>NGI SJ index + .05 + fuel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<sst xmlns="http://schemas.openxmlformats.org/spreadsheetml/2006/main" count="97" uniqueCount="56">
  <si>
    <t>City of Pasadena</t>
  </si>
  <si>
    <t>Mid</t>
  </si>
  <si>
    <t>NGI SoCal</t>
  </si>
  <si>
    <t>Date</t>
  </si>
  <si>
    <t>$/MMBtu</t>
  </si>
  <si>
    <t>IFGMR EP San Juan</t>
  </si>
  <si>
    <t>Border</t>
  </si>
  <si>
    <t>Pasadena</t>
  </si>
  <si>
    <t>MMBtu</t>
  </si>
  <si>
    <t>$</t>
  </si>
  <si>
    <t>Net Nomination</t>
  </si>
  <si>
    <t>Usage</t>
  </si>
  <si>
    <t>Net Usage</t>
  </si>
  <si>
    <t xml:space="preserve">Kern River Station Purchases </t>
  </si>
  <si>
    <t>Totals</t>
  </si>
  <si>
    <t>Purchases</t>
  </si>
  <si>
    <t>APEA</t>
  </si>
  <si>
    <t>Sales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</si>
  <si>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</si>
  <si>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</si>
  <si>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</si>
  <si>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</si>
  <si>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</si>
  <si>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</si>
  <si>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</si>
  <si>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APEA Nomination</t>
  </si>
  <si>
    <t>Less APEA Usage</t>
  </si>
  <si>
    <t>Fixed (demand charge)</t>
  </si>
  <si>
    <t># of Days</t>
  </si>
  <si>
    <t xml:space="preserve">Amount Due </t>
  </si>
  <si>
    <t xml:space="preserve"> </t>
  </si>
  <si>
    <t>Fixed Price</t>
  </si>
  <si>
    <t>KRS</t>
  </si>
  <si>
    <t>KRS NGI Supply</t>
  </si>
  <si>
    <t>KRS NGI Delivery</t>
  </si>
  <si>
    <t>Fuel</t>
  </si>
  <si>
    <t>Variable</t>
  </si>
  <si>
    <t>Total Nomination</t>
  </si>
  <si>
    <t>El Paso Capacity</t>
  </si>
  <si>
    <t>NGI Deliveries</t>
  </si>
  <si>
    <t>Fixed Price Deliveries</t>
  </si>
  <si>
    <t>Gas Daily Deliveries</t>
  </si>
  <si>
    <t>Gas Daily Purchases</t>
  </si>
  <si>
    <t>Enron Sales to Pasadena</t>
  </si>
  <si>
    <t>Enron Purchases from Pasadena</t>
  </si>
  <si>
    <t>Net Due Enron/(Pasadena)</t>
  </si>
  <si>
    <t>should be zero</t>
  </si>
  <si>
    <t>Add'l</t>
  </si>
  <si>
    <t>Delivery</t>
  </si>
  <si>
    <t>Purchase</t>
  </si>
  <si>
    <t>Pasadena Purchase (due to plant shut down)</t>
  </si>
  <si>
    <t>El Paso Transport Deliveries</t>
  </si>
  <si>
    <t>El Paso</t>
  </si>
  <si>
    <t>9M8P</t>
  </si>
  <si>
    <t>Variable (9M8N)</t>
  </si>
  <si>
    <t>June 2001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</si>
</sst>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69" formatCode="_(* #,##0.000_);_(* \(#,##0.000\);_(* &quot;-&quot;?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9"/>
      <color indexed="48"/>
      <name val="Arial"/>
      <family val="2"/>
    </font>
    <font>
      <sz val="10"/>
      <color indexed="14"/>
      <name val="Arial"/>
      <family val="2"/>
    </font>
    <font>
      <sz val="10"/>
      <color indexed="4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2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1" applyNumberFormat="1"/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70" fontId="2" fillId="0" borderId="0" xfId="1" applyNumberFormat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165" fontId="0" fillId="0" borderId="0" xfId="0" applyNumberFormat="1"/>
    <xf numFmtId="177" fontId="5" fillId="0" borderId="0" xfId="0" applyNumberFormat="1" applyFont="1" applyFill="1" applyBorder="1" applyAlignment="1"/>
    <xf numFmtId="43" fontId="2" fillId="0" borderId="0" xfId="1" applyBorder="1"/>
    <xf numFmtId="43" fontId="2" fillId="0" borderId="0" xfId="1"/>
    <xf numFmtId="43" fontId="2" fillId="0" borderId="0" xfId="1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170" fontId="4" fillId="0" borderId="0" xfId="1" applyNumberFormat="1" applyFont="1"/>
    <xf numFmtId="165" fontId="4" fillId="0" borderId="0" xfId="0" applyNumberFormat="1" applyFont="1"/>
    <xf numFmtId="165" fontId="4" fillId="0" borderId="1" xfId="0" applyNumberFormat="1" applyFont="1" applyBorder="1"/>
    <xf numFmtId="170" fontId="4" fillId="0" borderId="0" xfId="1" applyNumberFormat="1" applyFont="1" applyBorder="1"/>
    <xf numFmtId="3" fontId="4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173" fontId="2" fillId="0" borderId="0" xfId="1" applyNumberFormat="1" applyAlignment="1">
      <alignment horizontal="right"/>
    </xf>
    <xf numFmtId="38" fontId="5" fillId="0" borderId="0" xfId="0" applyNumberFormat="1" applyFont="1" applyFill="1" applyBorder="1" applyAlignment="1">
      <alignment horizontal="right"/>
    </xf>
    <xf numFmtId="16" fontId="0" fillId="0" borderId="0" xfId="0" applyNumberFormat="1" applyAlignment="1">
      <alignment horizontal="center"/>
    </xf>
    <xf numFmtId="165" fontId="4" fillId="0" borderId="0" xfId="1" quotePrefix="1" applyNumberFormat="1" applyFont="1" applyFill="1" applyBorder="1" applyAlignment="1"/>
    <xf numFmtId="43" fontId="4" fillId="0" borderId="0" xfId="1" quotePrefix="1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43" fontId="1" fillId="0" borderId="2" xfId="1" applyFont="1" applyBorder="1" applyAlignment="1">
      <alignment horizontal="right"/>
    </xf>
    <xf numFmtId="170" fontId="7" fillId="0" borderId="0" xfId="1" applyNumberFormat="1" applyFont="1" applyAlignment="1">
      <alignment horizontal="left"/>
    </xf>
    <xf numFmtId="165" fontId="6" fillId="0" borderId="0" xfId="1" quotePrefix="1" applyNumberFormat="1" applyFont="1" applyFill="1" applyBorder="1" applyAlignment="1"/>
    <xf numFmtId="165" fontId="6" fillId="0" borderId="0" xfId="1" applyNumberFormat="1" applyFont="1" applyFill="1" applyBorder="1" applyAlignment="1">
      <alignment horizontal="center"/>
    </xf>
    <xf numFmtId="165" fontId="6" fillId="0" borderId="0" xfId="1" quotePrefix="1" applyNumberFormat="1" applyFont="1" applyFill="1" applyBorder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70" fontId="8" fillId="0" borderId="0" xfId="1" applyNumberFormat="1" applyFont="1" applyAlignment="1">
      <alignment horizontal="left"/>
    </xf>
    <xf numFmtId="164" fontId="9" fillId="0" borderId="0" xfId="0" applyNumberFormat="1" applyFont="1" applyAlignment="1">
      <alignment horizontal="center"/>
    </xf>
    <xf numFmtId="165" fontId="3" fillId="0" borderId="2" xfId="1" applyNumberFormat="1" applyFont="1" applyBorder="1" applyAlignment="1">
      <alignment horizontal="right"/>
    </xf>
    <xf numFmtId="43" fontId="3" fillId="0" borderId="3" xfId="1" applyFont="1" applyBorder="1"/>
    <xf numFmtId="165" fontId="4" fillId="0" borderId="0" xfId="0" applyNumberFormat="1" applyFont="1" applyFill="1"/>
    <xf numFmtId="168" fontId="4" fillId="0" borderId="0" xfId="0" applyNumberFormat="1" applyFont="1" applyFill="1"/>
    <xf numFmtId="173" fontId="10" fillId="0" borderId="0" xfId="1" applyNumberFormat="1" applyFont="1"/>
    <xf numFmtId="170" fontId="10" fillId="0" borderId="0" xfId="1" applyNumberFormat="1" applyFont="1"/>
    <xf numFmtId="173" fontId="2" fillId="0" borderId="1" xfId="1" applyNumberFormat="1" applyBorder="1" applyAlignment="1">
      <alignment horizontal="right"/>
    </xf>
    <xf numFmtId="165" fontId="4" fillId="0" borderId="1" xfId="1" quotePrefix="1" applyNumberFormat="1" applyFont="1" applyFill="1" applyBorder="1" applyAlignment="1"/>
    <xf numFmtId="43" fontId="4" fillId="0" borderId="1" xfId="1" quotePrefix="1" applyNumberFormat="1" applyFont="1" applyFill="1" applyBorder="1" applyAlignment="1"/>
    <xf numFmtId="43" fontId="2" fillId="0" borderId="1" xfId="1" quotePrefix="1" applyFont="1" applyBorder="1"/>
    <xf numFmtId="167" fontId="10" fillId="2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right"/>
    </xf>
    <xf numFmtId="167" fontId="10" fillId="2" borderId="1" xfId="0" applyNumberFormat="1" applyFont="1" applyFill="1" applyBorder="1" applyAlignment="1">
      <alignment horizontal="center"/>
    </xf>
    <xf numFmtId="38" fontId="10" fillId="0" borderId="1" xfId="0" applyNumberFormat="1" applyFont="1" applyFill="1" applyBorder="1" applyAlignment="1">
      <alignment horizontal="right"/>
    </xf>
    <xf numFmtId="38" fontId="5" fillId="0" borderId="1" xfId="0" applyNumberFormat="1" applyFont="1" applyFill="1" applyBorder="1" applyAlignment="1">
      <alignment horizontal="right"/>
    </xf>
    <xf numFmtId="177" fontId="5" fillId="0" borderId="1" xfId="0" applyNumberFormat="1" applyFont="1" applyFill="1" applyBorder="1" applyAlignment="1"/>
    <xf numFmtId="165" fontId="10" fillId="0" borderId="0" xfId="1" applyNumberFormat="1" applyFont="1"/>
    <xf numFmtId="165" fontId="2" fillId="0" borderId="0" xfId="1" applyNumberFormat="1" applyFont="1"/>
    <xf numFmtId="165" fontId="10" fillId="0" borderId="0" xfId="1" applyNumberFormat="1" applyFont="1" applyBorder="1"/>
    <xf numFmtId="168" fontId="4" fillId="0" borderId="4" xfId="0" applyNumberFormat="1" applyFont="1" applyBorder="1"/>
    <xf numFmtId="0" fontId="11" fillId="0" borderId="0" xfId="0" applyFont="1"/>
    <xf numFmtId="165" fontId="2" fillId="0" borderId="0" xfId="1" applyNumberFormat="1" applyAlignment="1">
      <alignment horizontal="right"/>
    </xf>
    <xf numFmtId="169" fontId="4" fillId="0" borderId="0" xfId="1" applyNumberFormat="1" applyFont="1"/>
    <xf numFmtId="170" fontId="4" fillId="0" borderId="5" xfId="0" applyNumberFormat="1" applyFont="1" applyBorder="1"/>
    <xf numFmtId="43" fontId="2" fillId="0" borderId="1" xfId="1" applyBorder="1"/>
    <xf numFmtId="173" fontId="0" fillId="0" borderId="0" xfId="0" applyNumberFormat="1" applyAlignment="1">
      <alignment horizontal="right"/>
    </xf>
    <xf numFmtId="0" fontId="12" fillId="0" borderId="0" xfId="0" applyFont="1" applyAlignment="1">
      <alignment horizontal="left"/>
    </xf>
    <xf numFmtId="38" fontId="13" fillId="0" borderId="0" xfId="0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right"/>
    </xf>
    <xf numFmtId="173" fontId="4" fillId="0" borderId="0" xfId="0" applyNumberFormat="1" applyFont="1"/>
    <xf numFmtId="170" fontId="10" fillId="0" borderId="0" xfId="0" applyNumberFormat="1" applyFont="1"/>
    <xf numFmtId="165" fontId="10" fillId="0" borderId="1" xfId="1" applyNumberFormat="1" applyFont="1" applyFill="1" applyBorder="1"/>
    <xf numFmtId="170" fontId="4" fillId="0" borderId="0" xfId="0" applyNumberFormat="1" applyFont="1" applyFill="1"/>
    <xf numFmtId="164" fontId="10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52</xdr:row>
      <xdr:rowOff>91440</xdr:rowOff>
    </xdr:from>
    <xdr:to>
      <xdr:col>2</xdr:col>
      <xdr:colOff>678180</xdr:colOff>
      <xdr:row>52</xdr:row>
      <xdr:rowOff>91440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3512820" y="8839200"/>
          <a:ext cx="6172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60960</xdr:colOff>
      <xdr:row>53</xdr:row>
      <xdr:rowOff>91440</xdr:rowOff>
    </xdr:from>
    <xdr:to>
      <xdr:col>2</xdr:col>
      <xdr:colOff>678180</xdr:colOff>
      <xdr:row>53</xdr:row>
      <xdr:rowOff>91440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512820" y="9006840"/>
          <a:ext cx="6172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0"/>
  <sheetViews>
    <sheetView tabSelected="1" topLeftCell="A21" workbookViewId="0">
      <selection activeCell="D47" sqref="D47"/>
    </sheetView>
  </sheetViews>
  <sheetFormatPr defaultRowHeight="13.2" x14ac:dyDescent="0.25"/>
  <cols>
    <col min="1" max="1" width="38.44140625" customWidth="1"/>
    <col min="2" max="2" width="11.88671875" style="37" bestFit="1" customWidth="1"/>
    <col min="3" max="3" width="11" customWidth="1"/>
    <col min="4" max="4" width="14.88671875" customWidth="1"/>
    <col min="6" max="6" width="10.109375" style="25" customWidth="1"/>
    <col min="7" max="7" width="11.6640625" style="25" customWidth="1"/>
    <col min="8" max="8" width="11.5546875" bestFit="1" customWidth="1"/>
    <col min="9" max="9" width="10.5546875" style="44" bestFit="1" customWidth="1"/>
    <col min="10" max="10" width="10.5546875" style="44" customWidth="1"/>
    <col min="11" max="11" width="11.5546875" style="44" customWidth="1"/>
    <col min="12" max="14" width="10.5546875" style="44" customWidth="1"/>
    <col min="15" max="16" width="12" customWidth="1"/>
    <col min="17" max="17" width="12.88671875" bestFit="1" customWidth="1"/>
    <col min="18" max="18" width="12.109375" customWidth="1"/>
    <col min="19" max="19" width="13.33203125" customWidth="1"/>
  </cols>
  <sheetData>
    <row r="1" spans="1:19" x14ac:dyDescent="0.25">
      <c r="A1" s="1" t="s">
        <v>0</v>
      </c>
      <c r="C1" s="2"/>
      <c r="D1" s="3"/>
      <c r="E1" s="5"/>
      <c r="F1" s="7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5" t="s">
        <v>55</v>
      </c>
      <c r="F2" s="7"/>
      <c r="O2" s="36"/>
      <c r="P2" s="59"/>
      <c r="Q2" s="58"/>
      <c r="R2" s="59"/>
      <c r="S2" s="58"/>
    </row>
    <row r="3" spans="1:19" x14ac:dyDescent="0.25">
      <c r="A3" s="35"/>
      <c r="F3" s="7"/>
      <c r="O3" s="36"/>
      <c r="P3" s="57"/>
      <c r="R3" s="7"/>
      <c r="S3" s="7"/>
    </row>
    <row r="4" spans="1:19" x14ac:dyDescent="0.25">
      <c r="A4" s="1"/>
      <c r="H4" t="s">
        <v>30</v>
      </c>
      <c r="L4" s="44" t="s">
        <v>30</v>
      </c>
    </row>
    <row r="5" spans="1:19" x14ac:dyDescent="0.25">
      <c r="A5" s="56" t="s">
        <v>28</v>
      </c>
      <c r="B5" s="69">
        <v>30</v>
      </c>
      <c r="H5" t="s">
        <v>30</v>
      </c>
    </row>
    <row r="6" spans="1:19" x14ac:dyDescent="0.25">
      <c r="A6" s="1" t="s">
        <v>2</v>
      </c>
      <c r="B6" s="70">
        <v>11.7</v>
      </c>
      <c r="C6" s="63"/>
      <c r="I6" s="90" t="s">
        <v>30</v>
      </c>
    </row>
    <row r="7" spans="1:19" x14ac:dyDescent="0.25">
      <c r="A7" s="1" t="s">
        <v>5</v>
      </c>
      <c r="B7" s="70">
        <v>3.14</v>
      </c>
      <c r="C7" s="63"/>
      <c r="J7" s="44" t="s">
        <v>30</v>
      </c>
    </row>
    <row r="8" spans="1:19" x14ac:dyDescent="0.25">
      <c r="A8" s="1"/>
      <c r="B8" s="38"/>
      <c r="C8" s="8"/>
      <c r="F8" s="7"/>
      <c r="G8" s="62"/>
      <c r="H8" s="61"/>
      <c r="M8" s="44" t="s">
        <v>53</v>
      </c>
      <c r="P8" s="7" t="s">
        <v>23</v>
      </c>
      <c r="Q8" s="7" t="s">
        <v>23</v>
      </c>
      <c r="R8" s="7" t="s">
        <v>23</v>
      </c>
      <c r="S8" s="7" t="s">
        <v>23</v>
      </c>
    </row>
    <row r="9" spans="1:19" x14ac:dyDescent="0.25">
      <c r="B9" s="9"/>
      <c r="C9" s="8"/>
      <c r="F9" s="7"/>
      <c r="G9" s="7" t="s">
        <v>23</v>
      </c>
      <c r="H9" s="43" t="s">
        <v>24</v>
      </c>
      <c r="I9" s="43" t="s">
        <v>7</v>
      </c>
      <c r="K9" s="43" t="s">
        <v>31</v>
      </c>
      <c r="L9" s="43" t="s">
        <v>32</v>
      </c>
      <c r="M9" s="43" t="s">
        <v>52</v>
      </c>
      <c r="N9" s="43" t="s">
        <v>47</v>
      </c>
      <c r="O9" s="43" t="s">
        <v>20</v>
      </c>
      <c r="P9" s="7" t="s">
        <v>15</v>
      </c>
      <c r="Q9" s="7" t="s">
        <v>15</v>
      </c>
      <c r="R9" s="7" t="s">
        <v>17</v>
      </c>
      <c r="S9" s="7" t="s">
        <v>17</v>
      </c>
    </row>
    <row r="10" spans="1:19" x14ac:dyDescent="0.25">
      <c r="B10" s="43" t="s">
        <v>6</v>
      </c>
      <c r="C10" s="44"/>
      <c r="D10" s="27"/>
      <c r="F10" s="7" t="s">
        <v>30</v>
      </c>
      <c r="G10" s="7" t="s">
        <v>1</v>
      </c>
      <c r="H10" s="43" t="s">
        <v>11</v>
      </c>
      <c r="I10" s="43" t="s">
        <v>22</v>
      </c>
      <c r="J10" s="43" t="s">
        <v>16</v>
      </c>
      <c r="K10" s="43" t="s">
        <v>48</v>
      </c>
      <c r="L10" s="43" t="s">
        <v>48</v>
      </c>
      <c r="M10" s="43" t="s">
        <v>48</v>
      </c>
      <c r="N10" s="43" t="s">
        <v>49</v>
      </c>
      <c r="O10" s="43" t="s">
        <v>21</v>
      </c>
      <c r="P10" s="7" t="s">
        <v>19</v>
      </c>
      <c r="Q10" s="7" t="s">
        <v>19</v>
      </c>
      <c r="R10" s="7" t="s">
        <v>18</v>
      </c>
      <c r="S10" s="7" t="s">
        <v>18</v>
      </c>
    </row>
    <row r="11" spans="1:19" ht="13.8" thickBot="1" x14ac:dyDescent="0.3">
      <c r="A11" s="53" t="s">
        <v>7</v>
      </c>
      <c r="B11" s="52" t="s">
        <v>8</v>
      </c>
      <c r="C11" s="54" t="s">
        <v>4</v>
      </c>
      <c r="D11" s="55" t="s">
        <v>29</v>
      </c>
      <c r="F11" s="51" t="s">
        <v>3</v>
      </c>
      <c r="G11" s="51" t="s">
        <v>4</v>
      </c>
      <c r="H11" s="52" t="s">
        <v>8</v>
      </c>
      <c r="I11" s="52" t="s">
        <v>8</v>
      </c>
      <c r="J11" s="52" t="s">
        <v>8</v>
      </c>
      <c r="K11" s="52" t="s">
        <v>8</v>
      </c>
      <c r="L11" s="52" t="s">
        <v>8</v>
      </c>
      <c r="M11" s="52" t="s">
        <v>8</v>
      </c>
      <c r="N11" s="52" t="s">
        <v>8</v>
      </c>
      <c r="O11" s="52" t="s">
        <v>8</v>
      </c>
      <c r="P11" s="51" t="s">
        <v>8</v>
      </c>
      <c r="Q11" s="51" t="s">
        <v>9</v>
      </c>
      <c r="R11" s="51" t="s">
        <v>8</v>
      </c>
      <c r="S11" s="51" t="s">
        <v>9</v>
      </c>
    </row>
    <row r="12" spans="1:19" x14ac:dyDescent="0.25">
      <c r="A12" t="s">
        <v>37</v>
      </c>
      <c r="B12" s="81">
        <v>315990</v>
      </c>
      <c r="C12" s="8"/>
      <c r="D12" s="8"/>
      <c r="E12" s="8"/>
      <c r="F12" s="48">
        <v>37043</v>
      </c>
      <c r="G12" s="75">
        <v>9.92</v>
      </c>
      <c r="H12" s="92">
        <v>4318</v>
      </c>
      <c r="I12" s="46">
        <f>B12/B5</f>
        <v>10533</v>
      </c>
      <c r="J12" s="47">
        <f>(3000*B5)/B5</f>
        <v>3000</v>
      </c>
      <c r="K12" s="76">
        <v>3500</v>
      </c>
      <c r="L12" s="76">
        <f>4033-M12</f>
        <v>2657</v>
      </c>
      <c r="M12" s="76">
        <v>1376</v>
      </c>
      <c r="N12" s="76">
        <v>0</v>
      </c>
      <c r="O12" s="31">
        <f>H12-J12-K12-L12-M12+N12</f>
        <v>-6215</v>
      </c>
      <c r="P12" s="49">
        <f t="shared" ref="P12:P42" si="0">IF(O12&gt;0,O12,0)</f>
        <v>0</v>
      </c>
      <c r="Q12" s="50">
        <f t="shared" ref="Q12:Q42" si="1">P12*G12</f>
        <v>0</v>
      </c>
      <c r="R12" s="49">
        <f t="shared" ref="R12:R42" si="2">IF(O12&gt;0,0,O12)</f>
        <v>-6215</v>
      </c>
      <c r="S12" s="34">
        <f t="shared" ref="S12:S42" si="3">R12*G12</f>
        <v>-61652.800000000003</v>
      </c>
    </row>
    <row r="13" spans="1:19" x14ac:dyDescent="0.25">
      <c r="A13" t="s">
        <v>25</v>
      </c>
      <c r="B13" s="10">
        <f>3000*B5</f>
        <v>90000</v>
      </c>
      <c r="C13" s="8"/>
      <c r="D13" s="8"/>
      <c r="E13" s="8"/>
      <c r="F13" s="48">
        <v>37044</v>
      </c>
      <c r="G13" s="75">
        <v>7.915</v>
      </c>
      <c r="H13" s="92">
        <v>3579</v>
      </c>
      <c r="I13" s="46">
        <f t="shared" ref="I13:I41" si="4">$I$12</f>
        <v>10533</v>
      </c>
      <c r="J13" s="47">
        <f t="shared" ref="J13:J41" si="5">$J$12</f>
        <v>3000</v>
      </c>
      <c r="K13" s="47">
        <f t="shared" ref="K13:K41" si="6">K12</f>
        <v>3500</v>
      </c>
      <c r="L13" s="76">
        <f t="shared" ref="L13:L41" si="7">4033-M13</f>
        <v>2790</v>
      </c>
      <c r="M13" s="76">
        <v>1243</v>
      </c>
      <c r="N13" s="93">
        <f>N$12</f>
        <v>0</v>
      </c>
      <c r="O13" s="31">
        <f t="shared" ref="O13:O41" si="8">H13-J13-K13-L13-M13+N13</f>
        <v>-6954</v>
      </c>
      <c r="P13" s="49">
        <f t="shared" si="0"/>
        <v>0</v>
      </c>
      <c r="Q13" s="50">
        <f t="shared" si="1"/>
        <v>0</v>
      </c>
      <c r="R13" s="49">
        <f t="shared" si="2"/>
        <v>-6954</v>
      </c>
      <c r="S13" s="34">
        <f t="shared" si="3"/>
        <v>-55040.91</v>
      </c>
    </row>
    <row r="14" spans="1:19" x14ac:dyDescent="0.25">
      <c r="A14" t="s">
        <v>10</v>
      </c>
      <c r="B14" s="9">
        <f>+B12-B13</f>
        <v>225990</v>
      </c>
      <c r="C14" s="8"/>
      <c r="D14" s="8"/>
      <c r="E14" s="8"/>
      <c r="F14" s="48">
        <v>37045</v>
      </c>
      <c r="G14" s="75">
        <v>7.915</v>
      </c>
      <c r="H14" s="92">
        <v>2968</v>
      </c>
      <c r="I14" s="46">
        <f t="shared" si="4"/>
        <v>10533</v>
      </c>
      <c r="J14" s="47">
        <f t="shared" si="5"/>
        <v>3000</v>
      </c>
      <c r="K14" s="47">
        <f t="shared" si="6"/>
        <v>3500</v>
      </c>
      <c r="L14" s="76">
        <f t="shared" si="7"/>
        <v>2776</v>
      </c>
      <c r="M14" s="76">
        <v>1257</v>
      </c>
      <c r="N14" s="93">
        <f t="shared" ref="N14:N21" si="9">N$12</f>
        <v>0</v>
      </c>
      <c r="O14" s="31">
        <f t="shared" si="8"/>
        <v>-7565</v>
      </c>
      <c r="P14" s="49">
        <f t="shared" si="0"/>
        <v>0</v>
      </c>
      <c r="Q14" s="50">
        <f t="shared" si="1"/>
        <v>0</v>
      </c>
      <c r="R14" s="49">
        <f t="shared" si="2"/>
        <v>-7565</v>
      </c>
      <c r="S14" s="34">
        <f t="shared" si="3"/>
        <v>-59876.974999999999</v>
      </c>
    </row>
    <row r="15" spans="1:19" x14ac:dyDescent="0.25">
      <c r="B15" s="11"/>
      <c r="C15" s="8"/>
      <c r="D15" s="8"/>
      <c r="E15" s="8"/>
      <c r="F15" s="48">
        <v>37046</v>
      </c>
      <c r="G15" s="75">
        <v>7.915</v>
      </c>
      <c r="H15" s="92">
        <v>2786</v>
      </c>
      <c r="I15" s="46">
        <f t="shared" si="4"/>
        <v>10533</v>
      </c>
      <c r="J15" s="47">
        <f t="shared" si="5"/>
        <v>3000</v>
      </c>
      <c r="K15" s="47">
        <f t="shared" si="6"/>
        <v>3500</v>
      </c>
      <c r="L15" s="76">
        <f t="shared" si="7"/>
        <v>2907</v>
      </c>
      <c r="M15" s="76">
        <v>1126</v>
      </c>
      <c r="N15" s="93">
        <f t="shared" si="9"/>
        <v>0</v>
      </c>
      <c r="O15" s="31">
        <f t="shared" si="8"/>
        <v>-7747</v>
      </c>
      <c r="P15" s="49">
        <f t="shared" si="0"/>
        <v>0</v>
      </c>
      <c r="Q15" s="50">
        <f t="shared" si="1"/>
        <v>0</v>
      </c>
      <c r="R15" s="49">
        <f t="shared" si="2"/>
        <v>-7747</v>
      </c>
      <c r="S15" s="34">
        <f t="shared" si="3"/>
        <v>-61317.504999999997</v>
      </c>
    </row>
    <row r="16" spans="1:19" x14ac:dyDescent="0.25">
      <c r="A16" t="s">
        <v>11</v>
      </c>
      <c r="B16" s="11">
        <f>H43</f>
        <v>152088</v>
      </c>
      <c r="C16" s="8"/>
      <c r="D16" s="82" t="s">
        <v>30</v>
      </c>
      <c r="E16" s="8"/>
      <c r="F16" s="48">
        <v>37047</v>
      </c>
      <c r="G16" s="75">
        <v>8.9499999999999993</v>
      </c>
      <c r="H16" s="92">
        <v>2543</v>
      </c>
      <c r="I16" s="46">
        <f t="shared" si="4"/>
        <v>10533</v>
      </c>
      <c r="J16" s="47">
        <f t="shared" si="5"/>
        <v>3000</v>
      </c>
      <c r="K16" s="47">
        <f t="shared" si="6"/>
        <v>3500</v>
      </c>
      <c r="L16" s="76">
        <f t="shared" si="7"/>
        <v>4033</v>
      </c>
      <c r="M16" s="76">
        <v>0</v>
      </c>
      <c r="N16" s="93">
        <f t="shared" si="9"/>
        <v>0</v>
      </c>
      <c r="O16" s="31">
        <f t="shared" si="8"/>
        <v>-7990</v>
      </c>
      <c r="P16" s="49">
        <f t="shared" si="0"/>
        <v>0</v>
      </c>
      <c r="Q16" s="50">
        <f t="shared" si="1"/>
        <v>0</v>
      </c>
      <c r="R16" s="49">
        <f t="shared" si="2"/>
        <v>-7990</v>
      </c>
      <c r="S16" s="34">
        <f t="shared" si="3"/>
        <v>-71510.5</v>
      </c>
    </row>
    <row r="17" spans="1:19" x14ac:dyDescent="0.25">
      <c r="A17" t="s">
        <v>26</v>
      </c>
      <c r="B17" s="10">
        <f>B13</f>
        <v>90000</v>
      </c>
      <c r="C17" s="8"/>
      <c r="D17" s="8"/>
      <c r="E17" s="8"/>
      <c r="F17" s="48">
        <v>37048</v>
      </c>
      <c r="G17" s="75">
        <v>9.4250000000000007</v>
      </c>
      <c r="H17" s="92">
        <v>3946</v>
      </c>
      <c r="I17" s="46">
        <f t="shared" si="4"/>
        <v>10533</v>
      </c>
      <c r="J17" s="47">
        <f t="shared" si="5"/>
        <v>3000</v>
      </c>
      <c r="K17" s="47">
        <f t="shared" si="6"/>
        <v>3500</v>
      </c>
      <c r="L17" s="76">
        <f t="shared" si="7"/>
        <v>4033</v>
      </c>
      <c r="M17" s="76">
        <v>0</v>
      </c>
      <c r="N17" s="93">
        <f t="shared" si="9"/>
        <v>0</v>
      </c>
      <c r="O17" s="31">
        <f t="shared" si="8"/>
        <v>-6587</v>
      </c>
      <c r="P17" s="49">
        <f t="shared" si="0"/>
        <v>0</v>
      </c>
      <c r="Q17" s="50">
        <f t="shared" si="1"/>
        <v>0</v>
      </c>
      <c r="R17" s="49">
        <f t="shared" si="2"/>
        <v>-6587</v>
      </c>
      <c r="S17" s="34">
        <f t="shared" si="3"/>
        <v>-62082.475000000006</v>
      </c>
    </row>
    <row r="18" spans="1:19" x14ac:dyDescent="0.25">
      <c r="A18" t="s">
        <v>12</v>
      </c>
      <c r="B18" s="11">
        <f>B16-B17</f>
        <v>62088</v>
      </c>
      <c r="C18" s="82" t="s">
        <v>30</v>
      </c>
      <c r="D18" s="8"/>
      <c r="E18" s="8"/>
      <c r="F18" s="48">
        <v>37049</v>
      </c>
      <c r="G18" s="75">
        <v>7.9850000000000003</v>
      </c>
      <c r="H18" s="92">
        <v>4659</v>
      </c>
      <c r="I18" s="46">
        <f t="shared" si="4"/>
        <v>10533</v>
      </c>
      <c r="J18" s="47">
        <f t="shared" si="5"/>
        <v>3000</v>
      </c>
      <c r="K18" s="47">
        <f t="shared" si="6"/>
        <v>3500</v>
      </c>
      <c r="L18" s="76">
        <f t="shared" si="7"/>
        <v>4033</v>
      </c>
      <c r="M18" s="76">
        <v>0</v>
      </c>
      <c r="N18" s="93">
        <f t="shared" si="9"/>
        <v>0</v>
      </c>
      <c r="O18" s="31">
        <f t="shared" si="8"/>
        <v>-5874</v>
      </c>
      <c r="P18" s="49">
        <f t="shared" si="0"/>
        <v>0</v>
      </c>
      <c r="Q18" s="50">
        <f t="shared" si="1"/>
        <v>0</v>
      </c>
      <c r="R18" s="49">
        <f t="shared" si="2"/>
        <v>-5874</v>
      </c>
      <c r="S18" s="34">
        <f t="shared" si="3"/>
        <v>-46903.89</v>
      </c>
    </row>
    <row r="19" spans="1:19" x14ac:dyDescent="0.25">
      <c r="B19" s="11"/>
      <c r="C19" s="8"/>
      <c r="D19" s="8"/>
      <c r="E19" s="8"/>
      <c r="F19" s="48">
        <v>37050</v>
      </c>
      <c r="G19" s="75">
        <v>5.82</v>
      </c>
      <c r="H19" s="92">
        <v>6932</v>
      </c>
      <c r="I19" s="46">
        <f t="shared" si="4"/>
        <v>10533</v>
      </c>
      <c r="J19" s="47">
        <f t="shared" si="5"/>
        <v>3000</v>
      </c>
      <c r="K19" s="47">
        <f t="shared" si="6"/>
        <v>3500</v>
      </c>
      <c r="L19" s="76">
        <f t="shared" si="7"/>
        <v>4033</v>
      </c>
      <c r="M19" s="76">
        <v>0</v>
      </c>
      <c r="N19" s="93">
        <f t="shared" si="9"/>
        <v>0</v>
      </c>
      <c r="O19" s="31">
        <f t="shared" si="8"/>
        <v>-3601</v>
      </c>
      <c r="P19" s="49">
        <f t="shared" si="0"/>
        <v>0</v>
      </c>
      <c r="Q19" s="50">
        <f t="shared" si="1"/>
        <v>0</v>
      </c>
      <c r="R19" s="49">
        <f t="shared" si="2"/>
        <v>-3601</v>
      </c>
      <c r="S19" s="34">
        <f t="shared" si="3"/>
        <v>-20957.82</v>
      </c>
    </row>
    <row r="20" spans="1:19" x14ac:dyDescent="0.25">
      <c r="A20" s="45" t="s">
        <v>43</v>
      </c>
      <c r="C20" s="82" t="s">
        <v>30</v>
      </c>
      <c r="D20" s="8"/>
      <c r="E20" s="8"/>
      <c r="F20" s="48">
        <v>37051</v>
      </c>
      <c r="G20" s="75">
        <v>3.5350000000000001</v>
      </c>
      <c r="H20" s="92">
        <v>6429</v>
      </c>
      <c r="I20" s="46">
        <f t="shared" si="4"/>
        <v>10533</v>
      </c>
      <c r="J20" s="47">
        <f t="shared" si="5"/>
        <v>3000</v>
      </c>
      <c r="K20" s="47">
        <f t="shared" si="6"/>
        <v>3500</v>
      </c>
      <c r="L20" s="76">
        <f t="shared" si="7"/>
        <v>4033</v>
      </c>
      <c r="M20" s="76">
        <v>0</v>
      </c>
      <c r="N20" s="93">
        <f t="shared" si="9"/>
        <v>0</v>
      </c>
      <c r="O20" s="31">
        <f t="shared" si="8"/>
        <v>-4104</v>
      </c>
      <c r="P20" s="49">
        <f t="shared" si="0"/>
        <v>0</v>
      </c>
      <c r="Q20" s="50">
        <f t="shared" si="1"/>
        <v>0</v>
      </c>
      <c r="R20" s="49">
        <f t="shared" si="2"/>
        <v>-4104</v>
      </c>
      <c r="S20" s="34">
        <f t="shared" si="3"/>
        <v>-14507.640000000001</v>
      </c>
    </row>
    <row r="21" spans="1:19" x14ac:dyDescent="0.25">
      <c r="A21" t="s">
        <v>39</v>
      </c>
      <c r="B21" s="68">
        <f>L43</f>
        <v>115789</v>
      </c>
      <c r="C21" s="87">
        <f>B6+B43</f>
        <v>11.75</v>
      </c>
      <c r="D21" s="33">
        <f t="shared" ref="D21:D26" si="10">B21*C21</f>
        <v>1360520.75</v>
      </c>
      <c r="E21" s="8"/>
      <c r="F21" s="48">
        <v>37052</v>
      </c>
      <c r="G21" s="75">
        <v>3.5350000000000001</v>
      </c>
      <c r="H21" s="92">
        <v>5470</v>
      </c>
      <c r="I21" s="46">
        <f t="shared" si="4"/>
        <v>10533</v>
      </c>
      <c r="J21" s="47">
        <f t="shared" si="5"/>
        <v>3000</v>
      </c>
      <c r="K21" s="47">
        <f t="shared" si="6"/>
        <v>3500</v>
      </c>
      <c r="L21" s="76">
        <f t="shared" si="7"/>
        <v>4033</v>
      </c>
      <c r="M21" s="76">
        <v>0</v>
      </c>
      <c r="N21" s="93">
        <f t="shared" si="9"/>
        <v>0</v>
      </c>
      <c r="O21" s="31">
        <f t="shared" si="8"/>
        <v>-5063</v>
      </c>
      <c r="P21" s="49">
        <f t="shared" si="0"/>
        <v>0</v>
      </c>
      <c r="Q21" s="50">
        <f t="shared" si="1"/>
        <v>0</v>
      </c>
      <c r="R21" s="49">
        <f t="shared" si="2"/>
        <v>-5063</v>
      </c>
      <c r="S21" s="34">
        <f t="shared" si="3"/>
        <v>-17897.705000000002</v>
      </c>
    </row>
    <row r="22" spans="1:19" x14ac:dyDescent="0.25">
      <c r="A22" t="s">
        <v>51</v>
      </c>
      <c r="B22" s="9">
        <f>M43</f>
        <v>5201</v>
      </c>
      <c r="C22" s="97">
        <f>B7+0.05+B47</f>
        <v>3.3118319999999999</v>
      </c>
      <c r="D22" s="33">
        <f t="shared" si="10"/>
        <v>17224.838231999998</v>
      </c>
      <c r="F22" s="48">
        <v>37053</v>
      </c>
      <c r="G22" s="75">
        <v>3.5350000000000001</v>
      </c>
      <c r="H22" s="76">
        <v>3320</v>
      </c>
      <c r="I22" s="46">
        <f t="shared" si="4"/>
        <v>10533</v>
      </c>
      <c r="J22" s="47">
        <f t="shared" si="5"/>
        <v>3000</v>
      </c>
      <c r="K22" s="47">
        <f t="shared" si="6"/>
        <v>3500</v>
      </c>
      <c r="L22" s="76">
        <f t="shared" si="7"/>
        <v>4033</v>
      </c>
      <c r="M22" s="76">
        <v>0</v>
      </c>
      <c r="N22" s="76">
        <v>0</v>
      </c>
      <c r="O22" s="31">
        <f t="shared" si="8"/>
        <v>-7213</v>
      </c>
      <c r="P22" s="49">
        <f t="shared" si="0"/>
        <v>0</v>
      </c>
      <c r="Q22" s="50">
        <f t="shared" si="1"/>
        <v>0</v>
      </c>
      <c r="R22" s="49">
        <f t="shared" si="2"/>
        <v>-7213</v>
      </c>
      <c r="S22" s="34">
        <f t="shared" si="3"/>
        <v>-25497.955000000002</v>
      </c>
    </row>
    <row r="23" spans="1:19" x14ac:dyDescent="0.25">
      <c r="A23" t="s">
        <v>40</v>
      </c>
      <c r="B23" s="81">
        <f>500*B5</f>
        <v>15000</v>
      </c>
      <c r="C23" s="70">
        <v>7.63</v>
      </c>
      <c r="D23" s="33">
        <f t="shared" si="10"/>
        <v>114450</v>
      </c>
      <c r="F23" s="48">
        <v>37054</v>
      </c>
      <c r="G23" s="75">
        <v>6.7350000000000003</v>
      </c>
      <c r="H23" s="76">
        <v>3016</v>
      </c>
      <c r="I23" s="46">
        <f t="shared" si="4"/>
        <v>10533</v>
      </c>
      <c r="J23" s="47">
        <f t="shared" si="5"/>
        <v>3000</v>
      </c>
      <c r="K23" s="47">
        <f t="shared" si="6"/>
        <v>3500</v>
      </c>
      <c r="L23" s="76">
        <f t="shared" si="7"/>
        <v>3886</v>
      </c>
      <c r="M23" s="76">
        <v>147</v>
      </c>
      <c r="N23" s="76">
        <v>0</v>
      </c>
      <c r="O23" s="31">
        <f t="shared" si="8"/>
        <v>-7517</v>
      </c>
      <c r="P23" s="49">
        <f t="shared" si="0"/>
        <v>0</v>
      </c>
      <c r="Q23" s="50">
        <f t="shared" si="1"/>
        <v>0</v>
      </c>
      <c r="R23" s="49">
        <f t="shared" si="2"/>
        <v>-7517</v>
      </c>
      <c r="S23" s="34">
        <f t="shared" si="3"/>
        <v>-50626.995000000003</v>
      </c>
    </row>
    <row r="24" spans="1:19" x14ac:dyDescent="0.25">
      <c r="A24" t="s">
        <v>40</v>
      </c>
      <c r="B24" s="81">
        <f>1000*B5</f>
        <v>30000</v>
      </c>
      <c r="C24" s="70">
        <v>7.71</v>
      </c>
      <c r="D24" s="33">
        <f t="shared" si="10"/>
        <v>231300</v>
      </c>
      <c r="F24" s="48">
        <v>37055</v>
      </c>
      <c r="G24" s="75">
        <v>7.5949999999999998</v>
      </c>
      <c r="H24" s="76">
        <v>2299</v>
      </c>
      <c r="I24" s="46">
        <f t="shared" si="4"/>
        <v>10533</v>
      </c>
      <c r="J24" s="47">
        <f t="shared" si="5"/>
        <v>3000</v>
      </c>
      <c r="K24" s="47">
        <f t="shared" si="6"/>
        <v>3500</v>
      </c>
      <c r="L24" s="76">
        <f t="shared" si="7"/>
        <v>3981</v>
      </c>
      <c r="M24" s="76">
        <v>52</v>
      </c>
      <c r="N24" s="76">
        <v>0</v>
      </c>
      <c r="O24" s="31">
        <f t="shared" si="8"/>
        <v>-8234</v>
      </c>
      <c r="P24" s="49">
        <f t="shared" si="0"/>
        <v>0</v>
      </c>
      <c r="Q24" s="50">
        <f t="shared" si="1"/>
        <v>0</v>
      </c>
      <c r="R24" s="49">
        <f t="shared" si="2"/>
        <v>-8234</v>
      </c>
      <c r="S24" s="34">
        <f t="shared" si="3"/>
        <v>-62537.229999999996</v>
      </c>
    </row>
    <row r="25" spans="1:19" x14ac:dyDescent="0.25">
      <c r="A25" t="s">
        <v>40</v>
      </c>
      <c r="B25" s="81">
        <f>1000*B5</f>
        <v>30000</v>
      </c>
      <c r="C25" s="70">
        <v>6.1379999999999999</v>
      </c>
      <c r="D25" s="33">
        <f t="shared" si="10"/>
        <v>184140</v>
      </c>
      <c r="F25" s="48">
        <v>37056</v>
      </c>
      <c r="G25" s="75">
        <v>8.4700000000000006</v>
      </c>
      <c r="H25" s="76">
        <v>5651</v>
      </c>
      <c r="I25" s="46">
        <f t="shared" si="4"/>
        <v>10533</v>
      </c>
      <c r="J25" s="47">
        <f t="shared" si="5"/>
        <v>3000</v>
      </c>
      <c r="K25" s="47">
        <f t="shared" si="6"/>
        <v>3500</v>
      </c>
      <c r="L25" s="76">
        <f t="shared" si="7"/>
        <v>4033</v>
      </c>
      <c r="M25" s="76">
        <v>0</v>
      </c>
      <c r="N25" s="76">
        <v>0</v>
      </c>
      <c r="O25" s="31">
        <f t="shared" si="8"/>
        <v>-4882</v>
      </c>
      <c r="P25" s="49">
        <f t="shared" si="0"/>
        <v>0</v>
      </c>
      <c r="Q25" s="50">
        <f t="shared" si="1"/>
        <v>0</v>
      </c>
      <c r="R25" s="49">
        <f t="shared" si="2"/>
        <v>-4882</v>
      </c>
      <c r="S25" s="34">
        <f t="shared" si="3"/>
        <v>-41350.54</v>
      </c>
    </row>
    <row r="26" spans="1:19" x14ac:dyDescent="0.25">
      <c r="A26" t="s">
        <v>40</v>
      </c>
      <c r="B26" s="81">
        <f>1000*B5</f>
        <v>30000</v>
      </c>
      <c r="C26" s="70">
        <v>5.4880000000000004</v>
      </c>
      <c r="D26" s="33">
        <f t="shared" si="10"/>
        <v>164640</v>
      </c>
      <c r="F26" s="48">
        <v>37057</v>
      </c>
      <c r="G26" s="75">
        <v>6.9</v>
      </c>
      <c r="H26" s="76">
        <v>5027</v>
      </c>
      <c r="I26" s="46">
        <f t="shared" si="4"/>
        <v>10533</v>
      </c>
      <c r="J26" s="47">
        <f t="shared" si="5"/>
        <v>3000</v>
      </c>
      <c r="K26" s="47">
        <f t="shared" si="6"/>
        <v>3500</v>
      </c>
      <c r="L26" s="76">
        <f t="shared" si="7"/>
        <v>4033</v>
      </c>
      <c r="M26" s="76">
        <v>0</v>
      </c>
      <c r="N26" s="76">
        <v>0</v>
      </c>
      <c r="O26" s="31">
        <f t="shared" si="8"/>
        <v>-5506</v>
      </c>
      <c r="P26" s="49">
        <f t="shared" si="0"/>
        <v>0</v>
      </c>
      <c r="Q26" s="50">
        <f t="shared" si="1"/>
        <v>0</v>
      </c>
      <c r="R26" s="49">
        <f t="shared" si="2"/>
        <v>-5506</v>
      </c>
      <c r="S26" s="34">
        <f t="shared" si="3"/>
        <v>-37991.4</v>
      </c>
    </row>
    <row r="27" spans="1:19" x14ac:dyDescent="0.25">
      <c r="B27" s="9"/>
      <c r="C27" s="14"/>
      <c r="D27" s="33"/>
      <c r="F27" s="48">
        <v>37058</v>
      </c>
      <c r="G27" s="75">
        <v>3.7349999999999999</v>
      </c>
      <c r="H27" s="76">
        <v>4968</v>
      </c>
      <c r="I27" s="46">
        <f t="shared" si="4"/>
        <v>10533</v>
      </c>
      <c r="J27" s="47">
        <f t="shared" si="5"/>
        <v>3000</v>
      </c>
      <c r="K27" s="47">
        <f t="shared" si="6"/>
        <v>3500</v>
      </c>
      <c r="L27" s="76">
        <f t="shared" si="7"/>
        <v>4033</v>
      </c>
      <c r="M27" s="76">
        <v>0</v>
      </c>
      <c r="N27" s="76">
        <v>0</v>
      </c>
      <c r="O27" s="31">
        <f t="shared" si="8"/>
        <v>-5565</v>
      </c>
      <c r="P27" s="49">
        <f t="shared" si="0"/>
        <v>0</v>
      </c>
      <c r="Q27" s="50">
        <f t="shared" si="1"/>
        <v>0</v>
      </c>
      <c r="R27" s="49">
        <f t="shared" si="2"/>
        <v>-5565</v>
      </c>
      <c r="S27" s="34">
        <f t="shared" si="3"/>
        <v>-20785.274999999998</v>
      </c>
    </row>
    <row r="28" spans="1:19" x14ac:dyDescent="0.25">
      <c r="A28" t="s">
        <v>50</v>
      </c>
      <c r="B28" s="94">
        <f>-N43</f>
        <v>0</v>
      </c>
      <c r="C28" s="95">
        <v>0</v>
      </c>
      <c r="D28" s="33">
        <f>B28*C28</f>
        <v>0</v>
      </c>
      <c r="F28" s="48">
        <v>37059</v>
      </c>
      <c r="G28" s="75">
        <v>3.7349999999999999</v>
      </c>
      <c r="H28" s="76">
        <v>4135</v>
      </c>
      <c r="I28" s="46">
        <f t="shared" si="4"/>
        <v>10533</v>
      </c>
      <c r="J28" s="47">
        <f t="shared" si="5"/>
        <v>3000</v>
      </c>
      <c r="K28" s="47">
        <f t="shared" si="6"/>
        <v>3500</v>
      </c>
      <c r="L28" s="76">
        <f t="shared" si="7"/>
        <v>4033</v>
      </c>
      <c r="M28" s="76">
        <v>0</v>
      </c>
      <c r="N28" s="76">
        <v>0</v>
      </c>
      <c r="O28" s="31">
        <f t="shared" si="8"/>
        <v>-6398</v>
      </c>
      <c r="P28" s="49">
        <f t="shared" si="0"/>
        <v>0</v>
      </c>
      <c r="Q28" s="50">
        <f t="shared" si="1"/>
        <v>0</v>
      </c>
      <c r="R28" s="49">
        <f t="shared" si="2"/>
        <v>-6398</v>
      </c>
      <c r="S28" s="34">
        <f t="shared" si="3"/>
        <v>-23896.53</v>
      </c>
    </row>
    <row r="29" spans="1:19" x14ac:dyDescent="0.25">
      <c r="A29" t="s">
        <v>41</v>
      </c>
      <c r="B29" s="39">
        <f>P43</f>
        <v>0</v>
      </c>
      <c r="C29" s="13" t="e">
        <f>D29/B29</f>
        <v>#DIV/0!</v>
      </c>
      <c r="D29" s="33">
        <f>Q43</f>
        <v>0</v>
      </c>
      <c r="F29" s="48">
        <v>37060</v>
      </c>
      <c r="G29" s="75">
        <v>3.7349999999999999</v>
      </c>
      <c r="H29" s="76">
        <v>5919</v>
      </c>
      <c r="I29" s="46">
        <f t="shared" si="4"/>
        <v>10533</v>
      </c>
      <c r="J29" s="47">
        <f t="shared" si="5"/>
        <v>3000</v>
      </c>
      <c r="K29" s="47">
        <f t="shared" si="6"/>
        <v>3500</v>
      </c>
      <c r="L29" s="76">
        <f t="shared" si="7"/>
        <v>4033</v>
      </c>
      <c r="M29" s="76">
        <v>0</v>
      </c>
      <c r="N29" s="76">
        <v>0</v>
      </c>
      <c r="O29" s="31">
        <f t="shared" si="8"/>
        <v>-4614</v>
      </c>
      <c r="P29" s="49">
        <f t="shared" si="0"/>
        <v>0</v>
      </c>
      <c r="Q29" s="50">
        <f t="shared" si="1"/>
        <v>0</v>
      </c>
      <c r="R29" s="49">
        <f t="shared" si="2"/>
        <v>-4614</v>
      </c>
      <c r="S29" s="34">
        <f t="shared" si="3"/>
        <v>-17233.29</v>
      </c>
    </row>
    <row r="30" spans="1:19" x14ac:dyDescent="0.25">
      <c r="A30" t="s">
        <v>42</v>
      </c>
      <c r="B30" s="40">
        <f>R43</f>
        <v>-163902</v>
      </c>
      <c r="C30" s="13">
        <f>D30/B30</f>
        <v>6.3334096899366727</v>
      </c>
      <c r="D30" s="89">
        <f>S43</f>
        <v>-1038058.5150000005</v>
      </c>
      <c r="E30" s="8"/>
      <c r="F30" s="48">
        <v>37061</v>
      </c>
      <c r="G30" s="75">
        <v>8.25</v>
      </c>
      <c r="H30" s="76">
        <v>6499</v>
      </c>
      <c r="I30" s="46">
        <f t="shared" si="4"/>
        <v>10533</v>
      </c>
      <c r="J30" s="47">
        <f t="shared" si="5"/>
        <v>3000</v>
      </c>
      <c r="K30" s="47">
        <f t="shared" si="6"/>
        <v>3500</v>
      </c>
      <c r="L30" s="76">
        <f t="shared" si="7"/>
        <v>4033</v>
      </c>
      <c r="M30" s="76">
        <v>0</v>
      </c>
      <c r="N30" s="76">
        <v>0</v>
      </c>
      <c r="O30" s="31">
        <f t="shared" si="8"/>
        <v>-4034</v>
      </c>
      <c r="P30" s="49">
        <f t="shared" si="0"/>
        <v>0</v>
      </c>
      <c r="Q30" s="50">
        <f t="shared" si="1"/>
        <v>0</v>
      </c>
      <c r="R30" s="49">
        <f t="shared" si="2"/>
        <v>-4034</v>
      </c>
      <c r="S30" s="34">
        <f t="shared" si="3"/>
        <v>-33280.5</v>
      </c>
    </row>
    <row r="31" spans="1:19" x14ac:dyDescent="0.25">
      <c r="A31" t="s">
        <v>12</v>
      </c>
      <c r="B31" s="67">
        <f>SUM(B21:B30)</f>
        <v>62088</v>
      </c>
      <c r="D31" s="33">
        <f>SUM(D21:D30)</f>
        <v>1034217.0732319994</v>
      </c>
      <c r="F31" s="48">
        <v>37062</v>
      </c>
      <c r="G31" s="75">
        <v>7.335</v>
      </c>
      <c r="H31" s="76">
        <v>5922</v>
      </c>
      <c r="I31" s="46">
        <f t="shared" si="4"/>
        <v>10533</v>
      </c>
      <c r="J31" s="47">
        <f t="shared" si="5"/>
        <v>3000</v>
      </c>
      <c r="K31" s="47">
        <f>K30</f>
        <v>3500</v>
      </c>
      <c r="L31" s="76">
        <f t="shared" si="7"/>
        <v>4033</v>
      </c>
      <c r="M31" s="76">
        <v>0</v>
      </c>
      <c r="N31" s="76">
        <v>0</v>
      </c>
      <c r="O31" s="31">
        <f t="shared" si="8"/>
        <v>-4611</v>
      </c>
      <c r="P31" s="49">
        <f t="shared" si="0"/>
        <v>0</v>
      </c>
      <c r="Q31" s="50">
        <f t="shared" si="1"/>
        <v>0</v>
      </c>
      <c r="R31" s="49">
        <f t="shared" si="2"/>
        <v>-4611</v>
      </c>
      <c r="S31" s="34">
        <f t="shared" si="3"/>
        <v>-33821.684999999998</v>
      </c>
    </row>
    <row r="32" spans="1:19" x14ac:dyDescent="0.25">
      <c r="B32" s="11"/>
      <c r="C32" s="16"/>
      <c r="D32" s="32"/>
      <c r="F32" s="48">
        <v>37063</v>
      </c>
      <c r="G32" s="75">
        <v>6.89</v>
      </c>
      <c r="H32" s="76">
        <v>4652</v>
      </c>
      <c r="I32" s="46">
        <f t="shared" si="4"/>
        <v>10533</v>
      </c>
      <c r="J32" s="47">
        <f t="shared" si="5"/>
        <v>3000</v>
      </c>
      <c r="K32" s="47">
        <f t="shared" si="6"/>
        <v>3500</v>
      </c>
      <c r="L32" s="76">
        <f t="shared" si="7"/>
        <v>4033</v>
      </c>
      <c r="M32" s="76">
        <v>0</v>
      </c>
      <c r="N32" s="76">
        <v>0</v>
      </c>
      <c r="O32" s="31">
        <f t="shared" si="8"/>
        <v>-5881</v>
      </c>
      <c r="P32" s="49">
        <f t="shared" si="0"/>
        <v>0</v>
      </c>
      <c r="Q32" s="50">
        <f t="shared" si="1"/>
        <v>0</v>
      </c>
      <c r="R32" s="49">
        <f t="shared" si="2"/>
        <v>-5881</v>
      </c>
      <c r="S32" s="34">
        <f t="shared" si="3"/>
        <v>-40520.089999999997</v>
      </c>
    </row>
    <row r="33" spans="1:19" x14ac:dyDescent="0.25">
      <c r="A33" s="45" t="s">
        <v>44</v>
      </c>
      <c r="F33" s="48">
        <v>37064</v>
      </c>
      <c r="G33" s="75">
        <v>6.54</v>
      </c>
      <c r="H33" s="76">
        <v>5523</v>
      </c>
      <c r="I33" s="46">
        <f t="shared" si="4"/>
        <v>10533</v>
      </c>
      <c r="J33" s="47">
        <f t="shared" si="5"/>
        <v>3000</v>
      </c>
      <c r="K33" s="47">
        <f>K32</f>
        <v>3500</v>
      </c>
      <c r="L33" s="76">
        <f t="shared" si="7"/>
        <v>4033</v>
      </c>
      <c r="M33" s="76">
        <v>0</v>
      </c>
      <c r="N33" s="76">
        <v>0</v>
      </c>
      <c r="O33" s="31">
        <f t="shared" si="8"/>
        <v>-5010</v>
      </c>
      <c r="P33" s="49">
        <f t="shared" si="0"/>
        <v>0</v>
      </c>
      <c r="Q33" s="50">
        <f t="shared" si="1"/>
        <v>0</v>
      </c>
      <c r="R33" s="49">
        <f t="shared" si="2"/>
        <v>-5010</v>
      </c>
      <c r="S33" s="34">
        <f t="shared" si="3"/>
        <v>-32765.4</v>
      </c>
    </row>
    <row r="34" spans="1:19" x14ac:dyDescent="0.25">
      <c r="A34" t="s">
        <v>13</v>
      </c>
      <c r="B34" s="83">
        <v>119772</v>
      </c>
      <c r="C34" s="60">
        <f>B6+B45</f>
        <v>11.739999999999998</v>
      </c>
      <c r="D34" s="32">
        <f>C34*-B34</f>
        <v>-1406123.2799999998</v>
      </c>
      <c r="F34" s="48">
        <v>37065</v>
      </c>
      <c r="G34" s="75">
        <v>3.88</v>
      </c>
      <c r="H34" s="76">
        <v>5130</v>
      </c>
      <c r="I34" s="46">
        <f t="shared" si="4"/>
        <v>10533</v>
      </c>
      <c r="J34" s="47">
        <f t="shared" si="5"/>
        <v>3000</v>
      </c>
      <c r="K34" s="47">
        <f t="shared" si="6"/>
        <v>3500</v>
      </c>
      <c r="L34" s="76">
        <f t="shared" si="7"/>
        <v>4033</v>
      </c>
      <c r="M34" s="76">
        <v>0</v>
      </c>
      <c r="N34" s="76">
        <v>0</v>
      </c>
      <c r="O34" s="31">
        <f t="shared" si="8"/>
        <v>-5403</v>
      </c>
      <c r="P34" s="49">
        <f t="shared" si="0"/>
        <v>0</v>
      </c>
      <c r="Q34" s="50">
        <f t="shared" si="1"/>
        <v>0</v>
      </c>
      <c r="R34" s="49">
        <f t="shared" si="2"/>
        <v>-5403</v>
      </c>
      <c r="S34" s="34">
        <f t="shared" si="3"/>
        <v>-20963.64</v>
      </c>
    </row>
    <row r="35" spans="1:19" x14ac:dyDescent="0.25">
      <c r="B35" s="9"/>
      <c r="D35" s="33"/>
      <c r="F35" s="48">
        <v>37066</v>
      </c>
      <c r="G35" s="75">
        <v>3.88</v>
      </c>
      <c r="H35" s="76">
        <v>7486</v>
      </c>
      <c r="I35" s="46">
        <f t="shared" si="4"/>
        <v>10533</v>
      </c>
      <c r="J35" s="47">
        <f t="shared" si="5"/>
        <v>3000</v>
      </c>
      <c r="K35" s="47">
        <f t="shared" si="6"/>
        <v>3500</v>
      </c>
      <c r="L35" s="76">
        <f t="shared" si="7"/>
        <v>4033</v>
      </c>
      <c r="M35" s="76">
        <v>0</v>
      </c>
      <c r="N35" s="76">
        <v>0</v>
      </c>
      <c r="O35" s="31">
        <f t="shared" si="8"/>
        <v>-3047</v>
      </c>
      <c r="P35" s="49">
        <f t="shared" si="0"/>
        <v>0</v>
      </c>
      <c r="Q35" s="50">
        <f t="shared" si="1"/>
        <v>0</v>
      </c>
      <c r="R35" s="49">
        <f t="shared" si="2"/>
        <v>-3047</v>
      </c>
      <c r="S35" s="34">
        <f t="shared" si="3"/>
        <v>-11822.36</v>
      </c>
    </row>
    <row r="36" spans="1:19" x14ac:dyDescent="0.25">
      <c r="A36" s="45" t="s">
        <v>38</v>
      </c>
      <c r="B36" s="11"/>
      <c r="C36" s="16"/>
      <c r="D36" s="28"/>
      <c r="F36" s="48">
        <v>37067</v>
      </c>
      <c r="G36" s="75">
        <v>3.88</v>
      </c>
      <c r="H36" s="76">
        <v>8348</v>
      </c>
      <c r="I36" s="46">
        <f t="shared" si="4"/>
        <v>10533</v>
      </c>
      <c r="J36" s="47">
        <f t="shared" si="5"/>
        <v>3000</v>
      </c>
      <c r="K36" s="47">
        <f t="shared" si="6"/>
        <v>3500</v>
      </c>
      <c r="L36" s="76">
        <f t="shared" si="7"/>
        <v>4033</v>
      </c>
      <c r="M36" s="76">
        <v>0</v>
      </c>
      <c r="N36" s="76">
        <v>0</v>
      </c>
      <c r="O36" s="31">
        <f t="shared" si="8"/>
        <v>-2185</v>
      </c>
      <c r="P36" s="49">
        <f t="shared" si="0"/>
        <v>0</v>
      </c>
      <c r="Q36" s="50">
        <f t="shared" si="1"/>
        <v>0</v>
      </c>
      <c r="R36" s="49">
        <f t="shared" si="2"/>
        <v>-2185</v>
      </c>
      <c r="S36" s="34">
        <f t="shared" si="3"/>
        <v>-8477.7999999999993</v>
      </c>
    </row>
    <row r="37" spans="1:19" x14ac:dyDescent="0.25">
      <c r="A37" t="s">
        <v>27</v>
      </c>
      <c r="B37" s="96">
        <f>2486*B5</f>
        <v>74580</v>
      </c>
      <c r="C37" s="98">
        <v>2.4</v>
      </c>
      <c r="D37" s="28">
        <f>-B37*C37</f>
        <v>-178992</v>
      </c>
      <c r="F37" s="48">
        <v>37068</v>
      </c>
      <c r="G37" s="75">
        <v>6.0549999999999997</v>
      </c>
      <c r="H37" s="76">
        <v>7481</v>
      </c>
      <c r="I37" s="46">
        <f t="shared" si="4"/>
        <v>10533</v>
      </c>
      <c r="J37" s="47">
        <f t="shared" si="5"/>
        <v>3000</v>
      </c>
      <c r="K37" s="47">
        <f t="shared" si="6"/>
        <v>3500</v>
      </c>
      <c r="L37" s="76">
        <f t="shared" si="7"/>
        <v>4033</v>
      </c>
      <c r="M37" s="76">
        <v>0</v>
      </c>
      <c r="N37" s="76">
        <v>0</v>
      </c>
      <c r="O37" s="31">
        <f t="shared" si="8"/>
        <v>-3052</v>
      </c>
      <c r="P37" s="49">
        <f t="shared" si="0"/>
        <v>0</v>
      </c>
      <c r="Q37" s="50">
        <f t="shared" si="1"/>
        <v>0</v>
      </c>
      <c r="R37" s="49">
        <f t="shared" si="2"/>
        <v>-3052</v>
      </c>
      <c r="S37" s="34">
        <f t="shared" si="3"/>
        <v>-18479.86</v>
      </c>
    </row>
    <row r="38" spans="1:19" x14ac:dyDescent="0.25">
      <c r="A38" t="s">
        <v>54</v>
      </c>
      <c r="B38" s="83">
        <v>37377</v>
      </c>
      <c r="C38" s="60">
        <f>B49</f>
        <v>0.14783200000000002</v>
      </c>
      <c r="D38" s="28">
        <f>-B38*C38</f>
        <v>-5525.5166640000007</v>
      </c>
      <c r="F38" s="48">
        <v>37069</v>
      </c>
      <c r="G38" s="75">
        <v>4.6849999999999996</v>
      </c>
      <c r="H38" s="76">
        <v>5154</v>
      </c>
      <c r="I38" s="46">
        <f t="shared" si="4"/>
        <v>10533</v>
      </c>
      <c r="J38" s="47">
        <f t="shared" si="5"/>
        <v>3000</v>
      </c>
      <c r="K38" s="47">
        <f t="shared" si="6"/>
        <v>3500</v>
      </c>
      <c r="L38" s="76">
        <f t="shared" si="7"/>
        <v>4033</v>
      </c>
      <c r="M38" s="76">
        <v>0</v>
      </c>
      <c r="N38" s="76">
        <v>0</v>
      </c>
      <c r="O38" s="31">
        <f t="shared" si="8"/>
        <v>-5379</v>
      </c>
      <c r="P38" s="49">
        <f t="shared" si="0"/>
        <v>0</v>
      </c>
      <c r="Q38" s="50">
        <f t="shared" si="1"/>
        <v>0</v>
      </c>
      <c r="R38" s="49">
        <f t="shared" si="2"/>
        <v>-5379</v>
      </c>
      <c r="S38" s="34">
        <f t="shared" si="3"/>
        <v>-25200.614999999998</v>
      </c>
    </row>
    <row r="39" spans="1:19" x14ac:dyDescent="0.25">
      <c r="B39" s="11"/>
      <c r="C39" s="13"/>
      <c r="D39" s="29"/>
      <c r="F39" s="48">
        <v>37070</v>
      </c>
      <c r="G39" s="75">
        <v>4.68</v>
      </c>
      <c r="H39" s="76">
        <v>4757</v>
      </c>
      <c r="I39" s="46">
        <f t="shared" si="4"/>
        <v>10533</v>
      </c>
      <c r="J39" s="47">
        <f t="shared" si="5"/>
        <v>3000</v>
      </c>
      <c r="K39" s="47">
        <f t="shared" si="6"/>
        <v>3500</v>
      </c>
      <c r="L39" s="76">
        <f t="shared" si="7"/>
        <v>4033</v>
      </c>
      <c r="M39" s="76">
        <v>0</v>
      </c>
      <c r="N39" s="76">
        <v>0</v>
      </c>
      <c r="O39" s="31">
        <f t="shared" si="8"/>
        <v>-5776</v>
      </c>
      <c r="P39" s="49">
        <f t="shared" si="0"/>
        <v>0</v>
      </c>
      <c r="Q39" s="50">
        <f t="shared" si="1"/>
        <v>0</v>
      </c>
      <c r="R39" s="49">
        <f t="shared" si="2"/>
        <v>-5776</v>
      </c>
      <c r="S39" s="34">
        <f t="shared" si="3"/>
        <v>-27031.679999999997</v>
      </c>
    </row>
    <row r="40" spans="1:19" ht="13.8" thickBot="1" x14ac:dyDescent="0.3">
      <c r="A40" s="6" t="s">
        <v>45</v>
      </c>
      <c r="B40" s="11"/>
      <c r="C40" s="13"/>
      <c r="D40" s="66">
        <f>SUM(D31:D38)</f>
        <v>-556423.72343200038</v>
      </c>
      <c r="F40" s="48">
        <v>37071</v>
      </c>
      <c r="G40" s="75">
        <v>4.3099999999999996</v>
      </c>
      <c r="H40" s="76">
        <v>6195</v>
      </c>
      <c r="I40" s="46">
        <f t="shared" si="4"/>
        <v>10533</v>
      </c>
      <c r="J40" s="47">
        <f t="shared" si="5"/>
        <v>3000</v>
      </c>
      <c r="K40" s="47">
        <f t="shared" si="6"/>
        <v>3500</v>
      </c>
      <c r="L40" s="76">
        <f t="shared" si="7"/>
        <v>4033</v>
      </c>
      <c r="M40" s="76">
        <v>0</v>
      </c>
      <c r="N40" s="76">
        <v>0</v>
      </c>
      <c r="O40" s="31">
        <f t="shared" si="8"/>
        <v>-4338</v>
      </c>
      <c r="P40" s="49">
        <f t="shared" si="0"/>
        <v>0</v>
      </c>
      <c r="Q40" s="50">
        <f t="shared" si="1"/>
        <v>0</v>
      </c>
      <c r="R40" s="49">
        <f t="shared" si="2"/>
        <v>-4338</v>
      </c>
      <c r="S40" s="34">
        <f t="shared" si="3"/>
        <v>-18696.78</v>
      </c>
    </row>
    <row r="41" spans="1:19" ht="13.8" thickTop="1" x14ac:dyDescent="0.25">
      <c r="B41" s="11"/>
      <c r="C41" s="8"/>
      <c r="F41" s="48">
        <v>37072</v>
      </c>
      <c r="G41" s="75">
        <v>4.3099999999999996</v>
      </c>
      <c r="H41" s="76">
        <v>6976</v>
      </c>
      <c r="I41" s="46">
        <f t="shared" si="4"/>
        <v>10533</v>
      </c>
      <c r="J41" s="47">
        <f t="shared" si="5"/>
        <v>3000</v>
      </c>
      <c r="K41" s="47">
        <f t="shared" si="6"/>
        <v>3500</v>
      </c>
      <c r="L41" s="76">
        <f t="shared" si="7"/>
        <v>4033</v>
      </c>
      <c r="M41" s="76">
        <v>0</v>
      </c>
      <c r="N41" s="76">
        <v>0</v>
      </c>
      <c r="O41" s="31">
        <f t="shared" si="8"/>
        <v>-3557</v>
      </c>
      <c r="P41" s="49">
        <f t="shared" si="0"/>
        <v>0</v>
      </c>
      <c r="Q41" s="50">
        <f t="shared" si="1"/>
        <v>0</v>
      </c>
      <c r="R41" s="49">
        <f t="shared" si="2"/>
        <v>-3557</v>
      </c>
      <c r="S41" s="34">
        <f t="shared" si="3"/>
        <v>-15330.669999999998</v>
      </c>
    </row>
    <row r="42" spans="1:19" ht="13.8" thickBot="1" x14ac:dyDescent="0.3">
      <c r="A42" s="6"/>
      <c r="B42" s="65" t="s">
        <v>4</v>
      </c>
      <c r="F42" s="48"/>
      <c r="G42" s="77"/>
      <c r="H42" s="78"/>
      <c r="I42" s="71"/>
      <c r="J42" s="79"/>
      <c r="K42" s="79"/>
      <c r="L42" s="78"/>
      <c r="M42" s="78"/>
      <c r="N42" s="78"/>
      <c r="O42" s="80"/>
      <c r="P42" s="72">
        <f t="shared" si="0"/>
        <v>0</v>
      </c>
      <c r="Q42" s="73">
        <f t="shared" si="1"/>
        <v>0</v>
      </c>
      <c r="R42" s="72">
        <f t="shared" si="2"/>
        <v>0</v>
      </c>
      <c r="S42" s="74">
        <f t="shared" si="3"/>
        <v>0</v>
      </c>
    </row>
    <row r="43" spans="1:19" x14ac:dyDescent="0.25">
      <c r="A43" t="s">
        <v>34</v>
      </c>
      <c r="B43" s="41">
        <v>0.05</v>
      </c>
      <c r="F43" s="25" t="s">
        <v>14</v>
      </c>
      <c r="G43" s="64" t="s">
        <v>30</v>
      </c>
      <c r="H43" s="46">
        <f t="shared" ref="H43:S43" si="11">SUM(H12:H42)</f>
        <v>152088</v>
      </c>
      <c r="I43" s="46">
        <f t="shared" si="11"/>
        <v>315990</v>
      </c>
      <c r="J43" s="46">
        <f t="shared" si="11"/>
        <v>90000</v>
      </c>
      <c r="K43" s="46">
        <f t="shared" si="11"/>
        <v>105000</v>
      </c>
      <c r="L43" s="46">
        <f t="shared" si="11"/>
        <v>115789</v>
      </c>
      <c r="M43" s="46">
        <f t="shared" si="11"/>
        <v>5201</v>
      </c>
      <c r="N43" s="46">
        <f>SUM(N12:N42)</f>
        <v>0</v>
      </c>
      <c r="O43" s="46">
        <f t="shared" si="11"/>
        <v>-163902</v>
      </c>
      <c r="P43" s="86">
        <f t="shared" si="11"/>
        <v>0</v>
      </c>
      <c r="Q43" s="12">
        <f t="shared" si="11"/>
        <v>0</v>
      </c>
      <c r="R43" s="30">
        <f t="shared" si="11"/>
        <v>-163902</v>
      </c>
      <c r="S43" s="12">
        <f t="shared" si="11"/>
        <v>-1038058.5150000005</v>
      </c>
    </row>
    <row r="44" spans="1:19" x14ac:dyDescent="0.25">
      <c r="O44" s="13">
        <f>+(Q43+S43)/O43</f>
        <v>6.3334096899366727</v>
      </c>
    </row>
    <row r="45" spans="1:19" x14ac:dyDescent="0.25">
      <c r="A45" t="s">
        <v>33</v>
      </c>
      <c r="B45" s="41">
        <v>0.04</v>
      </c>
      <c r="F45" s="91" t="s">
        <v>30</v>
      </c>
    </row>
    <row r="46" spans="1:19" x14ac:dyDescent="0.25">
      <c r="F46" s="91" t="s">
        <v>30</v>
      </c>
    </row>
    <row r="47" spans="1:19" x14ac:dyDescent="0.25">
      <c r="A47" t="s">
        <v>35</v>
      </c>
      <c r="B47" s="38">
        <f>0.0388*B7</f>
        <v>0.12183200000000001</v>
      </c>
    </row>
    <row r="48" spans="1:19" x14ac:dyDescent="0.25">
      <c r="A48" t="s">
        <v>36</v>
      </c>
      <c r="B48" s="41">
        <v>2.5999999999999999E-2</v>
      </c>
    </row>
    <row r="49" spans="1:5" x14ac:dyDescent="0.25">
      <c r="B49" s="88">
        <f>SUM(B47:B48)</f>
        <v>0.14783200000000002</v>
      </c>
    </row>
    <row r="53" spans="1:5" x14ac:dyDescent="0.25">
      <c r="B53" s="84">
        <f>B18-B31</f>
        <v>0</v>
      </c>
      <c r="C53" s="85"/>
      <c r="D53" s="85" t="s">
        <v>46</v>
      </c>
    </row>
    <row r="54" spans="1:5" x14ac:dyDescent="0.25">
      <c r="A54" s="17"/>
      <c r="B54" s="84">
        <f>I43-J43-K43-L43-M43</f>
        <v>0</v>
      </c>
      <c r="C54" s="85"/>
      <c r="D54" s="85" t="s">
        <v>46</v>
      </c>
    </row>
    <row r="56" spans="1:5" x14ac:dyDescent="0.25">
      <c r="A56" s="19"/>
      <c r="B56" s="11"/>
      <c r="C56" s="4"/>
      <c r="D56" s="18"/>
      <c r="E56" s="4"/>
    </row>
    <row r="57" spans="1:5" x14ac:dyDescent="0.25">
      <c r="B57" s="11"/>
      <c r="C57" s="20"/>
      <c r="D57" s="18"/>
      <c r="E57" s="4"/>
    </row>
    <row r="58" spans="1:5" x14ac:dyDescent="0.25">
      <c r="A58" s="4"/>
      <c r="B58" s="11"/>
      <c r="C58" s="2"/>
      <c r="D58" s="18"/>
      <c r="E58" s="4"/>
    </row>
    <row r="59" spans="1:5" x14ac:dyDescent="0.25">
      <c r="A59" s="4"/>
      <c r="B59" s="11"/>
      <c r="C59" s="2"/>
      <c r="D59" s="18"/>
      <c r="E59" s="4"/>
    </row>
    <row r="60" spans="1:5" x14ac:dyDescent="0.25">
      <c r="A60" s="4"/>
      <c r="B60" s="19"/>
      <c r="C60" s="23"/>
      <c r="D60" s="24"/>
      <c r="E60" s="26"/>
    </row>
    <row r="61" spans="1:5" x14ac:dyDescent="0.25">
      <c r="A61" s="4"/>
      <c r="B61" s="11"/>
      <c r="C61" s="21"/>
      <c r="D61" s="15"/>
      <c r="E61" s="4"/>
    </row>
    <row r="62" spans="1:5" x14ac:dyDescent="0.25">
      <c r="A62" s="4"/>
      <c r="B62" s="19"/>
      <c r="C62" s="21"/>
      <c r="D62" s="15"/>
      <c r="E62" s="4"/>
    </row>
    <row r="63" spans="1:5" x14ac:dyDescent="0.25">
      <c r="A63" s="4"/>
      <c r="B63" s="11"/>
      <c r="C63" s="2"/>
      <c r="D63" s="3"/>
      <c r="E63" s="4"/>
    </row>
    <row r="64" spans="1:5" x14ac:dyDescent="0.25">
      <c r="A64" s="4"/>
      <c r="B64" s="11"/>
      <c r="C64" s="2"/>
      <c r="D64" s="3"/>
      <c r="E64" s="4"/>
    </row>
    <row r="65" spans="1:5" x14ac:dyDescent="0.25">
      <c r="A65" s="4"/>
      <c r="E65" s="4"/>
    </row>
    <row r="66" spans="1:5" x14ac:dyDescent="0.25">
      <c r="A66" s="4"/>
      <c r="E66" s="4"/>
    </row>
    <row r="69" spans="1:5" x14ac:dyDescent="0.25">
      <c r="B69" s="42"/>
      <c r="C69" s="22"/>
    </row>
    <row r="70" spans="1:5" x14ac:dyDescent="0.25">
      <c r="C70" s="22"/>
    </row>
  </sheetData>
  <phoneticPr fontId="0" type="noConversion"/>
  <printOptions gridLines="1"/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Detail</vt:lpstr>
      <vt:lpstr>Detail!Print_Area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Havlíček Jan</cp:lastModifiedBy>
  <cp:lastPrinted>2001-11-26T13:41:05Z</cp:lastPrinted>
  <dcterms:created xsi:type="dcterms:W3CDTF">1999-07-01T15:58:30Z</dcterms:created>
  <dcterms:modified xsi:type="dcterms:W3CDTF">2023-09-10T15:37:50Z</dcterms:modified>
</cp:coreProperties>
</file>