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600" tabRatio="590"/>
  </bookViews>
  <sheets>
    <sheet name="PLAN00" sheetId="1" r:id="rId1"/>
  </sheets>
  <externalReferences>
    <externalReference r:id="rId2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PLAN00!#REF!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PLAN00!$A$114:$T$180</definedName>
    <definedName name="_xlnm.Print_Area" localSheetId="0">PLAN00!$A$3:$R$290</definedName>
    <definedName name="_xlnm.Print_Titles" localSheetId="0">PLAN00!$1:$10</definedName>
    <definedName name="R_ACT95">#REF!</definedName>
    <definedName name="RATES_ACT95">#REF!</definedName>
    <definedName name="REVENUE_PLAN97_A">PLAN00!$A$181:$T$290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PLAN00!$A$1:$N$290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PLAN00!$A$3:$R$290</definedName>
    <definedName name="VAR_ACT95">#REF!</definedName>
    <definedName name="VOLUME_CE">#REF!</definedName>
    <definedName name="VOLUME_EST">#REF!</definedName>
    <definedName name="VOLUME_PLAN">#REF!</definedName>
    <definedName name="VOLUME_PLAN97_A">PLAN00!$A$3:$T$112</definedName>
  </definedNames>
  <calcPr calcId="92512" fullCalcOnLoad="1"/>
</workbook>
</file>

<file path=xl/calcChain.xml><?xml version="1.0" encoding="utf-8"?>
<calcChain xmlns="http://schemas.openxmlformats.org/spreadsheetml/2006/main">
  <c r="N1" i="1" l="1"/>
  <c r="O1" i="1"/>
  <c r="P1" i="1"/>
  <c r="Q1" i="1"/>
  <c r="R1" i="1"/>
  <c r="B2" i="1"/>
  <c r="A7" i="1"/>
  <c r="A8" i="1"/>
  <c r="O9" i="1"/>
  <c r="P9" i="1"/>
  <c r="R9" i="1"/>
  <c r="P10" i="1"/>
  <c r="Q10" i="1"/>
  <c r="H14" i="1"/>
  <c r="N14" i="1"/>
  <c r="H15" i="1"/>
  <c r="I15" i="1"/>
  <c r="N15" i="1"/>
  <c r="I16" i="1"/>
  <c r="N16" i="1"/>
  <c r="D17" i="1"/>
  <c r="G17" i="1"/>
  <c r="I17" i="1"/>
  <c r="J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N21" i="1"/>
  <c r="L22" i="1"/>
  <c r="N22" i="1"/>
  <c r="N23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N28" i="1"/>
  <c r="N29" i="1"/>
  <c r="L30" i="1"/>
  <c r="M30" i="1"/>
  <c r="N30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L35" i="1"/>
  <c r="N35" i="1"/>
  <c r="L36" i="1"/>
  <c r="N36" i="1"/>
  <c r="M37" i="1"/>
  <c r="N37" i="1"/>
  <c r="N38" i="1"/>
  <c r="G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N46" i="1"/>
  <c r="F47" i="1"/>
  <c r="N47" i="1"/>
  <c r="N48" i="1"/>
  <c r="G49" i="1"/>
  <c r="I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L53" i="1"/>
  <c r="N53" i="1"/>
  <c r="L54" i="1"/>
  <c r="N54" i="1"/>
  <c r="M55" i="1"/>
  <c r="N55" i="1"/>
  <c r="D56" i="1"/>
  <c r="H56" i="1"/>
  <c r="J56" i="1"/>
  <c r="K56" i="1"/>
  <c r="M56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N61" i="1"/>
  <c r="N62" i="1"/>
  <c r="N63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N68" i="1"/>
  <c r="L69" i="1"/>
  <c r="N69" i="1"/>
  <c r="N70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L78" i="1"/>
  <c r="N78" i="1"/>
  <c r="L79" i="1"/>
  <c r="N79" i="1"/>
  <c r="N80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L85" i="1"/>
  <c r="N85" i="1"/>
  <c r="L86" i="1"/>
  <c r="N86" i="1"/>
  <c r="N87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N95" i="1"/>
  <c r="O95" i="1"/>
  <c r="P95" i="1"/>
  <c r="Q95" i="1"/>
  <c r="R95" i="1"/>
  <c r="D96" i="1"/>
  <c r="E96" i="1"/>
  <c r="G96" i="1"/>
  <c r="N96" i="1"/>
  <c r="O96" i="1"/>
  <c r="P96" i="1"/>
  <c r="Q96" i="1"/>
  <c r="R96" i="1"/>
  <c r="N97" i="1"/>
  <c r="O97" i="1"/>
  <c r="P97" i="1"/>
  <c r="Q97" i="1"/>
  <c r="R97" i="1"/>
  <c r="B98" i="1"/>
  <c r="C98" i="1"/>
  <c r="D98" i="1"/>
  <c r="E98" i="1"/>
  <c r="F98" i="1"/>
  <c r="G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O114" i="1"/>
  <c r="P114" i="1"/>
  <c r="R114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4" i="1"/>
  <c r="E184" i="1"/>
  <c r="F184" i="1"/>
  <c r="G184" i="1"/>
  <c r="H184" i="1"/>
  <c r="I184" i="1"/>
  <c r="J184" i="1"/>
  <c r="K184" i="1"/>
  <c r="L184" i="1"/>
  <c r="M184" i="1"/>
  <c r="N184" i="1"/>
  <c r="N185" i="1"/>
  <c r="B186" i="1"/>
  <c r="E186" i="1"/>
  <c r="H186" i="1"/>
  <c r="N186" i="1"/>
  <c r="H187" i="1"/>
  <c r="L187" i="1"/>
  <c r="N187" i="1"/>
  <c r="D188" i="1"/>
  <c r="G188" i="1"/>
  <c r="J188" i="1"/>
  <c r="M188" i="1"/>
  <c r="N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D192" i="1"/>
  <c r="E192" i="1"/>
  <c r="F192" i="1"/>
  <c r="G192" i="1"/>
  <c r="H192" i="1"/>
  <c r="I192" i="1"/>
  <c r="J192" i="1"/>
  <c r="K192" i="1"/>
  <c r="L192" i="1"/>
  <c r="M192" i="1"/>
  <c r="N192" i="1"/>
  <c r="L193" i="1"/>
  <c r="M193" i="1"/>
  <c r="N193" i="1"/>
  <c r="L194" i="1"/>
  <c r="N194" i="1"/>
  <c r="N195" i="1"/>
  <c r="K197" i="1"/>
  <c r="L197" i="1"/>
  <c r="M197" i="1"/>
  <c r="N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N201" i="1"/>
  <c r="N202" i="1"/>
  <c r="L203" i="1"/>
  <c r="M203" i="1"/>
  <c r="N203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7" i="1"/>
  <c r="P207" i="1"/>
  <c r="Q207" i="1"/>
  <c r="L208" i="1"/>
  <c r="N208" i="1"/>
  <c r="L209" i="1"/>
  <c r="N209" i="1"/>
  <c r="F210" i="1"/>
  <c r="K210" i="1"/>
  <c r="N210" i="1"/>
  <c r="N211" i="1"/>
  <c r="G212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C220" i="1"/>
  <c r="I220" i="1"/>
  <c r="J220" i="1"/>
  <c r="M220" i="1"/>
  <c r="N220" i="1"/>
  <c r="F221" i="1"/>
  <c r="G221" i="1"/>
  <c r="I221" i="1"/>
  <c r="N221" i="1"/>
  <c r="N222" i="1"/>
  <c r="G223" i="1"/>
  <c r="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6" i="1"/>
  <c r="P226" i="1"/>
  <c r="Q226" i="1"/>
  <c r="L227" i="1"/>
  <c r="N227" i="1"/>
  <c r="L228" i="1"/>
  <c r="N228" i="1"/>
  <c r="H229" i="1"/>
  <c r="M229" i="1"/>
  <c r="N229" i="1"/>
  <c r="D230" i="1"/>
  <c r="N230" i="1"/>
  <c r="G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N235" i="1"/>
  <c r="N236" i="1"/>
  <c r="N237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41" i="1"/>
  <c r="P241" i="1"/>
  <c r="Q241" i="1"/>
  <c r="N242" i="1"/>
  <c r="L243" i="1"/>
  <c r="N243" i="1"/>
  <c r="K244" i="1"/>
  <c r="N244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L253" i="1"/>
  <c r="N253" i="1"/>
  <c r="N254" i="1"/>
  <c r="N255" i="1"/>
  <c r="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L260" i="1"/>
  <c r="N260" i="1"/>
  <c r="L261" i="1"/>
  <c r="N261" i="1"/>
  <c r="D262" i="1"/>
  <c r="F262" i="1"/>
  <c r="J262" i="1"/>
  <c r="K262" i="1"/>
  <c r="L262" i="1"/>
  <c r="N262" i="1"/>
  <c r="L263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O270" i="1"/>
  <c r="P270" i="1"/>
  <c r="Q270" i="1"/>
  <c r="N271" i="1"/>
  <c r="D272" i="1"/>
  <c r="E272" i="1"/>
  <c r="F272" i="1"/>
  <c r="G272" i="1"/>
  <c r="L272" i="1"/>
  <c r="N272" i="1"/>
  <c r="N273" i="1"/>
  <c r="G274" i="1"/>
  <c r="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Q279" i="1"/>
  <c r="R279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O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P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Q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4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<sst xmlns="http://schemas.openxmlformats.org/spreadsheetml/2006/main" count="273" uniqueCount="101">
  <si>
    <t>DAYS OF MONTH</t>
  </si>
  <si>
    <t>TRANSWESTERN PIPELINE COMPANY</t>
  </si>
  <si>
    <t>MARGIN SUMMARY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</si>
  <si>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</si>
  <si>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</si>
  <si>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</si>
  <si>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</si>
  <si>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</si>
  <si>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</si>
  <si>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</si>
  <si>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</si>
  <si>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</si>
  <si>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</si>
  <si>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</si>
  <si>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</si>
  <si>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</si>
  <si>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MONTH</t>
  </si>
  <si>
    <t>QUARTER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</si>
  <si>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</si>
  <si>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</si>
  <si>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</si>
  <si>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</si>
  <si>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</si>
  <si>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</si>
  <si>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</si>
  <si>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</si>
  <si>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</si>
  <si>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</si>
  <si>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</si>
  <si>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</si>
  <si>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</si>
  <si>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</si>
  <si>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</si>
  <si>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</si>
  <si>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</si>
  <si>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</si>
  <si>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</si>
  <si>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</si>
  <si>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</si>
  <si>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</si>
  <si>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</si>
  <si>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</si>
  <si>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</si>
  <si>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</si>
  <si>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</si>
  <si>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</si>
  <si>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</si>
  <si>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</si>
  <si>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</si>
  <si>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</si>
  <si>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</si>
  <si>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</si>
  <si>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</si>
  <si>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</si>
  <si>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</si>
  <si>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</si>
  <si>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</si>
  <si>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</si>
  <si>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</si>
  <si>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</si>
  <si>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</si>
  <si>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</si>
  <si>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</si>
  <si>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</si>
  <si>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</si>
  <si>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</si>
  <si>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</si>
  <si>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</si>
  <si>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</si>
  <si>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</si>
  <si>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</si>
  <si>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</si>
  <si>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</si>
  <si>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</si>
  <si>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</si>
  <si>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</si>
  <si>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</si>
  <si>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</si>
  <si>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</si>
  <si>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</si>
  <si>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</si>
  <si>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</si>
  <si>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</si>
  <si>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</si>
  <si>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</si>
  <si>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</si>
  <si>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</si>
  <si>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</si>
  <si>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</si>
  <si>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</si>
  <si>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</si>
  <si>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EAST: WEST OF THOREAU and Thoreau</t>
  </si>
  <si>
    <t>2000 PLAN</t>
  </si>
  <si>
    <t>Capital Pool - do not include per Tracy Geaccone</t>
  </si>
  <si>
    <t xml:space="preserve">   FR</t>
  </si>
  <si>
    <t>Act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</si>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</sst>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#,##0.0_);\(#,##0.0\)"/>
    <numFmt numFmtId="173" formatCode="mm/dd/yy_)"/>
    <numFmt numFmtId="175" formatCode="#,##0.0_);[Red]\(#,##0.0\)"/>
    <numFmt numFmtId="176" formatCode="&quot;$&quot;#,##0.0000_);\(&quot;$&quot;#,##0.0000\)"/>
    <numFmt numFmtId="185" formatCode="#,##0.0000_);\(#,##0.0000\)"/>
    <numFmt numFmtId="187" formatCode="0_)"/>
    <numFmt numFmtId="194" formatCode="_(* #,##0.0_);_(* \(#,##0.0\);_(* &quot;-&quot;??_);_(@_)"/>
    <numFmt numFmtId="216" formatCode="_(* #,##0.0_);_(* \(#,##0.0\);_(* &quot;-&quot;?_);_(@_)"/>
    <numFmt numFmtId="217" formatCode="_(* #,##0.0000_);_(* \(#,##0.0000\);_(* &quot;-&quot;????_);_(@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87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3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0" xfId="0" applyNumberFormat="1" applyFont="1" applyFill="1" applyAlignment="1" applyProtection="1">
      <alignment vertical="center"/>
      <protection locked="0"/>
    </xf>
    <xf numFmtId="172" fontId="6" fillId="0" borderId="0" xfId="0" applyNumberFormat="1" applyFont="1" applyFill="1" applyAlignment="1" applyProtection="1">
      <alignment vertical="center"/>
    </xf>
    <xf numFmtId="172" fontId="9" fillId="0" borderId="0" xfId="0" applyNumberFormat="1" applyFont="1" applyFill="1" applyAlignment="1" applyProtection="1">
      <alignment vertical="center"/>
    </xf>
    <xf numFmtId="172" fontId="7" fillId="0" borderId="0" xfId="0" applyNumberFormat="1" applyFont="1" applyFill="1" applyAlignment="1" applyProtection="1">
      <alignment vertical="center"/>
    </xf>
    <xf numFmtId="7" fontId="6" fillId="0" borderId="0" xfId="0" applyNumberFormat="1" applyFont="1" applyFill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94" fontId="9" fillId="0" borderId="0" xfId="1" applyNumberFormat="1" applyFont="1" applyFill="1" applyAlignment="1" applyProtection="1">
      <alignment vertical="center"/>
    </xf>
    <xf numFmtId="172" fontId="11" fillId="0" borderId="0" xfId="0" applyNumberFormat="1" applyFont="1" applyFill="1" applyAlignment="1" applyProtection="1">
      <alignment vertical="center"/>
    </xf>
    <xf numFmtId="187" fontId="5" fillId="0" borderId="0" xfId="0" applyNumberFormat="1" applyFont="1" applyFill="1" applyAlignment="1" applyProtection="1">
      <alignment vertical="center"/>
    </xf>
    <xf numFmtId="0" fontId="12" fillId="0" borderId="0" xfId="0" applyFont="1" applyFill="1">
      <alignment vertical="center"/>
    </xf>
    <xf numFmtId="172" fontId="0" fillId="0" borderId="0" xfId="0" applyNumberFormat="1" applyFill="1">
      <alignment vertical="center"/>
    </xf>
    <xf numFmtId="0" fontId="13" fillId="0" borderId="0" xfId="0" applyFont="1" applyFill="1" applyAlignment="1">
      <alignment horizontal="centerContinuous" vertical="center"/>
    </xf>
    <xf numFmtId="0" fontId="15" fillId="0" borderId="0" xfId="0" applyFont="1" applyFill="1">
      <alignment vertical="center"/>
    </xf>
    <xf numFmtId="172" fontId="5" fillId="0" borderId="0" xfId="0" applyNumberFormat="1" applyFont="1" applyFill="1" applyAlignment="1" applyProtection="1">
      <alignment vertical="center"/>
    </xf>
    <xf numFmtId="175" fontId="10" fillId="0" borderId="1" xfId="0" applyNumberFormat="1" applyFont="1" applyFill="1" applyBorder="1" applyAlignment="1" applyProtection="1">
      <alignment horizontal="center" vertical="center"/>
    </xf>
    <xf numFmtId="176" fontId="16" fillId="0" borderId="0" xfId="0" applyNumberFormat="1" applyFont="1" applyFill="1" applyAlignment="1" applyProtection="1">
      <alignment vertical="center"/>
      <protection locked="0"/>
    </xf>
    <xf numFmtId="172" fontId="17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172" fontId="17" fillId="0" borderId="0" xfId="0" applyNumberFormat="1" applyFont="1" applyFill="1" applyAlignment="1" applyProtection="1">
      <alignment vertical="center"/>
    </xf>
    <xf numFmtId="172" fontId="16" fillId="0" borderId="0" xfId="0" applyNumberFormat="1" applyFont="1" applyFill="1" applyAlignment="1" applyProtection="1">
      <alignment vertical="center"/>
    </xf>
    <xf numFmtId="172" fontId="17" fillId="0" borderId="1" xfId="0" applyNumberFormat="1" applyFont="1" applyFill="1" applyBorder="1" applyAlignment="1" applyProtection="1">
      <alignment vertical="center"/>
    </xf>
    <xf numFmtId="172" fontId="16" fillId="0" borderId="1" xfId="0" applyNumberFormat="1" applyFont="1" applyFill="1" applyBorder="1" applyAlignment="1" applyProtection="1">
      <alignment vertical="center"/>
    </xf>
    <xf numFmtId="172" fontId="17" fillId="0" borderId="2" xfId="0" applyNumberFormat="1" applyFont="1" applyFill="1" applyBorder="1" applyAlignment="1" applyProtection="1">
      <alignment vertical="center"/>
    </xf>
    <xf numFmtId="172" fontId="18" fillId="0" borderId="0" xfId="0" applyNumberFormat="1" applyFont="1" applyFill="1" applyAlignment="1" applyProtection="1">
      <alignment vertical="center"/>
    </xf>
    <xf numFmtId="172" fontId="17" fillId="0" borderId="3" xfId="0" applyNumberFormat="1" applyFont="1" applyFill="1" applyBorder="1" applyAlignment="1" applyProtection="1">
      <alignment vertical="center"/>
    </xf>
    <xf numFmtId="7" fontId="16" fillId="0" borderId="0" xfId="0" applyNumberFormat="1" applyFont="1" applyFill="1" applyAlignment="1" applyProtection="1">
      <alignment vertical="center"/>
    </xf>
    <xf numFmtId="39" fontId="16" fillId="0" borderId="0" xfId="0" applyNumberFormat="1" applyFont="1" applyFill="1" applyAlignment="1" applyProtection="1">
      <alignment vertical="center"/>
    </xf>
    <xf numFmtId="185" fontId="16" fillId="0" borderId="0" xfId="0" applyNumberFormat="1" applyFont="1" applyFill="1" applyAlignment="1" applyProtection="1">
      <alignment vertical="center"/>
    </xf>
    <xf numFmtId="37" fontId="16" fillId="0" borderId="0" xfId="0" applyNumberFormat="1" applyFont="1" applyFill="1" applyAlignment="1" applyProtection="1">
      <alignment vertical="center"/>
    </xf>
    <xf numFmtId="5" fontId="16" fillId="0" borderId="0" xfId="0" applyNumberFormat="1" applyFont="1" applyFill="1" applyAlignment="1" applyProtection="1">
      <alignment vertical="center"/>
    </xf>
    <xf numFmtId="37" fontId="16" fillId="0" borderId="0" xfId="0" applyNumberFormat="1" applyFont="1" applyFill="1" applyAlignment="1" applyProtection="1">
      <alignment vertical="center"/>
      <protection locked="0"/>
    </xf>
    <xf numFmtId="37" fontId="16" fillId="0" borderId="2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</xf>
    <xf numFmtId="37" fontId="16" fillId="0" borderId="1" xfId="0" applyNumberFormat="1" applyFont="1" applyFill="1" applyBorder="1" applyAlignment="1" applyProtection="1">
      <alignment vertical="center"/>
    </xf>
    <xf numFmtId="37" fontId="16" fillId="0" borderId="1" xfId="0" applyNumberFormat="1" applyFont="1" applyFill="1" applyBorder="1" applyAlignment="1" applyProtection="1">
      <alignment vertical="center"/>
      <protection locked="0"/>
    </xf>
    <xf numFmtId="37" fontId="17" fillId="0" borderId="1" xfId="0" applyNumberFormat="1" applyFont="1" applyFill="1" applyBorder="1" applyAlignment="1" applyProtection="1">
      <alignment vertical="center"/>
    </xf>
    <xf numFmtId="172" fontId="17" fillId="0" borderId="0" xfId="0" applyNumberFormat="1" applyFont="1" applyFill="1" applyBorder="1" applyAlignment="1" applyProtection="1">
      <alignment vertical="center"/>
    </xf>
    <xf numFmtId="0" fontId="19" fillId="0" borderId="0" xfId="0" applyFont="1" applyFill="1" applyAlignment="1">
      <alignment horizontal="centerContinuous" vertical="center"/>
    </xf>
    <xf numFmtId="172" fontId="20" fillId="0" borderId="0" xfId="0" applyNumberFormat="1" applyFont="1" applyFill="1" applyAlignment="1" applyProtection="1">
      <alignment horizontal="centerContinuous" vertical="center"/>
    </xf>
    <xf numFmtId="0" fontId="14" fillId="0" borderId="0" xfId="0" applyFont="1" applyFill="1">
      <alignment vertical="center"/>
    </xf>
    <xf numFmtId="37" fontId="19" fillId="0" borderId="0" xfId="0" applyNumberFormat="1" applyFont="1" applyFill="1" applyAlignment="1" applyProtection="1">
      <alignment horizontal="centerContinuous" vertical="center"/>
    </xf>
    <xf numFmtId="22" fontId="20" fillId="0" borderId="0" xfId="0" applyNumberFormat="1" applyFont="1" applyFill="1" applyAlignment="1" applyProtection="1">
      <alignment horizontal="centerContinuous" vertical="center"/>
    </xf>
    <xf numFmtId="0" fontId="19" fillId="0" borderId="0" xfId="0" applyFont="1" applyFill="1" applyAlignment="1" applyProtection="1">
      <alignment horizontal="centerContinuous" vertical="center"/>
      <protection locked="0"/>
    </xf>
    <xf numFmtId="0" fontId="19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176" fontId="17" fillId="0" borderId="0" xfId="0" applyNumberFormat="1" applyFont="1" applyFill="1" applyAlignment="1" applyProtection="1">
      <alignment vertical="center"/>
      <protection locked="0"/>
    </xf>
    <xf numFmtId="37" fontId="17" fillId="0" borderId="0" xfId="0" applyNumberFormat="1" applyFont="1" applyFill="1" applyAlignment="1" applyProtection="1">
      <alignment vertical="center"/>
      <protection locked="0"/>
    </xf>
    <xf numFmtId="37" fontId="16" fillId="0" borderId="0" xfId="0" applyNumberFormat="1" applyFont="1" applyFill="1" applyBorder="1" applyAlignment="1" applyProtection="1">
      <alignment vertical="center"/>
    </xf>
    <xf numFmtId="37" fontId="17" fillId="0" borderId="0" xfId="0" applyNumberFormat="1" applyFont="1" applyFill="1" applyBorder="1" applyAlignment="1" applyProtection="1">
      <alignment vertical="center"/>
    </xf>
    <xf numFmtId="22" fontId="6" fillId="0" borderId="0" xfId="0" applyNumberFormat="1" applyFont="1" applyFill="1" applyBorder="1" applyAlignment="1">
      <alignment horizontal="left" vertical="center"/>
    </xf>
    <xf numFmtId="172" fontId="7" fillId="0" borderId="1" xfId="0" applyNumberFormat="1" applyFont="1" applyFill="1" applyBorder="1" applyAlignment="1" applyProtection="1">
      <alignment vertical="center"/>
    </xf>
    <xf numFmtId="172" fontId="7" fillId="0" borderId="2" xfId="0" applyNumberFormat="1" applyFont="1" applyFill="1" applyBorder="1" applyAlignment="1" applyProtection="1">
      <alignment vertical="center"/>
    </xf>
    <xf numFmtId="172" fontId="7" fillId="0" borderId="0" xfId="0" applyNumberFormat="1" applyFont="1" applyFill="1" applyAlignment="1" applyProtection="1">
      <alignment vertical="center"/>
      <protection locked="0"/>
    </xf>
    <xf numFmtId="172" fontId="7" fillId="0" borderId="4" xfId="0" applyNumberFormat="1" applyFont="1" applyFill="1" applyBorder="1" applyAlignment="1" applyProtection="1">
      <alignment vertical="center"/>
    </xf>
    <xf numFmtId="172" fontId="7" fillId="0" borderId="0" xfId="0" applyNumberFormat="1" applyFont="1" applyFill="1" applyBorder="1" applyAlignment="1" applyProtection="1">
      <alignment vertical="center"/>
    </xf>
    <xf numFmtId="172" fontId="21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85" fontId="7" fillId="0" borderId="0" xfId="0" applyNumberFormat="1" applyFont="1" applyFill="1" applyAlignment="1" applyProtection="1">
      <alignment vertical="center"/>
    </xf>
    <xf numFmtId="216" fontId="7" fillId="0" borderId="0" xfId="2" applyNumberFormat="1" applyFont="1" applyFill="1" applyAlignment="1" applyProtection="1">
      <alignment vertical="center"/>
      <protection locked="0"/>
    </xf>
    <xf numFmtId="216" fontId="7" fillId="0" borderId="4" xfId="2" applyNumberFormat="1" applyFont="1" applyFill="1" applyBorder="1" applyAlignment="1" applyProtection="1">
      <alignment vertical="center"/>
      <protection locked="0"/>
    </xf>
    <xf numFmtId="216" fontId="7" fillId="0" borderId="2" xfId="0" applyNumberFormat="1" applyFont="1" applyFill="1" applyBorder="1" applyAlignment="1" applyProtection="1">
      <alignment vertical="center"/>
    </xf>
    <xf numFmtId="216" fontId="7" fillId="0" borderId="0" xfId="0" applyNumberFormat="1" applyFont="1" applyFill="1" applyBorder="1" applyAlignment="1" applyProtection="1">
      <alignment vertical="center"/>
    </xf>
    <xf numFmtId="216" fontId="6" fillId="0" borderId="0" xfId="0" applyNumberFormat="1" applyFont="1" applyFill="1" applyBorder="1" applyAlignment="1" applyProtection="1">
      <alignment vertical="center"/>
    </xf>
    <xf numFmtId="216" fontId="6" fillId="0" borderId="0" xfId="0" applyNumberFormat="1" applyFont="1" applyFill="1" applyAlignment="1" applyProtection="1">
      <alignment vertical="center"/>
    </xf>
    <xf numFmtId="216" fontId="7" fillId="0" borderId="0" xfId="0" applyNumberFormat="1" applyFont="1" applyFill="1" applyAlignment="1" applyProtection="1">
      <alignment vertical="center"/>
    </xf>
    <xf numFmtId="216" fontId="7" fillId="0" borderId="0" xfId="2" applyNumberFormat="1" applyFont="1" applyFill="1" applyBorder="1" applyAlignment="1" applyProtection="1">
      <alignment vertical="center"/>
      <protection locked="0"/>
    </xf>
    <xf numFmtId="216" fontId="7" fillId="0" borderId="4" xfId="0" applyNumberFormat="1" applyFont="1" applyFill="1" applyBorder="1" applyAlignment="1" applyProtection="1">
      <alignment vertical="center"/>
    </xf>
    <xf numFmtId="216" fontId="7" fillId="0" borderId="1" xfId="0" applyNumberFormat="1" applyFont="1" applyFill="1" applyBorder="1" applyAlignment="1" applyProtection="1">
      <alignment vertical="center"/>
    </xf>
    <xf numFmtId="0" fontId="6" fillId="0" borderId="5" xfId="0" applyFont="1" applyFill="1" applyBorder="1" applyAlignment="1">
      <alignment vertical="center"/>
    </xf>
    <xf numFmtId="172" fontId="7" fillId="0" borderId="6" xfId="0" applyNumberFormat="1" applyFont="1" applyFill="1" applyBorder="1" applyAlignment="1" applyProtection="1">
      <alignment vertical="center"/>
    </xf>
    <xf numFmtId="172" fontId="7" fillId="0" borderId="7" xfId="0" applyNumberFormat="1" applyFont="1" applyFill="1" applyBorder="1" applyAlignment="1" applyProtection="1">
      <alignment vertical="center"/>
    </xf>
    <xf numFmtId="172" fontId="7" fillId="0" borderId="8" xfId="0" applyNumberFormat="1" applyFont="1" applyFill="1" applyBorder="1" applyAlignment="1" applyProtection="1">
      <alignment vertical="center"/>
    </xf>
    <xf numFmtId="172" fontId="7" fillId="0" borderId="9" xfId="0" applyNumberFormat="1" applyFont="1" applyFill="1" applyBorder="1" applyAlignment="1" applyProtection="1">
      <alignment vertical="center"/>
    </xf>
    <xf numFmtId="172" fontId="7" fillId="0" borderId="10" xfId="0" applyNumberFormat="1" applyFont="1" applyFill="1" applyBorder="1" applyAlignment="1" applyProtection="1">
      <alignment vertical="center"/>
    </xf>
    <xf numFmtId="0" fontId="3" fillId="0" borderId="1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2" fillId="0" borderId="0" xfId="0" applyFo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5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6" fillId="0" borderId="13" xfId="0" quotePrefix="1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2" fillId="0" borderId="0" xfId="0" applyFont="1" applyFill="1">
      <alignment vertical="center"/>
    </xf>
    <xf numFmtId="216" fontId="4" fillId="0" borderId="0" xfId="2" applyNumberFormat="1" applyFont="1" applyFill="1" applyAlignment="1" applyProtection="1">
      <alignment vertical="center"/>
      <protection locked="0"/>
    </xf>
    <xf numFmtId="176" fontId="2" fillId="0" borderId="0" xfId="0" applyNumberFormat="1" applyFont="1" applyFill="1" applyAlignment="1" applyProtection="1">
      <alignment vertical="center"/>
      <protection locked="0"/>
    </xf>
    <xf numFmtId="172" fontId="6" fillId="2" borderId="0" xfId="0" applyNumberFormat="1" applyFont="1" applyFill="1" applyAlignment="1" applyProtection="1">
      <alignment vertical="center"/>
    </xf>
    <xf numFmtId="172" fontId="6" fillId="2" borderId="1" xfId="0" applyNumberFormat="1" applyFont="1" applyFill="1" applyBorder="1" applyAlignment="1" applyProtection="1">
      <alignment vertical="center"/>
    </xf>
    <xf numFmtId="172" fontId="6" fillId="2" borderId="0" xfId="0" applyNumberFormat="1" applyFont="1" applyFill="1" applyBorder="1" applyAlignment="1" applyProtection="1">
      <alignment vertical="center"/>
    </xf>
    <xf numFmtId="217" fontId="6" fillId="2" borderId="0" xfId="0" applyNumberFormat="1" applyFont="1" applyFill="1" applyAlignment="1" applyProtection="1">
      <alignment vertical="center"/>
    </xf>
    <xf numFmtId="172" fontId="2" fillId="2" borderId="0" xfId="0" applyNumberFormat="1" applyFont="1" applyFill="1" applyAlignment="1" applyProtection="1">
      <alignment vertical="center"/>
    </xf>
    <xf numFmtId="172" fontId="2" fillId="2" borderId="1" xfId="0" applyNumberFormat="1" applyFont="1" applyFill="1" applyBorder="1" applyAlignment="1" applyProtection="1">
      <alignment vertical="center"/>
    </xf>
    <xf numFmtId="0" fontId="25" fillId="0" borderId="0" xfId="0" applyFont="1" applyFill="1" applyAlignment="1">
      <alignment horizontal="left" vertical="center"/>
    </xf>
    <xf numFmtId="172" fontId="25" fillId="2" borderId="0" xfId="0" applyNumberFormat="1" applyFont="1" applyFill="1" applyAlignment="1" applyProtection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HOMEDEPT\Mkt_anly\TW\TWFIN\2000\sanju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Plan"/>
      <sheetName val="Adjustments"/>
      <sheetName val="2000Plan"/>
      <sheetName val="2=000Plan"/>
    </sheetNames>
    <sheetDataSet>
      <sheetData sheetId="0" refreshError="1"/>
      <sheetData sheetId="1" refreshError="1"/>
      <sheetData sheetId="2" refreshError="1"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19"/>
  <sheetViews>
    <sheetView tabSelected="1" zoomScale="70" workbookViewId="0">
      <selection activeCell="A3" sqref="A3"/>
    </sheetView>
  </sheetViews>
  <sheetFormatPr defaultRowHeight="13.8" x14ac:dyDescent="0.25"/>
  <cols>
    <col min="1" max="1" width="62.59765625" style="113" customWidth="1"/>
    <col min="2" max="13" width="15.3984375" style="8" customWidth="1"/>
    <col min="14" max="14" width="17" style="26" customWidth="1"/>
    <col min="15" max="17" width="13" style="8" hidden="1" customWidth="1"/>
    <col min="18" max="18" width="16.19921875" style="8" hidden="1" customWidth="1"/>
    <col min="19" max="20" width="17" style="26" customWidth="1"/>
    <col min="21" max="21" width="16" style="20" customWidth="1"/>
    <col min="22" max="22" width="16.796875" style="8" customWidth="1"/>
    <col min="23" max="23" width="8.796875" style="8" customWidth="1"/>
    <col min="24" max="24" width="6.796875" style="8" customWidth="1"/>
    <col min="25" max="25" width="9" style="8" customWidth="1"/>
    <col min="26" max="26" width="6.796875" style="8" customWidth="1"/>
    <col min="27" max="27" width="9" style="8" customWidth="1"/>
    <col min="28" max="16384" width="9.59765625" style="8"/>
  </cols>
  <sheetData>
    <row r="1" spans="1:28" x14ac:dyDescent="0.25">
      <c r="A1" s="92" t="s">
        <v>0</v>
      </c>
      <c r="B1" s="7">
        <v>31</v>
      </c>
      <c r="C1" s="25">
        <v>29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30">
        <f>SUM(B1:M1)</f>
        <v>366</v>
      </c>
      <c r="O1" s="2" t="e">
        <f>CHOOSE(#REF!,SUM(B1,B1),SUM(B1:C1),SUM(B1:D1),SUM(B1:E1),SUM(B1:F1),SUM(B1:G1),SUM(B1:H1),SUM(B1:I1),SUM(B1:J1),SUM(B1:K1),SUM(B1:L1),SUM(B1:M1))</f>
        <v>#REF!</v>
      </c>
      <c r="P1" s="1" t="e">
        <f>N1-O1</f>
        <v>#REF!</v>
      </c>
      <c r="Q1" s="1">
        <f>N1</f>
        <v>366</v>
      </c>
      <c r="R1" s="2" t="e">
        <f>IF(#REF!=1,SUM(B1:D1),IF(#REF!=2,SUM(E1:G1),IF(#REF!=3,SUM(H1:J1),IF(#REF!=4,SUM(K1:M1),"    WRONG  "))))</f>
        <v>#REF!</v>
      </c>
      <c r="S1" s="30">
        <v>365</v>
      </c>
      <c r="T1" s="30">
        <v>365</v>
      </c>
    </row>
    <row r="2" spans="1:28" ht="0.75" customHeight="1" x14ac:dyDescent="0.2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30"/>
      <c r="O2" s="1"/>
      <c r="P2" s="1"/>
      <c r="Q2" s="1"/>
      <c r="R2" s="1"/>
      <c r="S2" s="30"/>
      <c r="T2" s="30"/>
    </row>
    <row r="3" spans="1:28" s="57" customFormat="1" ht="18" x14ac:dyDescent="0.25">
      <c r="A3" s="28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55"/>
      <c r="P3" s="55"/>
      <c r="Q3" s="55"/>
      <c r="R3" s="55"/>
      <c r="S3" s="56"/>
      <c r="T3" s="56"/>
      <c r="U3" s="20"/>
    </row>
    <row r="4" spans="1:28" s="57" customFormat="1" ht="18" x14ac:dyDescent="0.25">
      <c r="A4" s="28" t="s">
        <v>92</v>
      </c>
      <c r="B4" s="58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9"/>
      <c r="O4" s="55"/>
      <c r="P4" s="55"/>
      <c r="Q4" s="55"/>
      <c r="R4" s="55"/>
      <c r="S4" s="59"/>
      <c r="T4" s="59"/>
      <c r="U4" s="20"/>
    </row>
    <row r="5" spans="1:28" s="57" customFormat="1" ht="18" x14ac:dyDescent="0.25">
      <c r="A5" s="28" t="s">
        <v>2</v>
      </c>
      <c r="B5" s="60"/>
      <c r="C5" s="55"/>
      <c r="D5" s="55"/>
      <c r="E5" s="55"/>
      <c r="F5" s="55"/>
      <c r="G5" s="55"/>
      <c r="H5" s="55"/>
      <c r="I5" s="55"/>
      <c r="J5" s="55"/>
      <c r="K5" s="55"/>
      <c r="L5" s="61"/>
      <c r="M5" s="55"/>
      <c r="N5" s="62"/>
      <c r="O5" s="55"/>
      <c r="P5" s="55"/>
      <c r="Q5" s="55"/>
      <c r="R5" s="55"/>
      <c r="S5" s="62"/>
      <c r="T5" s="62"/>
      <c r="U5" s="20"/>
    </row>
    <row r="6" spans="1:28" s="57" customFormat="1" ht="18" x14ac:dyDescent="0.25">
      <c r="A6" s="28"/>
      <c r="B6" s="60"/>
      <c r="C6" s="55"/>
      <c r="D6" s="55"/>
      <c r="E6" s="55"/>
      <c r="F6" s="55"/>
      <c r="G6" s="55"/>
      <c r="H6" s="55"/>
      <c r="I6" s="55"/>
      <c r="J6" s="55"/>
      <c r="K6" s="55"/>
      <c r="L6" s="61"/>
      <c r="M6" s="55"/>
      <c r="N6" s="62"/>
      <c r="O6" s="55"/>
      <c r="P6" s="55"/>
      <c r="Q6" s="55"/>
      <c r="R6" s="55"/>
      <c r="S6" s="62"/>
      <c r="T6" s="62"/>
      <c r="U6" s="20"/>
    </row>
    <row r="7" spans="1:28" x14ac:dyDescent="0.25">
      <c r="A7" s="93" t="str">
        <f ca="1">CELL("FILENAME")</f>
        <v>H:\USER\JMOORE\[2000 Plan.xls]PLAN00</v>
      </c>
      <c r="B7" s="11"/>
      <c r="C7" s="10"/>
      <c r="D7" s="10"/>
      <c r="E7" s="10"/>
      <c r="F7" s="10"/>
      <c r="G7" s="10"/>
      <c r="H7" s="10"/>
      <c r="I7" s="10"/>
      <c r="J7"/>
      <c r="K7" s="10"/>
      <c r="L7" s="12"/>
      <c r="M7" s="10"/>
      <c r="N7"/>
      <c r="O7" s="10"/>
      <c r="P7" s="10"/>
      <c r="Q7" s="10"/>
      <c r="R7" s="10"/>
      <c r="S7"/>
      <c r="T7"/>
    </row>
    <row r="8" spans="1:28" ht="18" x14ac:dyDescent="0.25">
      <c r="A8" s="67">
        <f ca="1">NOW()</f>
        <v>37294.416429050929</v>
      </c>
      <c r="B8" s="11"/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0"/>
      <c r="P8" s="10"/>
      <c r="Q8" s="10"/>
      <c r="R8" s="10"/>
      <c r="S8"/>
      <c r="T8"/>
      <c r="V8" s="57"/>
      <c r="W8" s="57"/>
      <c r="X8" s="57"/>
      <c r="Y8" s="57"/>
      <c r="Z8" s="57"/>
      <c r="AA8" s="57"/>
      <c r="AB8" s="57"/>
    </row>
    <row r="9" spans="1:28" x14ac:dyDescent="0.25">
      <c r="A9" s="94"/>
      <c r="B9" s="14" t="s">
        <v>95</v>
      </c>
      <c r="C9" s="14" t="s">
        <v>95</v>
      </c>
      <c r="D9" s="14" t="s">
        <v>95</v>
      </c>
      <c r="E9" s="14" t="s">
        <v>95</v>
      </c>
      <c r="F9" s="14" t="s">
        <v>95</v>
      </c>
      <c r="G9" s="14" t="s">
        <v>95</v>
      </c>
      <c r="H9" s="14" t="s">
        <v>95</v>
      </c>
      <c r="I9" s="14" t="s">
        <v>95</v>
      </c>
      <c r="J9" s="14" t="s">
        <v>95</v>
      </c>
      <c r="K9" s="14" t="s">
        <v>95</v>
      </c>
      <c r="L9" s="14" t="s">
        <v>95</v>
      </c>
      <c r="M9" s="14" t="s">
        <v>95</v>
      </c>
      <c r="N9" s="14"/>
      <c r="O9" s="13" t="e">
        <f>#REF!</f>
        <v>#REF!</v>
      </c>
      <c r="P9" s="13" t="e">
        <f>$Q$9-$O$9</f>
        <v>#REF!</v>
      </c>
      <c r="Q9" s="13">
        <v>12</v>
      </c>
      <c r="R9" s="13" t="e">
        <f>#REF!</f>
        <v>#REF!</v>
      </c>
      <c r="S9"/>
      <c r="T9"/>
    </row>
    <row r="10" spans="1:28" ht="18" x14ac:dyDescent="0.25">
      <c r="A10" s="95"/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M10" s="15" t="s">
        <v>14</v>
      </c>
      <c r="N10" s="31" t="s">
        <v>15</v>
      </c>
      <c r="O10" s="16" t="s">
        <v>16</v>
      </c>
      <c r="P10" s="16" t="str">
        <f>O10</f>
        <v>MONTH</v>
      </c>
      <c r="Q10" s="16" t="str">
        <f>O10</f>
        <v>MONTH</v>
      </c>
      <c r="R10" s="16" t="s">
        <v>17</v>
      </c>
      <c r="S10"/>
      <c r="T10"/>
      <c r="V10" s="57"/>
      <c r="W10" s="57"/>
      <c r="X10" s="57"/>
      <c r="Y10" s="57"/>
      <c r="Z10" s="57"/>
      <c r="AA10" s="57"/>
      <c r="AB10" s="57"/>
    </row>
    <row r="11" spans="1:28" ht="15.6" x14ac:dyDescent="0.25">
      <c r="A11" s="96" t="s">
        <v>18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2"/>
      <c r="Q11" s="32"/>
      <c r="R11" s="32"/>
      <c r="S11"/>
      <c r="T11"/>
    </row>
    <row r="12" spans="1:28" ht="18" x14ac:dyDescent="0.25">
      <c r="A12" s="97" t="s">
        <v>19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2"/>
      <c r="Q12" s="32"/>
      <c r="R12" s="32"/>
      <c r="S12"/>
      <c r="T12"/>
      <c r="V12" s="57"/>
      <c r="W12" s="57"/>
      <c r="X12" s="57"/>
      <c r="Y12" s="57"/>
      <c r="Z12" s="57"/>
      <c r="AA12" s="57"/>
      <c r="AB12" s="57"/>
    </row>
    <row r="13" spans="1:28" x14ac:dyDescent="0.25">
      <c r="A13" s="98" t="s">
        <v>20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4"/>
      <c r="P13" s="34"/>
      <c r="Q13" s="34"/>
      <c r="R13" s="34"/>
      <c r="S13"/>
      <c r="T13"/>
    </row>
    <row r="14" spans="1:28" ht="18" x14ac:dyDescent="0.25">
      <c r="A14" s="99" t="s">
        <v>21</v>
      </c>
      <c r="B14" s="116">
        <v>269</v>
      </c>
      <c r="C14" s="116">
        <v>269</v>
      </c>
      <c r="D14" s="116">
        <v>269</v>
      </c>
      <c r="E14" s="116">
        <v>265</v>
      </c>
      <c r="F14" s="116">
        <v>265</v>
      </c>
      <c r="G14" s="116">
        <v>269.33300000000003</v>
      </c>
      <c r="H14" s="116">
        <f>265+5.806</f>
        <v>270.80599999999998</v>
      </c>
      <c r="I14" s="116">
        <v>265</v>
      </c>
      <c r="J14" s="116">
        <v>265</v>
      </c>
      <c r="K14" s="116">
        <v>265</v>
      </c>
      <c r="L14" s="116">
        <v>269</v>
      </c>
      <c r="M14" s="116">
        <v>265</v>
      </c>
      <c r="N14" s="20">
        <f>SUM(B14:M14)/12</f>
        <v>267.17824999999999</v>
      </c>
      <c r="O14" s="36" t="e">
        <v>#REF!</v>
      </c>
      <c r="P14" s="36" t="e">
        <v>#REF!</v>
      </c>
      <c r="Q14" s="36" t="e">
        <v>#REF!</v>
      </c>
      <c r="R14" s="36" t="e">
        <v>#REF!</v>
      </c>
      <c r="S14"/>
      <c r="T14"/>
      <c r="V14" s="57"/>
      <c r="W14" s="57"/>
      <c r="X14" s="57"/>
      <c r="Y14" s="57"/>
      <c r="Z14" s="57"/>
      <c r="AA14" s="57"/>
      <c r="AB14" s="57"/>
    </row>
    <row r="15" spans="1:28" x14ac:dyDescent="0.25">
      <c r="A15" s="99" t="s">
        <v>22</v>
      </c>
      <c r="B15" s="116">
        <v>397.512</v>
      </c>
      <c r="C15" s="116">
        <v>426.33300000000003</v>
      </c>
      <c r="D15" s="116">
        <v>448.92200000000003</v>
      </c>
      <c r="E15" s="116">
        <v>324.92099999999999</v>
      </c>
      <c r="F15" s="116">
        <v>342.20100000000002</v>
      </c>
      <c r="G15" s="116">
        <v>245.941</v>
      </c>
      <c r="H15" s="116">
        <f>258.27+1.957</f>
        <v>260.22699999999998</v>
      </c>
      <c r="I15" s="116">
        <f>259.145</f>
        <v>259.14499999999998</v>
      </c>
      <c r="J15" s="116">
        <v>259.40899999999999</v>
      </c>
      <c r="K15" s="116">
        <v>260.69900000000001</v>
      </c>
      <c r="L15" s="116">
        <v>228.65</v>
      </c>
      <c r="M15" s="116">
        <v>426.19299999999998</v>
      </c>
      <c r="N15" s="20">
        <f>SUM(B15:M15)/12</f>
        <v>323.34608333333335</v>
      </c>
      <c r="O15" s="36" t="e">
        <v>#REF!</v>
      </c>
      <c r="P15" s="36" t="e">
        <v>#REF!</v>
      </c>
      <c r="Q15" s="36" t="e">
        <v>#REF!</v>
      </c>
      <c r="R15" s="36" t="e">
        <v>#REF!</v>
      </c>
      <c r="S15"/>
      <c r="T15"/>
    </row>
    <row r="16" spans="1:28" ht="18" x14ac:dyDescent="0.25">
      <c r="A16" s="99" t="s">
        <v>23</v>
      </c>
      <c r="B16" s="116">
        <v>43.268999999999998</v>
      </c>
      <c r="C16" s="116">
        <v>12.148999999999999</v>
      </c>
      <c r="D16" s="116">
        <v>11.964</v>
      </c>
      <c r="E16" s="116">
        <v>8.0589999999999993</v>
      </c>
      <c r="F16" s="116">
        <v>63.747999999999998</v>
      </c>
      <c r="G16" s="116">
        <v>141.965</v>
      </c>
      <c r="H16" s="116">
        <v>146.67500000000001</v>
      </c>
      <c r="I16" s="116">
        <f>150.816</f>
        <v>150.816</v>
      </c>
      <c r="J16" s="116">
        <v>140.672</v>
      </c>
      <c r="K16" s="116">
        <v>149.84800000000001</v>
      </c>
      <c r="L16" s="116">
        <v>0</v>
      </c>
      <c r="M16" s="116">
        <v>15.118</v>
      </c>
      <c r="N16" s="20">
        <f>SUM(B16:M16)/12</f>
        <v>73.690250000000006</v>
      </c>
      <c r="O16" s="36" t="e">
        <v>#REF!</v>
      </c>
      <c r="P16" s="36" t="e">
        <v>#REF!</v>
      </c>
      <c r="Q16" s="36" t="e">
        <v>#REF!</v>
      </c>
      <c r="R16" s="36" t="e">
        <v>#REF!</v>
      </c>
      <c r="S16"/>
      <c r="T16"/>
      <c r="V16" s="57"/>
      <c r="W16" s="57"/>
      <c r="X16" s="57"/>
      <c r="Y16" s="57"/>
      <c r="Z16" s="57"/>
      <c r="AA16" s="57"/>
      <c r="AB16" s="57"/>
    </row>
    <row r="17" spans="1:28" x14ac:dyDescent="0.25">
      <c r="A17" s="100" t="s">
        <v>24</v>
      </c>
      <c r="B17" s="117">
        <v>0</v>
      </c>
      <c r="C17" s="117">
        <v>0</v>
      </c>
      <c r="D17" s="117">
        <f>0.279+0.516</f>
        <v>0.79500000000000004</v>
      </c>
      <c r="E17" s="117">
        <v>0.23200000000000001</v>
      </c>
      <c r="F17" s="117">
        <v>0</v>
      </c>
      <c r="G17" s="117">
        <f>0.796+5.84</f>
        <v>6.6360000000000001</v>
      </c>
      <c r="H17" s="117">
        <v>1.885</v>
      </c>
      <c r="I17" s="117">
        <f>4.525</f>
        <v>4.5250000000000004</v>
      </c>
      <c r="J17" s="117">
        <f>11.833+34.138</f>
        <v>45.970999999999997</v>
      </c>
      <c r="K17" s="117">
        <v>15.342000000000001</v>
      </c>
      <c r="L17" s="117">
        <v>0</v>
      </c>
      <c r="M17" s="117">
        <f>0.592+6.024</f>
        <v>6.6159999999999997</v>
      </c>
      <c r="N17" s="71">
        <f>SUM(B17:M17)/12</f>
        <v>6.8334999999999999</v>
      </c>
      <c r="O17" s="38" t="e">
        <v>#REF!</v>
      </c>
      <c r="P17" s="38" t="e">
        <v>#REF!</v>
      </c>
      <c r="Q17" s="38" t="e">
        <v>#REF!</v>
      </c>
      <c r="R17" s="38" t="e">
        <v>#REF!</v>
      </c>
      <c r="S17"/>
      <c r="T17"/>
    </row>
    <row r="18" spans="1:28" s="26" customFormat="1" ht="18" x14ac:dyDescent="0.25">
      <c r="A18" s="98" t="s">
        <v>25</v>
      </c>
      <c r="B18" s="20">
        <f t="shared" ref="B18:M18" si="0">SUM(B15:B17)</f>
        <v>440.78100000000001</v>
      </c>
      <c r="C18" s="20">
        <f t="shared" si="0"/>
        <v>438.48200000000003</v>
      </c>
      <c r="D18" s="20">
        <f t="shared" si="0"/>
        <v>461.68100000000004</v>
      </c>
      <c r="E18" s="20">
        <f t="shared" si="0"/>
        <v>333.21200000000005</v>
      </c>
      <c r="F18" s="20">
        <f t="shared" si="0"/>
        <v>405.94900000000001</v>
      </c>
      <c r="G18" s="20">
        <f t="shared" si="0"/>
        <v>394.54200000000003</v>
      </c>
      <c r="H18" s="20">
        <f t="shared" si="0"/>
        <v>408.78699999999998</v>
      </c>
      <c r="I18" s="20">
        <f t="shared" si="0"/>
        <v>414.48599999999999</v>
      </c>
      <c r="J18" s="20">
        <f t="shared" si="0"/>
        <v>446.05200000000002</v>
      </c>
      <c r="K18" s="20">
        <f t="shared" si="0"/>
        <v>425.88900000000001</v>
      </c>
      <c r="L18" s="20">
        <f t="shared" si="0"/>
        <v>228.65</v>
      </c>
      <c r="M18" s="20">
        <f t="shared" si="0"/>
        <v>447.92699999999996</v>
      </c>
      <c r="N18" s="20">
        <f>SUM(N15:N17)</f>
        <v>403.86983333333336</v>
      </c>
      <c r="O18" s="35" t="e">
        <f>(#REF!+#REF!+#REF!)/O$1</f>
        <v>#REF!</v>
      </c>
      <c r="P18" s="35" t="e">
        <f>(#REF!+#REF!+#REF!)/P$1</f>
        <v>#REF!</v>
      </c>
      <c r="Q18" s="35" t="e">
        <f>(#REF!+#REF!+#REF!)/Q$1</f>
        <v>#REF!</v>
      </c>
      <c r="R18" s="35" t="e">
        <f>SUM(R15:R17)</f>
        <v>#REF!</v>
      </c>
      <c r="S18"/>
      <c r="T18"/>
      <c r="U18" s="20"/>
      <c r="V18" s="57"/>
      <c r="W18" s="57"/>
      <c r="X18" s="57"/>
      <c r="Y18" s="57"/>
      <c r="Z18" s="57"/>
      <c r="AA18" s="57"/>
      <c r="AB18" s="57"/>
    </row>
    <row r="19" spans="1:28" s="26" customFormat="1" x14ac:dyDescent="0.25">
      <c r="A19" s="9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5"/>
      <c r="P19" s="35"/>
      <c r="Q19" s="35"/>
      <c r="R19" s="35"/>
      <c r="S19"/>
      <c r="T19"/>
      <c r="U19" s="20"/>
      <c r="V19" s="8"/>
      <c r="W19" s="8"/>
      <c r="X19" s="8"/>
      <c r="Y19" s="8"/>
      <c r="Z19" s="8"/>
      <c r="AA19" s="8"/>
      <c r="AB19" s="8"/>
    </row>
    <row r="20" spans="1:28" ht="18" x14ac:dyDescent="0.25">
      <c r="A20" s="98" t="s">
        <v>26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0"/>
      <c r="O20" s="34"/>
      <c r="P20" s="34"/>
      <c r="Q20" s="34"/>
      <c r="R20" s="34"/>
      <c r="S20"/>
      <c r="T20"/>
      <c r="V20" s="57"/>
      <c r="W20" s="57"/>
      <c r="X20" s="57"/>
      <c r="Y20" s="57"/>
      <c r="Z20" s="57"/>
      <c r="AA20" s="57"/>
      <c r="AB20" s="57"/>
    </row>
    <row r="21" spans="1:28" x14ac:dyDescent="0.25">
      <c r="A21" s="99" t="s">
        <v>21</v>
      </c>
      <c r="B21" s="116">
        <v>553.94799999999998</v>
      </c>
      <c r="C21" s="116">
        <v>547.15</v>
      </c>
      <c r="D21" s="116">
        <v>559.15</v>
      </c>
      <c r="E21" s="116">
        <v>514.81700000000001</v>
      </c>
      <c r="F21" s="116">
        <v>535.61099999999999</v>
      </c>
      <c r="G21" s="116">
        <v>538.25</v>
      </c>
      <c r="H21" s="116">
        <v>574.37900000000002</v>
      </c>
      <c r="I21" s="116">
        <v>578.25</v>
      </c>
      <c r="J21" s="116">
        <v>578.25</v>
      </c>
      <c r="K21" s="116">
        <v>578.25</v>
      </c>
      <c r="L21" s="116">
        <v>633.32500000000005</v>
      </c>
      <c r="M21" s="116">
        <v>578.25</v>
      </c>
      <c r="N21" s="20">
        <f>SUM(B21:M21)/12</f>
        <v>564.13583333333338</v>
      </c>
      <c r="O21" s="36" t="e">
        <v>#REF!</v>
      </c>
      <c r="P21" s="36" t="e">
        <v>#REF!</v>
      </c>
      <c r="Q21" s="36" t="e">
        <v>#REF!</v>
      </c>
      <c r="R21" s="36" t="e">
        <v>#REF!</v>
      </c>
      <c r="S21"/>
      <c r="T21"/>
    </row>
    <row r="22" spans="1:28" ht="18" x14ac:dyDescent="0.25">
      <c r="A22" s="99" t="s">
        <v>22</v>
      </c>
      <c r="B22" s="116">
        <v>279.58999999999997</v>
      </c>
      <c r="C22" s="116">
        <v>269.983</v>
      </c>
      <c r="D22" s="116">
        <v>253.36199999999999</v>
      </c>
      <c r="E22" s="116">
        <v>212.09399999999999</v>
      </c>
      <c r="F22" s="116">
        <v>179.75700000000001</v>
      </c>
      <c r="G22" s="116">
        <v>352.45699999999999</v>
      </c>
      <c r="H22" s="116">
        <v>346.97500000000002</v>
      </c>
      <c r="I22" s="116">
        <v>377.32600000000002</v>
      </c>
      <c r="J22" s="116">
        <v>382.88</v>
      </c>
      <c r="K22" s="116">
        <v>386.572</v>
      </c>
      <c r="L22" s="116">
        <f>538.32625-71.773-62</f>
        <v>404.55324999999993</v>
      </c>
      <c r="M22" s="116">
        <v>398.44400000000002</v>
      </c>
      <c r="N22" s="20">
        <f>SUM(B22:M22)/12</f>
        <v>320.33277083333331</v>
      </c>
      <c r="O22" s="36" t="e">
        <v>#REF!</v>
      </c>
      <c r="P22" s="36" t="e">
        <v>#REF!</v>
      </c>
      <c r="Q22" s="36" t="e">
        <v>#REF!</v>
      </c>
      <c r="R22" s="36" t="e">
        <v>#REF!</v>
      </c>
      <c r="S22"/>
      <c r="T22"/>
      <c r="V22" s="57"/>
      <c r="W22" s="57"/>
      <c r="X22" s="57"/>
      <c r="Y22" s="57"/>
      <c r="Z22" s="57"/>
      <c r="AA22" s="57"/>
      <c r="AB22" s="57"/>
    </row>
    <row r="23" spans="1:28" x14ac:dyDescent="0.25">
      <c r="A23" s="99" t="s">
        <v>23</v>
      </c>
      <c r="B23" s="116">
        <v>7.1070000000000002</v>
      </c>
      <c r="C23" s="116">
        <v>4.1989999999999998</v>
      </c>
      <c r="D23" s="116">
        <v>3.278</v>
      </c>
      <c r="E23" s="116">
        <v>5.0170000000000003</v>
      </c>
      <c r="F23" s="116">
        <v>5.0620000000000003</v>
      </c>
      <c r="G23" s="116">
        <v>5.3529999999999998</v>
      </c>
      <c r="H23" s="116">
        <v>5.0110000000000001</v>
      </c>
      <c r="I23" s="116">
        <v>9.3970000000000002</v>
      </c>
      <c r="J23" s="116">
        <v>16.971</v>
      </c>
      <c r="K23" s="116">
        <v>15.487</v>
      </c>
      <c r="L23" s="116">
        <v>47.3</v>
      </c>
      <c r="M23" s="116">
        <v>9.4719999999999995</v>
      </c>
      <c r="N23" s="20">
        <f>SUM(B23:M23)/12</f>
        <v>11.137833333333333</v>
      </c>
      <c r="O23" s="36" t="e">
        <v>#REF!</v>
      </c>
      <c r="P23" s="36" t="e">
        <v>#REF!</v>
      </c>
      <c r="Q23" s="36" t="e">
        <v>#REF!</v>
      </c>
      <c r="R23" s="36" t="e">
        <v>#REF!</v>
      </c>
      <c r="S23"/>
      <c r="T23"/>
    </row>
    <row r="24" spans="1:28" ht="18" x14ac:dyDescent="0.25">
      <c r="A24" s="100" t="s">
        <v>27</v>
      </c>
      <c r="B24" s="116">
        <v>0.16700000000000001</v>
      </c>
      <c r="C24" s="116">
        <v>0.22700000000000001</v>
      </c>
      <c r="D24" s="116">
        <v>0.38900000000000001</v>
      </c>
      <c r="E24" s="116">
        <v>0.11799999999999999</v>
      </c>
      <c r="F24" s="116">
        <v>0.127</v>
      </c>
      <c r="G24" s="116">
        <v>1.474</v>
      </c>
      <c r="H24" s="116">
        <v>8.8999999999999996E-2</v>
      </c>
      <c r="I24" s="116">
        <v>1.4019999999999999</v>
      </c>
      <c r="J24" s="116">
        <v>0.113</v>
      </c>
      <c r="K24" s="116">
        <v>0</v>
      </c>
      <c r="L24" s="116">
        <f>53-53</f>
        <v>0</v>
      </c>
      <c r="M24" s="116">
        <f>53-53</f>
        <v>0</v>
      </c>
      <c r="N24" s="71">
        <f>SUM(B24:M24)/12</f>
        <v>0.34216666666666667</v>
      </c>
      <c r="O24" s="38" t="e">
        <v>#REF!</v>
      </c>
      <c r="P24" s="38" t="e">
        <v>#REF!</v>
      </c>
      <c r="Q24" s="38" t="e">
        <v>#REF!</v>
      </c>
      <c r="R24" s="38" t="e">
        <v>#REF!</v>
      </c>
      <c r="S24"/>
      <c r="T24"/>
      <c r="V24" s="57"/>
      <c r="W24" s="57"/>
      <c r="X24" s="57"/>
      <c r="Y24" s="57"/>
      <c r="Z24" s="57"/>
      <c r="AA24" s="57"/>
      <c r="AB24" s="57"/>
    </row>
    <row r="25" spans="1:28" x14ac:dyDescent="0.25">
      <c r="A25" s="98" t="s">
        <v>28</v>
      </c>
      <c r="B25" s="20">
        <f t="shared" ref="B25:M25" si="1">SUM(B22:B24)</f>
        <v>286.86399999999998</v>
      </c>
      <c r="C25" s="20">
        <f t="shared" si="1"/>
        <v>274.40899999999999</v>
      </c>
      <c r="D25" s="20">
        <f t="shared" si="1"/>
        <v>257.029</v>
      </c>
      <c r="E25" s="20">
        <f t="shared" si="1"/>
        <v>217.22899999999998</v>
      </c>
      <c r="F25" s="20">
        <f t="shared" si="1"/>
        <v>184.94600000000003</v>
      </c>
      <c r="G25" s="20">
        <f t="shared" si="1"/>
        <v>359.28399999999999</v>
      </c>
      <c r="H25" s="20">
        <f t="shared" si="1"/>
        <v>352.07500000000005</v>
      </c>
      <c r="I25" s="20">
        <f t="shared" si="1"/>
        <v>388.125</v>
      </c>
      <c r="J25" s="20">
        <f t="shared" si="1"/>
        <v>399.964</v>
      </c>
      <c r="K25" s="20">
        <f t="shared" si="1"/>
        <v>402.05900000000003</v>
      </c>
      <c r="L25" s="20">
        <f t="shared" si="1"/>
        <v>451.85324999999995</v>
      </c>
      <c r="M25" s="20">
        <f t="shared" si="1"/>
        <v>407.916</v>
      </c>
      <c r="N25" s="20">
        <f>SUM(N22:N24)</f>
        <v>331.81277083333333</v>
      </c>
      <c r="O25" s="35" t="e">
        <f>(#REF!+#REF!+#REF!)/O$1</f>
        <v>#REF!</v>
      </c>
      <c r="P25" s="35" t="e">
        <f>(#REF!+#REF!+#REF!)/P$1</f>
        <v>#REF!</v>
      </c>
      <c r="Q25" s="35" t="e">
        <f>(#REF!+#REF!+#REF!)/Q$1</f>
        <v>#REF!</v>
      </c>
      <c r="R25" s="35" t="e">
        <f>SUM(R22:R24)</f>
        <v>#REF!</v>
      </c>
      <c r="S25"/>
      <c r="T25"/>
    </row>
    <row r="26" spans="1:28" ht="18" x14ac:dyDescent="0.25">
      <c r="A26" s="98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5"/>
      <c r="P26" s="35"/>
      <c r="Q26" s="35"/>
      <c r="R26" s="35"/>
      <c r="S26"/>
      <c r="T26"/>
      <c r="V26" s="57"/>
      <c r="W26" s="57"/>
      <c r="X26" s="57"/>
      <c r="Y26" s="57"/>
      <c r="Z26" s="57"/>
      <c r="AA26" s="57"/>
      <c r="AB26" s="57"/>
    </row>
    <row r="27" spans="1:28" x14ac:dyDescent="0.25">
      <c r="A27" s="98" t="s">
        <v>29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0"/>
      <c r="O27" s="34"/>
      <c r="P27" s="34"/>
      <c r="Q27" s="34"/>
      <c r="R27" s="34"/>
      <c r="S27"/>
      <c r="T27"/>
    </row>
    <row r="28" spans="1:28" ht="18" x14ac:dyDescent="0.25">
      <c r="A28" s="99" t="s">
        <v>21</v>
      </c>
      <c r="B28" s="116">
        <v>60</v>
      </c>
      <c r="C28" s="116">
        <v>60</v>
      </c>
      <c r="D28" s="116">
        <v>60</v>
      </c>
      <c r="E28" s="116">
        <v>60</v>
      </c>
      <c r="F28" s="116">
        <v>60</v>
      </c>
      <c r="G28" s="116">
        <v>62</v>
      </c>
      <c r="H28" s="116">
        <v>60</v>
      </c>
      <c r="I28" s="116">
        <v>60</v>
      </c>
      <c r="J28" s="116">
        <v>60</v>
      </c>
      <c r="K28" s="116">
        <v>60</v>
      </c>
      <c r="L28" s="116">
        <v>60</v>
      </c>
      <c r="M28" s="116">
        <v>60</v>
      </c>
      <c r="N28" s="20">
        <f>SUM(B28:M28)/12</f>
        <v>60.166666666666664</v>
      </c>
      <c r="O28" s="36" t="e">
        <v>#REF!</v>
      </c>
      <c r="P28" s="36" t="e">
        <v>#REF!</v>
      </c>
      <c r="Q28" s="36" t="e">
        <v>#REF!</v>
      </c>
      <c r="R28" s="36" t="e">
        <v>#REF!</v>
      </c>
      <c r="S28"/>
      <c r="T28"/>
      <c r="V28" s="57"/>
      <c r="W28" s="57"/>
      <c r="X28" s="57"/>
      <c r="Y28" s="57"/>
      <c r="Z28" s="57"/>
      <c r="AA28" s="57"/>
      <c r="AB28" s="57"/>
    </row>
    <row r="29" spans="1:28" x14ac:dyDescent="0.25">
      <c r="A29" s="99" t="s">
        <v>22</v>
      </c>
      <c r="B29" s="116">
        <v>58.606999999999999</v>
      </c>
      <c r="C29" s="116">
        <v>60</v>
      </c>
      <c r="D29" s="116">
        <v>59.941000000000003</v>
      </c>
      <c r="E29" s="116">
        <v>51.268000000000001</v>
      </c>
      <c r="F29" s="116">
        <v>59.518000000000001</v>
      </c>
      <c r="G29" s="116">
        <v>61.502000000000002</v>
      </c>
      <c r="H29" s="116">
        <v>60.472999999999999</v>
      </c>
      <c r="I29" s="116">
        <v>56.863</v>
      </c>
      <c r="J29" s="116">
        <v>52.722999999999999</v>
      </c>
      <c r="K29" s="116">
        <v>56.863</v>
      </c>
      <c r="L29" s="116">
        <v>51</v>
      </c>
      <c r="M29" s="116">
        <v>59.686</v>
      </c>
      <c r="N29" s="20">
        <f>SUM(B29:M29)/12</f>
        <v>57.370333333333342</v>
      </c>
      <c r="O29" s="36" t="e">
        <v>#REF!</v>
      </c>
      <c r="P29" s="36" t="e">
        <v>#REF!</v>
      </c>
      <c r="Q29" s="36" t="e">
        <v>#REF!</v>
      </c>
      <c r="R29" s="36" t="e">
        <v>#REF!</v>
      </c>
      <c r="S29"/>
      <c r="T29"/>
    </row>
    <row r="30" spans="1:28" ht="18" x14ac:dyDescent="0.25">
      <c r="A30" s="122" t="s">
        <v>93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f>9.3-9.3</f>
        <v>0</v>
      </c>
      <c r="M30" s="116">
        <f>9.5-9.5</f>
        <v>0</v>
      </c>
      <c r="N30" s="20">
        <f>SUM(B30:M30)/12</f>
        <v>0</v>
      </c>
      <c r="O30" s="36" t="e">
        <v>#REF!</v>
      </c>
      <c r="P30" s="36" t="e">
        <v>#REF!</v>
      </c>
      <c r="Q30" s="36" t="e">
        <v>#REF!</v>
      </c>
      <c r="R30" s="36" t="e">
        <v>#REF!</v>
      </c>
      <c r="S30"/>
      <c r="T30"/>
      <c r="V30" s="57"/>
      <c r="W30" s="57"/>
      <c r="X30" s="57"/>
      <c r="Y30" s="57"/>
      <c r="Z30" s="57"/>
      <c r="AA30" s="57"/>
      <c r="AB30" s="57"/>
    </row>
    <row r="31" spans="1:28" x14ac:dyDescent="0.25">
      <c r="A31" s="100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71">
        <f>SUM(B31:M31)/12</f>
        <v>0</v>
      </c>
      <c r="O31" s="38" t="e">
        <v>#REF!</v>
      </c>
      <c r="P31" s="38" t="e">
        <v>#REF!</v>
      </c>
      <c r="Q31" s="38" t="e">
        <v>#REF!</v>
      </c>
      <c r="R31" s="38" t="e">
        <v>#REF!</v>
      </c>
      <c r="S31"/>
      <c r="T31"/>
    </row>
    <row r="32" spans="1:28" ht="18" x14ac:dyDescent="0.25">
      <c r="A32" s="98" t="s">
        <v>30</v>
      </c>
      <c r="B32" s="20">
        <f>SUM(B29:B31)</f>
        <v>58.606999999999999</v>
      </c>
      <c r="C32" s="20">
        <f>SUM(C29:C31)</f>
        <v>60</v>
      </c>
      <c r="D32" s="20">
        <f t="shared" ref="D32:M32" si="2">SUM(D29:D31)</f>
        <v>59.941000000000003</v>
      </c>
      <c r="E32" s="20">
        <f t="shared" si="2"/>
        <v>51.268000000000001</v>
      </c>
      <c r="F32" s="20">
        <f t="shared" si="2"/>
        <v>59.518000000000001</v>
      </c>
      <c r="G32" s="20">
        <f t="shared" si="2"/>
        <v>61.502000000000002</v>
      </c>
      <c r="H32" s="20">
        <f t="shared" si="2"/>
        <v>60.472999999999999</v>
      </c>
      <c r="I32" s="20">
        <f t="shared" si="2"/>
        <v>56.863</v>
      </c>
      <c r="J32" s="20">
        <f t="shared" si="2"/>
        <v>52.722999999999999</v>
      </c>
      <c r="K32" s="20">
        <f t="shared" si="2"/>
        <v>56.863</v>
      </c>
      <c r="L32" s="20">
        <f t="shared" si="2"/>
        <v>51</v>
      </c>
      <c r="M32" s="20">
        <f t="shared" si="2"/>
        <v>59.686</v>
      </c>
      <c r="N32" s="20">
        <f>SUM(N29:N31)</f>
        <v>57.370333333333342</v>
      </c>
      <c r="O32" s="35" t="e">
        <f>(#REF!)/O$1</f>
        <v>#REF!</v>
      </c>
      <c r="P32" s="35" t="e">
        <f>(#REF!)/P$1</f>
        <v>#REF!</v>
      </c>
      <c r="Q32" s="35" t="e">
        <f>(#REF!)/Q$1</f>
        <v>#REF!</v>
      </c>
      <c r="R32" s="35" t="e">
        <f>SUM(R29:R31)</f>
        <v>#REF!</v>
      </c>
      <c r="S32"/>
      <c r="T32"/>
      <c r="V32" s="57"/>
      <c r="W32" s="57"/>
      <c r="X32" s="57"/>
      <c r="Y32" s="57"/>
      <c r="Z32" s="57"/>
      <c r="AA32" s="57"/>
      <c r="AB32" s="57"/>
    </row>
    <row r="33" spans="1:28" x14ac:dyDescent="0.25">
      <c r="A33" s="9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35"/>
      <c r="P33" s="35"/>
      <c r="Q33" s="35"/>
      <c r="R33" s="35"/>
      <c r="S33"/>
      <c r="T33"/>
    </row>
    <row r="34" spans="1:28" ht="18" x14ac:dyDescent="0.25">
      <c r="A34" s="98" t="s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0"/>
      <c r="O34" s="34"/>
      <c r="P34" s="34"/>
      <c r="Q34" s="34"/>
      <c r="R34" s="34"/>
      <c r="S34"/>
      <c r="T34"/>
      <c r="V34" s="57"/>
      <c r="W34" s="57"/>
      <c r="X34" s="57"/>
      <c r="Y34" s="57"/>
      <c r="Z34" s="57"/>
      <c r="AA34" s="57"/>
      <c r="AB34" s="57"/>
    </row>
    <row r="35" spans="1:28" x14ac:dyDescent="0.25">
      <c r="A35" s="99" t="s">
        <v>21</v>
      </c>
      <c r="B35" s="116">
        <v>93.6</v>
      </c>
      <c r="C35" s="116">
        <v>93.6</v>
      </c>
      <c r="D35" s="116">
        <v>129.6</v>
      </c>
      <c r="E35" s="116">
        <v>150.93299999999999</v>
      </c>
      <c r="F35" s="116">
        <v>180.697</v>
      </c>
      <c r="G35" s="116">
        <v>190.267</v>
      </c>
      <c r="H35" s="116">
        <v>183.6</v>
      </c>
      <c r="I35" s="116">
        <v>183.6</v>
      </c>
      <c r="J35" s="116">
        <v>183.6</v>
      </c>
      <c r="K35" s="116">
        <v>183.6</v>
      </c>
      <c r="L35" s="116">
        <f>138.6+5</f>
        <v>143.6</v>
      </c>
      <c r="M35" s="116">
        <v>193.6</v>
      </c>
      <c r="N35" s="20">
        <f>SUM(B35:M35)/12</f>
        <v>159.19141666666664</v>
      </c>
      <c r="O35" s="36" t="e">
        <v>#REF!</v>
      </c>
      <c r="P35" s="36" t="e">
        <v>#REF!</v>
      </c>
      <c r="Q35" s="36" t="e">
        <v>#REF!</v>
      </c>
      <c r="R35" s="36" t="e">
        <v>#REF!</v>
      </c>
      <c r="S35"/>
      <c r="T35"/>
    </row>
    <row r="36" spans="1:28" ht="18" x14ac:dyDescent="0.25">
      <c r="A36" s="99" t="s">
        <v>22</v>
      </c>
      <c r="B36" s="116">
        <v>68.879000000000005</v>
      </c>
      <c r="C36" s="116">
        <v>69.599999999999994</v>
      </c>
      <c r="D36" s="116">
        <v>112.491</v>
      </c>
      <c r="E36" s="116">
        <v>118.58499999999999</v>
      </c>
      <c r="F36" s="116">
        <v>177.26900000000001</v>
      </c>
      <c r="G36" s="116">
        <v>172.851</v>
      </c>
      <c r="H36" s="116">
        <v>163.387</v>
      </c>
      <c r="I36" s="116">
        <v>176.14699999999999</v>
      </c>
      <c r="J36" s="116">
        <v>163.976</v>
      </c>
      <c r="K36" s="116">
        <v>167.93</v>
      </c>
      <c r="L36" s="116">
        <f>117.81+4.25+60+45.107</f>
        <v>227.167</v>
      </c>
      <c r="M36" s="116">
        <v>180.124</v>
      </c>
      <c r="N36" s="20">
        <f>SUM(B36:M36)/12</f>
        <v>149.86716666666666</v>
      </c>
      <c r="O36" s="36" t="e">
        <v>#REF!</v>
      </c>
      <c r="P36" s="36" t="e">
        <v>#REF!</v>
      </c>
      <c r="Q36" s="36" t="e">
        <v>#REF!</v>
      </c>
      <c r="R36" s="36" t="e">
        <v>#REF!</v>
      </c>
      <c r="S36"/>
      <c r="T36"/>
      <c r="V36" s="57"/>
      <c r="W36" s="57"/>
      <c r="X36" s="57"/>
      <c r="Y36" s="57"/>
      <c r="Z36" s="57"/>
      <c r="AA36" s="57"/>
      <c r="AB36" s="57"/>
    </row>
    <row r="37" spans="1:28" x14ac:dyDescent="0.25">
      <c r="A37" s="99" t="s">
        <v>23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f>0</f>
        <v>0</v>
      </c>
      <c r="N37" s="20">
        <f>SUM(B37:M37)/12</f>
        <v>0</v>
      </c>
      <c r="O37" s="36" t="e">
        <v>#REF!</v>
      </c>
      <c r="P37" s="36" t="e">
        <v>#REF!</v>
      </c>
      <c r="Q37" s="36" t="e">
        <v>#REF!</v>
      </c>
      <c r="R37" s="36" t="e">
        <v>#REF!</v>
      </c>
      <c r="S37"/>
      <c r="T37"/>
    </row>
    <row r="38" spans="1:28" ht="18" x14ac:dyDescent="0.25">
      <c r="A38" s="99" t="s">
        <v>96</v>
      </c>
      <c r="B38" s="116">
        <v>13.999000000000001</v>
      </c>
      <c r="C38" s="116">
        <v>14</v>
      </c>
      <c r="D38" s="116">
        <v>13.861000000000001</v>
      </c>
      <c r="E38" s="116">
        <v>8.202</v>
      </c>
      <c r="F38" s="116"/>
      <c r="G38" s="116"/>
      <c r="H38" s="116"/>
      <c r="I38" s="116"/>
      <c r="J38" s="116"/>
      <c r="K38" s="116"/>
      <c r="L38" s="116"/>
      <c r="M38" s="116">
        <v>9.6769999999999996</v>
      </c>
      <c r="N38" s="20">
        <f>SUM(B38:M38)/12</f>
        <v>4.9782500000000001</v>
      </c>
      <c r="O38" s="36" t="e">
        <v>#REF!</v>
      </c>
      <c r="P38" s="36" t="e">
        <v>#REF!</v>
      </c>
      <c r="Q38" s="36" t="e">
        <v>#REF!</v>
      </c>
      <c r="R38" s="36" t="e">
        <v>#REF!</v>
      </c>
      <c r="S38"/>
      <c r="T38"/>
      <c r="V38" s="57"/>
      <c r="W38" s="57"/>
      <c r="X38" s="57"/>
      <c r="Y38" s="57"/>
      <c r="Z38" s="57"/>
      <c r="AA38" s="57"/>
      <c r="AB38" s="57"/>
    </row>
    <row r="39" spans="1:28" x14ac:dyDescent="0.25">
      <c r="A39" s="100" t="s">
        <v>27</v>
      </c>
      <c r="B39" s="117">
        <v>0</v>
      </c>
      <c r="C39" s="117">
        <v>0</v>
      </c>
      <c r="D39" s="117">
        <v>0</v>
      </c>
      <c r="E39" s="117">
        <v>0</v>
      </c>
      <c r="F39" s="117">
        <v>0.80600000000000005</v>
      </c>
      <c r="G39" s="117">
        <f>-44.226</f>
        <v>-44.225999999999999</v>
      </c>
      <c r="H39" s="117">
        <v>0</v>
      </c>
      <c r="I39" s="117">
        <v>0</v>
      </c>
      <c r="J39" s="117">
        <v>0</v>
      </c>
      <c r="K39" s="117">
        <v>0</v>
      </c>
      <c r="L39" s="117">
        <v>4.3289999999999997</v>
      </c>
      <c r="M39" s="117">
        <v>0</v>
      </c>
      <c r="N39" s="71">
        <f>SUM(B39:M39)/12</f>
        <v>-3.2575833333333333</v>
      </c>
      <c r="O39" s="38" t="e">
        <v>#REF!</v>
      </c>
      <c r="P39" s="38" t="e">
        <v>#REF!</v>
      </c>
      <c r="Q39" s="38" t="e">
        <v>#REF!</v>
      </c>
      <c r="R39" s="38" t="e">
        <v>#REF!</v>
      </c>
      <c r="S39"/>
      <c r="T39"/>
    </row>
    <row r="40" spans="1:28" ht="18" x14ac:dyDescent="0.25">
      <c r="A40" s="98" t="s">
        <v>32</v>
      </c>
      <c r="B40" s="20">
        <f t="shared" ref="B40:M40" si="3">SUM(B36:B39)</f>
        <v>82.878</v>
      </c>
      <c r="C40" s="20">
        <f t="shared" si="3"/>
        <v>83.6</v>
      </c>
      <c r="D40" s="20">
        <f t="shared" si="3"/>
        <v>126.352</v>
      </c>
      <c r="E40" s="20">
        <f t="shared" si="3"/>
        <v>126.78699999999999</v>
      </c>
      <c r="F40" s="20">
        <f t="shared" si="3"/>
        <v>178.07500000000002</v>
      </c>
      <c r="G40" s="20">
        <f t="shared" si="3"/>
        <v>128.625</v>
      </c>
      <c r="H40" s="20">
        <f t="shared" si="3"/>
        <v>163.387</v>
      </c>
      <c r="I40" s="20">
        <f t="shared" si="3"/>
        <v>176.14699999999999</v>
      </c>
      <c r="J40" s="20">
        <f t="shared" si="3"/>
        <v>163.976</v>
      </c>
      <c r="K40" s="20">
        <f t="shared" si="3"/>
        <v>167.93</v>
      </c>
      <c r="L40" s="20">
        <f t="shared" si="3"/>
        <v>231.49600000000001</v>
      </c>
      <c r="M40" s="20">
        <f t="shared" si="3"/>
        <v>189.80099999999999</v>
      </c>
      <c r="N40" s="20">
        <f>SUM(N36:N39)</f>
        <v>151.58783333333332</v>
      </c>
      <c r="O40" s="35" t="e">
        <v>#REF!</v>
      </c>
      <c r="P40" s="35" t="e">
        <v>#REF!</v>
      </c>
      <c r="Q40" s="35" t="e">
        <v>#REF!</v>
      </c>
      <c r="R40" s="35" t="e">
        <v>#REF!</v>
      </c>
      <c r="S40"/>
      <c r="T40"/>
      <c r="V40" s="57"/>
      <c r="W40" s="57"/>
      <c r="X40" s="57"/>
      <c r="Y40" s="57"/>
      <c r="Z40" s="57"/>
      <c r="AA40" s="57"/>
      <c r="AB40" s="57"/>
    </row>
    <row r="41" spans="1:28" s="26" customFormat="1" x14ac:dyDescent="0.25">
      <c r="A41" s="101" t="s">
        <v>33</v>
      </c>
      <c r="B41" s="69">
        <f>B18+B25+B32+B40</f>
        <v>869.13</v>
      </c>
      <c r="C41" s="69">
        <f>C18+C25+C32+C40</f>
        <v>856.4910000000001</v>
      </c>
      <c r="D41" s="69">
        <f t="shared" ref="D41:N41" si="4">D18+D25+D32+D40</f>
        <v>905.00300000000004</v>
      </c>
      <c r="E41" s="69">
        <f t="shared" si="4"/>
        <v>728.49600000000009</v>
      </c>
      <c r="F41" s="69">
        <f t="shared" si="4"/>
        <v>828.48800000000006</v>
      </c>
      <c r="G41" s="69">
        <f t="shared" si="4"/>
        <v>943.95299999999997</v>
      </c>
      <c r="H41" s="69">
        <f t="shared" si="4"/>
        <v>984.72199999999998</v>
      </c>
      <c r="I41" s="69">
        <f t="shared" si="4"/>
        <v>1035.6209999999999</v>
      </c>
      <c r="J41" s="69">
        <f t="shared" si="4"/>
        <v>1062.7150000000001</v>
      </c>
      <c r="K41" s="69">
        <f t="shared" si="4"/>
        <v>1052.7410000000002</v>
      </c>
      <c r="L41" s="69">
        <f t="shared" si="4"/>
        <v>962.99924999999996</v>
      </c>
      <c r="M41" s="69">
        <f t="shared" si="4"/>
        <v>1105.33</v>
      </c>
      <c r="N41" s="91">
        <f t="shared" si="4"/>
        <v>944.64077083333336</v>
      </c>
      <c r="O41" s="39" t="e">
        <f>(#REF!+#REF!+#REF!)/O$1</f>
        <v>#REF!</v>
      </c>
      <c r="P41" s="39" t="e">
        <f>(#REF!+#REF!+#REF!)/P$1</f>
        <v>#REF!</v>
      </c>
      <c r="Q41" s="39" t="e">
        <f>(#REF!+#REF!+#REF!)/Q$1</f>
        <v>#REF!</v>
      </c>
      <c r="R41" s="39" t="e">
        <f>R18+R25+R32+R40</f>
        <v>#REF!</v>
      </c>
      <c r="S41"/>
      <c r="T41"/>
      <c r="U41" s="20"/>
      <c r="V41" s="8"/>
      <c r="W41" s="8"/>
      <c r="X41" s="8"/>
      <c r="Y41" s="8"/>
      <c r="Z41" s="8"/>
      <c r="AA41" s="8"/>
      <c r="AB41" s="8"/>
    </row>
    <row r="42" spans="1:28" s="26" customFormat="1" ht="18" x14ac:dyDescent="0.25">
      <c r="A42" s="101" t="s">
        <v>34</v>
      </c>
      <c r="B42" s="69">
        <f>+B14+B21+B28+B35</f>
        <v>976.548</v>
      </c>
      <c r="C42" s="69">
        <f>+C14+C21+C28+C35</f>
        <v>969.75</v>
      </c>
      <c r="D42" s="69">
        <f t="shared" ref="D42:N42" si="5">+D14+D21+D28+D35</f>
        <v>1017.75</v>
      </c>
      <c r="E42" s="69">
        <f t="shared" si="5"/>
        <v>990.75</v>
      </c>
      <c r="F42" s="69">
        <f t="shared" si="5"/>
        <v>1041.308</v>
      </c>
      <c r="G42" s="69">
        <f t="shared" si="5"/>
        <v>1059.8500000000001</v>
      </c>
      <c r="H42" s="69">
        <f t="shared" si="5"/>
        <v>1088.7849999999999</v>
      </c>
      <c r="I42" s="69">
        <f t="shared" si="5"/>
        <v>1086.8499999999999</v>
      </c>
      <c r="J42" s="69">
        <f t="shared" si="5"/>
        <v>1086.8499999999999</v>
      </c>
      <c r="K42" s="69">
        <f t="shared" si="5"/>
        <v>1086.8499999999999</v>
      </c>
      <c r="L42" s="69">
        <f t="shared" si="5"/>
        <v>1105.925</v>
      </c>
      <c r="M42" s="69">
        <f t="shared" si="5"/>
        <v>1096.8499999999999</v>
      </c>
      <c r="N42" s="91">
        <f t="shared" si="5"/>
        <v>1050.6721666666667</v>
      </c>
      <c r="O42" s="39" t="e">
        <f>#REF!+O35+#REF!+O28+O21+O14</f>
        <v>#REF!</v>
      </c>
      <c r="P42" s="39" t="e">
        <f>#REF!+P35+#REF!+P28+P21+P14</f>
        <v>#REF!</v>
      </c>
      <c r="Q42" s="39" t="e">
        <f>#REF!+Q35+#REF!+Q28+Q21+Q14</f>
        <v>#REF!</v>
      </c>
      <c r="R42" s="39" t="e">
        <f>#REF!+R35+#REF!+R28+R21+R14</f>
        <v>#REF!</v>
      </c>
      <c r="S42"/>
      <c r="T42"/>
      <c r="U42" s="20"/>
      <c r="V42" s="57"/>
      <c r="W42" s="57"/>
      <c r="X42" s="57"/>
      <c r="Y42" s="57"/>
      <c r="Z42" s="57"/>
      <c r="AA42" s="57"/>
      <c r="AB42" s="57"/>
    </row>
    <row r="43" spans="1:28" x14ac:dyDescent="0.25">
      <c r="A43" s="10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0"/>
      <c r="O43" s="36"/>
      <c r="P43" s="36"/>
      <c r="Q43" s="36"/>
      <c r="R43" s="36"/>
      <c r="S43"/>
      <c r="T43"/>
    </row>
    <row r="44" spans="1:28" ht="18" x14ac:dyDescent="0.25">
      <c r="A44" s="97" t="s">
        <v>35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70"/>
      <c r="O44" s="32"/>
      <c r="P44" s="32"/>
      <c r="Q44" s="32"/>
      <c r="R44" s="32"/>
      <c r="S44"/>
      <c r="T44"/>
      <c r="V44" s="57"/>
      <c r="W44" s="57"/>
      <c r="X44" s="57"/>
      <c r="Y44" s="57"/>
      <c r="Z44" s="57"/>
      <c r="AA44" s="57"/>
      <c r="AB44" s="57"/>
    </row>
    <row r="45" spans="1:28" x14ac:dyDescent="0.25">
      <c r="A45" s="98" t="s">
        <v>91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0"/>
      <c r="O45" s="34"/>
      <c r="P45" s="34"/>
      <c r="Q45" s="34"/>
      <c r="R45" s="34"/>
      <c r="S45"/>
      <c r="T45"/>
    </row>
    <row r="46" spans="1:28" ht="18" x14ac:dyDescent="0.25">
      <c r="A46" s="99" t="s">
        <v>21</v>
      </c>
      <c r="B46" s="116">
        <v>45</v>
      </c>
      <c r="C46" s="116">
        <v>45</v>
      </c>
      <c r="D46" s="116">
        <v>0</v>
      </c>
      <c r="E46" s="116">
        <v>8</v>
      </c>
      <c r="F46" s="116">
        <v>49.031999999999996</v>
      </c>
      <c r="G46" s="116">
        <v>80</v>
      </c>
      <c r="H46" s="116">
        <v>80</v>
      </c>
      <c r="I46" s="116">
        <v>80</v>
      </c>
      <c r="J46" s="116">
        <v>80</v>
      </c>
      <c r="K46" s="116">
        <v>80</v>
      </c>
      <c r="L46" s="116">
        <v>0</v>
      </c>
      <c r="M46" s="116">
        <v>80</v>
      </c>
      <c r="N46" s="20">
        <f>SUM(B46:M46)/12</f>
        <v>52.252666666666663</v>
      </c>
      <c r="O46" s="36" t="e">
        <v>#REF!</v>
      </c>
      <c r="P46" s="36" t="e">
        <v>#REF!</v>
      </c>
      <c r="Q46" s="36" t="e">
        <v>#REF!</v>
      </c>
      <c r="R46" s="36" t="e">
        <v>#REF!</v>
      </c>
      <c r="S46"/>
      <c r="T46"/>
      <c r="V46" s="57"/>
      <c r="W46" s="57"/>
      <c r="X46" s="57"/>
      <c r="Y46" s="57"/>
      <c r="Z46" s="57"/>
      <c r="AA46" s="57"/>
      <c r="AB46" s="57"/>
    </row>
    <row r="47" spans="1:28" x14ac:dyDescent="0.25">
      <c r="A47" s="99" t="s">
        <v>22</v>
      </c>
      <c r="B47" s="116">
        <v>0</v>
      </c>
      <c r="C47" s="116">
        <v>0</v>
      </c>
      <c r="D47" s="116">
        <v>9.9770000000000003</v>
      </c>
      <c r="E47" s="116">
        <v>27.03</v>
      </c>
      <c r="F47" s="116">
        <f>5.432+32.825</f>
        <v>38.257000000000005</v>
      </c>
      <c r="G47" s="116">
        <v>26.826000000000001</v>
      </c>
      <c r="H47" s="116">
        <v>28.887</v>
      </c>
      <c r="I47" s="116">
        <v>29.498999999999999</v>
      </c>
      <c r="J47" s="116">
        <v>16.193000000000001</v>
      </c>
      <c r="K47" s="116">
        <v>15.68</v>
      </c>
      <c r="L47" s="116">
        <v>0</v>
      </c>
      <c r="M47" s="116">
        <v>9.1780000000000008</v>
      </c>
      <c r="N47" s="20">
        <f>SUM(B47:M47)/12</f>
        <v>16.793916666666668</v>
      </c>
      <c r="O47" s="36" t="e">
        <v>#REF!</v>
      </c>
      <c r="P47" s="36" t="e">
        <v>#REF!</v>
      </c>
      <c r="Q47" s="36" t="e">
        <v>#REF!</v>
      </c>
      <c r="R47" s="36" t="e">
        <v>#REF!</v>
      </c>
      <c r="S47"/>
      <c r="T47"/>
    </row>
    <row r="48" spans="1:28" ht="18" x14ac:dyDescent="0.25">
      <c r="A48" s="99" t="s">
        <v>23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20">
        <f>SUM(B48:M48)/12</f>
        <v>0</v>
      </c>
      <c r="O48" s="36" t="e">
        <v>#REF!</v>
      </c>
      <c r="P48" s="36" t="e">
        <v>#REF!</v>
      </c>
      <c r="Q48" s="36" t="e">
        <v>#REF!</v>
      </c>
      <c r="R48" s="36" t="e">
        <v>#REF!</v>
      </c>
      <c r="S48"/>
      <c r="T48"/>
      <c r="V48" s="57"/>
      <c r="W48" s="57"/>
      <c r="X48" s="57"/>
      <c r="Y48" s="57"/>
      <c r="Z48" s="57"/>
      <c r="AA48" s="57"/>
      <c r="AB48" s="57"/>
    </row>
    <row r="49" spans="1:28" x14ac:dyDescent="0.25">
      <c r="A49" s="100" t="s">
        <v>27</v>
      </c>
      <c r="B49" s="117">
        <v>2.621</v>
      </c>
      <c r="C49" s="117">
        <v>0</v>
      </c>
      <c r="D49" s="117">
        <v>0</v>
      </c>
      <c r="E49" s="117">
        <v>1.0640000000000001</v>
      </c>
      <c r="F49" s="117">
        <v>4.141</v>
      </c>
      <c r="G49" s="117">
        <f>1.309</f>
        <v>1.3089999999999999</v>
      </c>
      <c r="H49" s="117">
        <v>3.8769999999999998</v>
      </c>
      <c r="I49" s="117">
        <f>20.754</f>
        <v>20.754000000000001</v>
      </c>
      <c r="J49" s="117">
        <v>7.3330000000000002</v>
      </c>
      <c r="K49" s="117">
        <v>4.3550000000000004</v>
      </c>
      <c r="L49" s="117">
        <v>0</v>
      </c>
      <c r="M49" s="117">
        <v>1.194</v>
      </c>
      <c r="N49" s="71">
        <f>SUM(B49:M49)/12</f>
        <v>3.8873333333333342</v>
      </c>
      <c r="O49" s="38" t="e">
        <v>#REF!</v>
      </c>
      <c r="P49" s="38" t="e">
        <v>#REF!</v>
      </c>
      <c r="Q49" s="38" t="e">
        <v>#REF!</v>
      </c>
      <c r="R49" s="38" t="e">
        <v>#REF!</v>
      </c>
      <c r="S49"/>
      <c r="T49"/>
    </row>
    <row r="50" spans="1:28" ht="18" x14ac:dyDescent="0.25">
      <c r="A50" s="98" t="s">
        <v>36</v>
      </c>
      <c r="B50" s="20">
        <f t="shared" ref="B50:M50" si="6">SUM(B47:B49)</f>
        <v>2.621</v>
      </c>
      <c r="C50" s="20">
        <f t="shared" si="6"/>
        <v>0</v>
      </c>
      <c r="D50" s="20">
        <f t="shared" si="6"/>
        <v>9.9770000000000003</v>
      </c>
      <c r="E50" s="20">
        <f t="shared" si="6"/>
        <v>28.094000000000001</v>
      </c>
      <c r="F50" s="20">
        <f t="shared" si="6"/>
        <v>42.398000000000003</v>
      </c>
      <c r="G50" s="20">
        <f t="shared" si="6"/>
        <v>28.135000000000002</v>
      </c>
      <c r="H50" s="20">
        <f t="shared" si="6"/>
        <v>32.764000000000003</v>
      </c>
      <c r="I50" s="20">
        <f t="shared" si="6"/>
        <v>50.253</v>
      </c>
      <c r="J50" s="20">
        <f t="shared" si="6"/>
        <v>23.526000000000003</v>
      </c>
      <c r="K50" s="20">
        <f t="shared" si="6"/>
        <v>20.035</v>
      </c>
      <c r="L50" s="20">
        <f t="shared" si="6"/>
        <v>0</v>
      </c>
      <c r="M50" s="20">
        <f t="shared" si="6"/>
        <v>10.372</v>
      </c>
      <c r="N50" s="20">
        <f>SUM(N47:N49)</f>
        <v>20.681250000000002</v>
      </c>
      <c r="O50" s="35" t="e">
        <f>(#REF!+#REF!+#REF!+#REF!)/O$1</f>
        <v>#REF!</v>
      </c>
      <c r="P50" s="35" t="e">
        <f>(#REF!+#REF!+#REF!+#REF!)/P$1</f>
        <v>#REF!</v>
      </c>
      <c r="Q50" s="35" t="e">
        <f>(#REF!+#REF!+#REF!+#REF!)/Q$1</f>
        <v>#REF!</v>
      </c>
      <c r="R50" s="35" t="e">
        <f>SUM(R47:R49)</f>
        <v>#REF!</v>
      </c>
      <c r="S50"/>
      <c r="T50"/>
      <c r="V50" s="57"/>
      <c r="W50" s="57"/>
      <c r="X50" s="57"/>
      <c r="Y50" s="57"/>
      <c r="Z50" s="57"/>
      <c r="AA50" s="57"/>
      <c r="AB50" s="57"/>
    </row>
    <row r="51" spans="1:28" x14ac:dyDescent="0.25">
      <c r="A51" s="9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35"/>
      <c r="P51" s="35"/>
      <c r="Q51" s="35"/>
      <c r="R51" s="35"/>
      <c r="S51"/>
      <c r="T51"/>
    </row>
    <row r="52" spans="1:28" ht="18" x14ac:dyDescent="0.25">
      <c r="A52" s="98" t="s">
        <v>37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20"/>
      <c r="O52" s="34"/>
      <c r="P52" s="34"/>
      <c r="Q52" s="34"/>
      <c r="R52" s="34"/>
      <c r="S52"/>
      <c r="T52"/>
      <c r="V52" s="57"/>
      <c r="W52" s="57"/>
      <c r="X52" s="57"/>
      <c r="Y52" s="57"/>
      <c r="Z52" s="57"/>
      <c r="AA52" s="57"/>
      <c r="AB52" s="57"/>
    </row>
    <row r="53" spans="1:28" x14ac:dyDescent="0.25">
      <c r="A53" s="99" t="s">
        <v>21</v>
      </c>
      <c r="B53" s="116">
        <v>243.012</v>
      </c>
      <c r="C53" s="116">
        <v>236.22900000000001</v>
      </c>
      <c r="D53" s="116">
        <v>227.86099999999999</v>
      </c>
      <c r="E53" s="116">
        <v>569.46699999999998</v>
      </c>
      <c r="F53" s="116">
        <v>506.10500000000002</v>
      </c>
      <c r="G53" s="116">
        <v>469.31</v>
      </c>
      <c r="H53" s="116">
        <v>449.35300000000001</v>
      </c>
      <c r="I53" s="116">
        <v>476.11200000000002</v>
      </c>
      <c r="J53" s="116">
        <v>501.512</v>
      </c>
      <c r="K53" s="116">
        <v>507.25200000000001</v>
      </c>
      <c r="L53" s="116">
        <f>235.85-25+400-50-40+20-35.7</f>
        <v>505.15000000000003</v>
      </c>
      <c r="M53" s="116">
        <v>521.29200000000003</v>
      </c>
      <c r="N53" s="20">
        <f>SUM(B53:M53)/12</f>
        <v>434.38791666666674</v>
      </c>
      <c r="O53" s="36" t="e">
        <v>#REF!</v>
      </c>
      <c r="P53" s="36" t="e">
        <v>#REF!</v>
      </c>
      <c r="Q53" s="36" t="e">
        <v>#REF!</v>
      </c>
      <c r="R53" s="36" t="e">
        <v>#REF!</v>
      </c>
      <c r="S53"/>
      <c r="T53"/>
    </row>
    <row r="54" spans="1:28" ht="18" x14ac:dyDescent="0.25">
      <c r="A54" s="99" t="s">
        <v>22</v>
      </c>
      <c r="B54" s="116">
        <v>199.239</v>
      </c>
      <c r="C54" s="116">
        <v>206.565</v>
      </c>
      <c r="D54" s="116">
        <v>219.90600000000001</v>
      </c>
      <c r="E54" s="116">
        <v>319.02</v>
      </c>
      <c r="F54" s="116">
        <v>333.50799999999998</v>
      </c>
      <c r="G54" s="116">
        <v>163.245</v>
      </c>
      <c r="H54" s="116">
        <v>201.024</v>
      </c>
      <c r="I54" s="116">
        <v>191.96199999999999</v>
      </c>
      <c r="J54" s="116">
        <v>224.42500000000001</v>
      </c>
      <c r="K54" s="116">
        <v>165.529</v>
      </c>
      <c r="L54" s="116">
        <f>183.963-19.5+100-39</f>
        <v>225.46299999999997</v>
      </c>
      <c r="M54" s="116">
        <v>156.476</v>
      </c>
      <c r="N54" s="20">
        <f>SUM(B54:M54)/12</f>
        <v>217.19683333333339</v>
      </c>
      <c r="O54" s="36" t="e">
        <v>#REF!</v>
      </c>
      <c r="P54" s="36" t="e">
        <v>#REF!</v>
      </c>
      <c r="Q54" s="36" t="e">
        <v>#REF!</v>
      </c>
      <c r="R54" s="36" t="e">
        <v>#REF!</v>
      </c>
      <c r="S54"/>
      <c r="T54"/>
      <c r="V54" s="57"/>
      <c r="W54" s="57"/>
      <c r="X54" s="57"/>
      <c r="Y54" s="57"/>
      <c r="Z54" s="57"/>
      <c r="AA54" s="57"/>
      <c r="AB54" s="57"/>
    </row>
    <row r="55" spans="1:28" x14ac:dyDescent="0.25">
      <c r="A55" s="99" t="s">
        <v>23</v>
      </c>
      <c r="B55" s="116">
        <v>0</v>
      </c>
      <c r="C55" s="116">
        <v>0</v>
      </c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10.3</v>
      </c>
      <c r="M55" s="116">
        <f>0</f>
        <v>0</v>
      </c>
      <c r="N55" s="20">
        <f>SUM(B55:M55)/12</f>
        <v>0.85833333333333339</v>
      </c>
      <c r="O55" s="36" t="e">
        <v>#REF!</v>
      </c>
      <c r="P55" s="36" t="e">
        <v>#REF!</v>
      </c>
      <c r="Q55" s="36" t="e">
        <v>#REF!</v>
      </c>
      <c r="R55" s="36" t="e">
        <v>#REF!</v>
      </c>
      <c r="S55"/>
      <c r="T55"/>
    </row>
    <row r="56" spans="1:28" ht="18" x14ac:dyDescent="0.25">
      <c r="A56" s="99" t="s">
        <v>97</v>
      </c>
      <c r="B56" s="116">
        <v>0.2</v>
      </c>
      <c r="C56" s="116">
        <v>1.609</v>
      </c>
      <c r="D56" s="116">
        <f>-0.161</f>
        <v>-0.161</v>
      </c>
      <c r="E56" s="116">
        <v>0.43</v>
      </c>
      <c r="F56" s="116">
        <v>4.9000000000000002E-2</v>
      </c>
      <c r="G56" s="116">
        <v>0.05</v>
      </c>
      <c r="H56" s="116">
        <f>0</f>
        <v>0</v>
      </c>
      <c r="I56" s="116">
        <v>0</v>
      </c>
      <c r="J56" s="116">
        <f>0</f>
        <v>0</v>
      </c>
      <c r="K56" s="116">
        <f>0</f>
        <v>0</v>
      </c>
      <c r="L56" s="116"/>
      <c r="M56" s="116">
        <f>-0.102</f>
        <v>-0.10199999999999999</v>
      </c>
      <c r="N56" s="20"/>
      <c r="O56" s="36"/>
      <c r="P56" s="36"/>
      <c r="Q56" s="36"/>
      <c r="R56" s="36"/>
      <c r="S56"/>
      <c r="T56"/>
      <c r="V56" s="57"/>
      <c r="W56" s="57"/>
      <c r="X56" s="57"/>
      <c r="Y56" s="57"/>
      <c r="Z56" s="57"/>
      <c r="AA56" s="57"/>
      <c r="AB56" s="57"/>
    </row>
    <row r="57" spans="1:28" x14ac:dyDescent="0.25">
      <c r="A57" s="100" t="s">
        <v>27</v>
      </c>
      <c r="B57" s="117">
        <v>35.206000000000003</v>
      </c>
      <c r="C57" s="117">
        <v>23.867000000000001</v>
      </c>
      <c r="D57" s="117">
        <v>26.283999999999999</v>
      </c>
      <c r="E57" s="117">
        <v>23.873999999999999</v>
      </c>
      <c r="F57" s="117">
        <v>20.190000000000001</v>
      </c>
      <c r="G57" s="117">
        <v>23.893000000000001</v>
      </c>
      <c r="H57" s="117">
        <v>46.78</v>
      </c>
      <c r="I57" s="117">
        <v>36.822000000000003</v>
      </c>
      <c r="J57" s="117">
        <v>11.07</v>
      </c>
      <c r="K57" s="117">
        <v>18.821999999999999</v>
      </c>
      <c r="L57" s="117">
        <v>35</v>
      </c>
      <c r="M57" s="117">
        <v>30.594000000000001</v>
      </c>
      <c r="N57" s="71">
        <f>SUM(B57:M57)/12</f>
        <v>27.700166666666664</v>
      </c>
      <c r="O57" s="38" t="e">
        <v>#REF!</v>
      </c>
      <c r="P57" s="38" t="e">
        <v>#REF!</v>
      </c>
      <c r="Q57" s="38" t="e">
        <v>#REF!</v>
      </c>
      <c r="R57" s="38" t="e">
        <v>#REF!</v>
      </c>
      <c r="S57"/>
      <c r="T57"/>
    </row>
    <row r="58" spans="1:28" ht="18" x14ac:dyDescent="0.25">
      <c r="A58" s="98" t="s">
        <v>38</v>
      </c>
      <c r="B58" s="20">
        <f t="shared" ref="B58:M58" si="7">SUM(B54:B57)</f>
        <v>234.64499999999998</v>
      </c>
      <c r="C58" s="20">
        <f t="shared" si="7"/>
        <v>232.041</v>
      </c>
      <c r="D58" s="20">
        <f t="shared" si="7"/>
        <v>246.029</v>
      </c>
      <c r="E58" s="20">
        <f t="shared" si="7"/>
        <v>343.32400000000001</v>
      </c>
      <c r="F58" s="20">
        <f t="shared" si="7"/>
        <v>353.74699999999996</v>
      </c>
      <c r="G58" s="20">
        <f t="shared" si="7"/>
        <v>187.18800000000002</v>
      </c>
      <c r="H58" s="20">
        <f t="shared" si="7"/>
        <v>247.804</v>
      </c>
      <c r="I58" s="20">
        <f t="shared" si="7"/>
        <v>228.78399999999999</v>
      </c>
      <c r="J58" s="20">
        <f t="shared" si="7"/>
        <v>235.495</v>
      </c>
      <c r="K58" s="20">
        <f t="shared" si="7"/>
        <v>184.351</v>
      </c>
      <c r="L58" s="20">
        <f t="shared" si="7"/>
        <v>270.76299999999998</v>
      </c>
      <c r="M58" s="20">
        <f t="shared" si="7"/>
        <v>186.96799999999999</v>
      </c>
      <c r="N58" s="20">
        <f>SUM(N54:N57)</f>
        <v>245.75533333333337</v>
      </c>
      <c r="O58" s="35" t="e">
        <f>(#REF!+#REF!+#REF!)/O$1</f>
        <v>#REF!</v>
      </c>
      <c r="P58" s="35" t="e">
        <f>(#REF!+#REF!+#REF!)/P$1</f>
        <v>#REF!</v>
      </c>
      <c r="Q58" s="35" t="e">
        <f>(#REF!+#REF!+#REF!)/Q$1</f>
        <v>#REF!</v>
      </c>
      <c r="R58" s="35" t="e">
        <f>SUM(R54:R57)</f>
        <v>#REF!</v>
      </c>
      <c r="S58"/>
      <c r="T58"/>
      <c r="V58" s="57"/>
      <c r="W58" s="57"/>
      <c r="X58" s="57"/>
      <c r="Y58" s="57"/>
      <c r="Z58" s="57"/>
      <c r="AA58" s="57"/>
      <c r="AB58" s="57"/>
    </row>
    <row r="59" spans="1:28" x14ac:dyDescent="0.25">
      <c r="A59" s="9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35"/>
      <c r="P59" s="35"/>
      <c r="Q59" s="35"/>
      <c r="R59" s="35"/>
      <c r="S59"/>
      <c r="T59"/>
    </row>
    <row r="60" spans="1:28" ht="18" x14ac:dyDescent="0.25">
      <c r="A60" s="98" t="s">
        <v>39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0"/>
      <c r="O60" s="34"/>
      <c r="P60" s="34"/>
      <c r="Q60" s="34"/>
      <c r="R60" s="34"/>
      <c r="S60"/>
      <c r="T60"/>
      <c r="V60" s="57"/>
      <c r="W60" s="57"/>
      <c r="X60" s="57"/>
      <c r="Y60" s="57"/>
      <c r="Z60" s="57"/>
      <c r="AA60" s="57"/>
      <c r="AB60" s="57"/>
    </row>
    <row r="61" spans="1:28" x14ac:dyDescent="0.25">
      <c r="A61" s="99" t="s">
        <v>21</v>
      </c>
      <c r="B61" s="116">
        <v>40</v>
      </c>
      <c r="C61" s="116">
        <v>40</v>
      </c>
      <c r="D61" s="116">
        <v>40</v>
      </c>
      <c r="E61" s="116">
        <v>40</v>
      </c>
      <c r="F61" s="116">
        <v>40</v>
      </c>
      <c r="G61" s="116">
        <v>40</v>
      </c>
      <c r="H61" s="116">
        <v>40</v>
      </c>
      <c r="I61" s="116">
        <v>40</v>
      </c>
      <c r="J61" s="116">
        <v>40</v>
      </c>
      <c r="K61" s="116">
        <v>40</v>
      </c>
      <c r="L61" s="116">
        <v>40</v>
      </c>
      <c r="M61" s="116">
        <v>40</v>
      </c>
      <c r="N61" s="20">
        <f>SUM(B61:M61)/12</f>
        <v>40</v>
      </c>
      <c r="O61" s="36" t="e">
        <v>#REF!</v>
      </c>
      <c r="P61" s="36" t="e">
        <v>#REF!</v>
      </c>
      <c r="Q61" s="36" t="e">
        <v>#REF!</v>
      </c>
      <c r="R61" s="36" t="e">
        <v>#REF!</v>
      </c>
      <c r="S61"/>
      <c r="T61"/>
    </row>
    <row r="62" spans="1:28" ht="18" x14ac:dyDescent="0.25">
      <c r="A62" s="99" t="s">
        <v>22</v>
      </c>
      <c r="B62" s="116">
        <v>17.931000000000001</v>
      </c>
      <c r="C62" s="116">
        <v>27.172000000000001</v>
      </c>
      <c r="D62" s="116">
        <v>24.3</v>
      </c>
      <c r="E62" s="116">
        <v>21.137</v>
      </c>
      <c r="F62" s="116">
        <v>26.988</v>
      </c>
      <c r="G62" s="116">
        <v>35.279000000000003</v>
      </c>
      <c r="H62" s="116">
        <v>24.428000000000001</v>
      </c>
      <c r="I62" s="116">
        <v>23.344000000000001</v>
      </c>
      <c r="J62" s="116">
        <v>23.212</v>
      </c>
      <c r="K62" s="116">
        <v>24.908000000000001</v>
      </c>
      <c r="L62" s="116">
        <v>29.2</v>
      </c>
      <c r="M62" s="116">
        <v>29.11</v>
      </c>
      <c r="N62" s="20">
        <f>SUM(B62:M62)/12</f>
        <v>25.584083333333336</v>
      </c>
      <c r="O62" s="36" t="e">
        <v>#REF!</v>
      </c>
      <c r="P62" s="36" t="e">
        <v>#REF!</v>
      </c>
      <c r="Q62" s="36" t="e">
        <v>#REF!</v>
      </c>
      <c r="R62" s="36" t="e">
        <v>#REF!</v>
      </c>
      <c r="S62"/>
      <c r="T62"/>
      <c r="V62" s="57"/>
      <c r="W62" s="57"/>
      <c r="X62" s="57"/>
      <c r="Y62" s="57"/>
      <c r="Z62" s="57"/>
      <c r="AA62" s="57"/>
      <c r="AB62" s="57"/>
    </row>
    <row r="63" spans="1:28" x14ac:dyDescent="0.25">
      <c r="A63" s="99" t="s">
        <v>23</v>
      </c>
      <c r="B63" s="116">
        <v>0</v>
      </c>
      <c r="C63" s="116">
        <v>0</v>
      </c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20">
        <f>SUM(B63:M63)/12</f>
        <v>0</v>
      </c>
      <c r="O63" s="36" t="e">
        <v>#REF!</v>
      </c>
      <c r="P63" s="36" t="e">
        <v>#REF!</v>
      </c>
      <c r="Q63" s="36" t="e">
        <v>#REF!</v>
      </c>
      <c r="R63" s="36" t="e">
        <v>#REF!</v>
      </c>
      <c r="S63"/>
      <c r="T63"/>
    </row>
    <row r="64" spans="1:28" ht="18" x14ac:dyDescent="0.25">
      <c r="A64" s="100" t="s">
        <v>27</v>
      </c>
      <c r="B64" s="117">
        <v>1.597</v>
      </c>
      <c r="C64" s="117">
        <v>0</v>
      </c>
      <c r="D64" s="117">
        <v>0</v>
      </c>
      <c r="E64" s="117">
        <v>0</v>
      </c>
      <c r="F64" s="117">
        <v>3.6999999999999998E-2</v>
      </c>
      <c r="G64" s="117">
        <v>0</v>
      </c>
      <c r="H64" s="117">
        <v>0</v>
      </c>
      <c r="I64" s="117">
        <v>0</v>
      </c>
      <c r="J64" s="117">
        <v>3.3450000000000002</v>
      </c>
      <c r="K64" s="117">
        <v>3.3719999999999999</v>
      </c>
      <c r="L64" s="117">
        <v>0</v>
      </c>
      <c r="M64" s="117">
        <v>2.9</v>
      </c>
      <c r="N64" s="71">
        <f>SUM(B64:M64)/12</f>
        <v>0.93758333333333332</v>
      </c>
      <c r="O64" s="38" t="e">
        <v>#REF!</v>
      </c>
      <c r="P64" s="38" t="e">
        <v>#REF!</v>
      </c>
      <c r="Q64" s="38" t="e">
        <v>#REF!</v>
      </c>
      <c r="R64" s="38" t="e">
        <v>#REF!</v>
      </c>
      <c r="S64"/>
      <c r="T64"/>
      <c r="V64" s="57"/>
      <c r="W64" s="57"/>
      <c r="X64" s="57"/>
      <c r="Y64" s="57"/>
      <c r="Z64" s="57"/>
      <c r="AA64" s="57"/>
      <c r="AB64" s="57"/>
    </row>
    <row r="65" spans="1:28" x14ac:dyDescent="0.25">
      <c r="A65" s="98" t="s">
        <v>40</v>
      </c>
      <c r="B65" s="20">
        <f>SUM(B62:B64)</f>
        <v>19.528000000000002</v>
      </c>
      <c r="C65" s="20">
        <f>SUM(C62:C64)</f>
        <v>27.172000000000001</v>
      </c>
      <c r="D65" s="20">
        <f t="shared" ref="D65:M65" si="8">SUM(D62:D64)</f>
        <v>24.3</v>
      </c>
      <c r="E65" s="20">
        <f t="shared" si="8"/>
        <v>21.137</v>
      </c>
      <c r="F65" s="20">
        <f t="shared" si="8"/>
        <v>27.024999999999999</v>
      </c>
      <c r="G65" s="20">
        <f t="shared" si="8"/>
        <v>35.279000000000003</v>
      </c>
      <c r="H65" s="20">
        <f t="shared" si="8"/>
        <v>24.428000000000001</v>
      </c>
      <c r="I65" s="20">
        <f t="shared" si="8"/>
        <v>23.344000000000001</v>
      </c>
      <c r="J65" s="20">
        <f t="shared" si="8"/>
        <v>26.556999999999999</v>
      </c>
      <c r="K65" s="20">
        <f t="shared" si="8"/>
        <v>28.28</v>
      </c>
      <c r="L65" s="20">
        <f t="shared" si="8"/>
        <v>29.2</v>
      </c>
      <c r="M65" s="20">
        <f t="shared" si="8"/>
        <v>32.01</v>
      </c>
      <c r="N65" s="20">
        <f>SUM(N62:N64)</f>
        <v>26.521666666666668</v>
      </c>
      <c r="O65" s="35" t="e">
        <f>(#REF!+#REF!+#REF!+#REF!)/O$1</f>
        <v>#REF!</v>
      </c>
      <c r="P65" s="35" t="e">
        <f>(#REF!+#REF!+#REF!+#REF!)/P$1</f>
        <v>#REF!</v>
      </c>
      <c r="Q65" s="35" t="e">
        <f>(#REF!+#REF!+#REF!+#REF!)/Q$1</f>
        <v>#REF!</v>
      </c>
      <c r="R65" s="35" t="e">
        <f>SUM(R62:R64)</f>
        <v>#REF!</v>
      </c>
      <c r="S65"/>
      <c r="T65"/>
    </row>
    <row r="66" spans="1:28" ht="18" x14ac:dyDescent="0.25">
      <c r="A66" s="9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35"/>
      <c r="P66" s="35"/>
      <c r="Q66" s="35"/>
      <c r="R66" s="35"/>
      <c r="S66"/>
      <c r="T66"/>
      <c r="V66" s="57"/>
      <c r="W66" s="57"/>
      <c r="X66" s="57"/>
      <c r="Y66" s="57"/>
      <c r="Z66" s="57"/>
      <c r="AA66" s="57"/>
      <c r="AB66" s="57"/>
    </row>
    <row r="67" spans="1:28" x14ac:dyDescent="0.25">
      <c r="A67" s="98" t="s">
        <v>41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20"/>
      <c r="O67" s="34"/>
      <c r="P67" s="34"/>
      <c r="Q67" s="34"/>
      <c r="R67" s="34"/>
      <c r="S67"/>
      <c r="T67"/>
    </row>
    <row r="68" spans="1:28" ht="18" x14ac:dyDescent="0.25">
      <c r="A68" s="99" t="s">
        <v>21</v>
      </c>
      <c r="B68" s="116">
        <v>159</v>
      </c>
      <c r="C68" s="116">
        <v>159</v>
      </c>
      <c r="D68" s="116">
        <v>104</v>
      </c>
      <c r="E68" s="116">
        <v>100</v>
      </c>
      <c r="F68" s="116">
        <v>111.613</v>
      </c>
      <c r="G68" s="116">
        <v>100</v>
      </c>
      <c r="H68" s="116">
        <v>100</v>
      </c>
      <c r="I68" s="116">
        <v>100</v>
      </c>
      <c r="J68" s="116">
        <v>100</v>
      </c>
      <c r="K68" s="116">
        <v>100</v>
      </c>
      <c r="L68" s="116">
        <v>115</v>
      </c>
      <c r="M68" s="116">
        <v>100</v>
      </c>
      <c r="N68" s="20">
        <f>SUM(B68:M68)/12</f>
        <v>112.38441666666667</v>
      </c>
      <c r="O68" s="36" t="e">
        <v>#REF!</v>
      </c>
      <c r="P68" s="36" t="e">
        <v>#REF!</v>
      </c>
      <c r="Q68" s="36" t="e">
        <v>#REF!</v>
      </c>
      <c r="R68" s="36" t="e">
        <v>#REF!</v>
      </c>
      <c r="S68"/>
      <c r="T68"/>
      <c r="V68" s="57"/>
      <c r="W68" s="57"/>
      <c r="X68" s="57"/>
      <c r="Y68" s="57"/>
      <c r="Z68" s="57"/>
      <c r="AA68" s="57"/>
      <c r="AB68" s="57"/>
    </row>
    <row r="69" spans="1:28" x14ac:dyDescent="0.25">
      <c r="A69" s="99" t="s">
        <v>22</v>
      </c>
      <c r="B69" s="116">
        <v>112.179</v>
      </c>
      <c r="C69" s="116">
        <v>155.804</v>
      </c>
      <c r="D69" s="116">
        <v>101</v>
      </c>
      <c r="E69" s="116">
        <v>86.519000000000005</v>
      </c>
      <c r="F69" s="116">
        <v>107.127</v>
      </c>
      <c r="G69" s="116">
        <v>97.497</v>
      </c>
      <c r="H69" s="116">
        <v>99.691999999999993</v>
      </c>
      <c r="I69" s="116">
        <v>98.811000000000007</v>
      </c>
      <c r="J69" s="116">
        <v>90.59</v>
      </c>
      <c r="K69" s="116">
        <v>89.887</v>
      </c>
      <c r="L69" s="116">
        <f>103.5-13.333</f>
        <v>90.167000000000002</v>
      </c>
      <c r="M69" s="116">
        <v>80.686999999999998</v>
      </c>
      <c r="N69" s="20">
        <f>SUM(B69:M69)/12</f>
        <v>100.82999999999998</v>
      </c>
      <c r="O69" s="36" t="e">
        <v>#REF!</v>
      </c>
      <c r="P69" s="36" t="e">
        <v>#REF!</v>
      </c>
      <c r="Q69" s="36" t="e">
        <v>#REF!</v>
      </c>
      <c r="R69" s="36" t="e">
        <v>#REF!</v>
      </c>
      <c r="S69"/>
      <c r="T69"/>
    </row>
    <row r="70" spans="1:28" ht="18" x14ac:dyDescent="0.25">
      <c r="A70" s="99" t="s">
        <v>23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20">
        <f>SUM(B70:M70)/12</f>
        <v>0</v>
      </c>
      <c r="O70" s="36" t="e">
        <v>#REF!</v>
      </c>
      <c r="P70" s="36" t="e">
        <v>#REF!</v>
      </c>
      <c r="Q70" s="36" t="e">
        <v>#REF!</v>
      </c>
      <c r="R70" s="36" t="e">
        <v>#REF!</v>
      </c>
      <c r="S70"/>
      <c r="T70"/>
      <c r="V70" s="57"/>
      <c r="W70" s="57"/>
      <c r="X70" s="57"/>
      <c r="Y70" s="57"/>
      <c r="Z70" s="57"/>
      <c r="AA70" s="57"/>
      <c r="AB70" s="57"/>
    </row>
    <row r="71" spans="1:28" x14ac:dyDescent="0.25">
      <c r="A71" s="100" t="s">
        <v>27</v>
      </c>
      <c r="B71" s="117">
        <v>0.252</v>
      </c>
      <c r="C71" s="117">
        <v>1.792</v>
      </c>
      <c r="D71" s="117">
        <v>2.5310000000000001</v>
      </c>
      <c r="E71" s="117">
        <v>8.0399999999999991</v>
      </c>
      <c r="F71" s="117">
        <v>7.0549999999999997</v>
      </c>
      <c r="G71" s="117">
        <v>20.550999999999998</v>
      </c>
      <c r="H71" s="117">
        <v>25.788</v>
      </c>
      <c r="I71" s="117">
        <v>21.335000000000001</v>
      </c>
      <c r="J71" s="117">
        <v>8.8330000000000002</v>
      </c>
      <c r="K71" s="117">
        <v>5.641</v>
      </c>
      <c r="L71" s="117">
        <v>0</v>
      </c>
      <c r="M71" s="117">
        <v>5.0529999999999999</v>
      </c>
      <c r="N71" s="71">
        <f>SUM(B71:M71)/12</f>
        <v>8.9059166666666663</v>
      </c>
      <c r="O71" s="38" t="e">
        <v>#REF!</v>
      </c>
      <c r="P71" s="38" t="e">
        <v>#REF!</v>
      </c>
      <c r="Q71" s="38" t="e">
        <v>#REF!</v>
      </c>
      <c r="R71" s="38" t="e">
        <v>#REF!</v>
      </c>
      <c r="S71"/>
      <c r="T71"/>
    </row>
    <row r="72" spans="1:28" ht="18" x14ac:dyDescent="0.25">
      <c r="A72" s="98" t="s">
        <v>42</v>
      </c>
      <c r="B72" s="71">
        <f t="shared" ref="B72:M72" si="9">SUM(B69:B71)</f>
        <v>112.431</v>
      </c>
      <c r="C72" s="71">
        <f t="shared" si="9"/>
        <v>157.596</v>
      </c>
      <c r="D72" s="71">
        <f t="shared" si="9"/>
        <v>103.53100000000001</v>
      </c>
      <c r="E72" s="71">
        <f t="shared" si="9"/>
        <v>94.558999999999997</v>
      </c>
      <c r="F72" s="71">
        <f t="shared" si="9"/>
        <v>114.18199999999999</v>
      </c>
      <c r="G72" s="71">
        <f t="shared" si="9"/>
        <v>118.048</v>
      </c>
      <c r="H72" s="71">
        <f t="shared" si="9"/>
        <v>125.47999999999999</v>
      </c>
      <c r="I72" s="71">
        <f t="shared" si="9"/>
        <v>120.14600000000002</v>
      </c>
      <c r="J72" s="71">
        <f t="shared" si="9"/>
        <v>99.423000000000002</v>
      </c>
      <c r="K72" s="71">
        <f t="shared" si="9"/>
        <v>95.528000000000006</v>
      </c>
      <c r="L72" s="71">
        <f t="shared" si="9"/>
        <v>90.167000000000002</v>
      </c>
      <c r="M72" s="71">
        <f t="shared" si="9"/>
        <v>85.74</v>
      </c>
      <c r="N72" s="90">
        <f>SUM(N69:N71)</f>
        <v>109.73591666666665</v>
      </c>
      <c r="O72" s="36"/>
      <c r="P72" s="36"/>
      <c r="Q72" s="36"/>
      <c r="R72" s="36"/>
      <c r="S72"/>
      <c r="T72"/>
      <c r="V72" s="57"/>
      <c r="W72" s="57"/>
      <c r="X72" s="57"/>
      <c r="Y72" s="57"/>
      <c r="Z72" s="57"/>
      <c r="AA72" s="57"/>
      <c r="AB72" s="57"/>
    </row>
    <row r="73" spans="1:28" x14ac:dyDescent="0.25">
      <c r="A73" s="101" t="s">
        <v>43</v>
      </c>
      <c r="B73" s="68">
        <f t="shared" ref="B73:N73" si="10">B50+B58+B65+B72</f>
        <v>369.22499999999997</v>
      </c>
      <c r="C73" s="68">
        <f t="shared" si="10"/>
        <v>416.80900000000003</v>
      </c>
      <c r="D73" s="68">
        <f t="shared" si="10"/>
        <v>383.83699999999999</v>
      </c>
      <c r="E73" s="68">
        <f t="shared" si="10"/>
        <v>487.11400000000003</v>
      </c>
      <c r="F73" s="68">
        <f t="shared" si="10"/>
        <v>537.35199999999998</v>
      </c>
      <c r="G73" s="68">
        <f t="shared" si="10"/>
        <v>368.65</v>
      </c>
      <c r="H73" s="68">
        <f t="shared" si="10"/>
        <v>430.476</v>
      </c>
      <c r="I73" s="68">
        <f t="shared" si="10"/>
        <v>422.52699999999999</v>
      </c>
      <c r="J73" s="68">
        <f t="shared" si="10"/>
        <v>385.00100000000003</v>
      </c>
      <c r="K73" s="68">
        <f t="shared" si="10"/>
        <v>328.19400000000002</v>
      </c>
      <c r="L73" s="68">
        <f t="shared" si="10"/>
        <v>390.13</v>
      </c>
      <c r="M73" s="68">
        <f t="shared" si="10"/>
        <v>315.08999999999997</v>
      </c>
      <c r="N73" s="89">
        <f t="shared" si="10"/>
        <v>402.69416666666666</v>
      </c>
      <c r="O73" s="36"/>
      <c r="P73" s="36"/>
      <c r="Q73" s="36"/>
      <c r="R73" s="36"/>
      <c r="S73"/>
      <c r="T73"/>
    </row>
    <row r="74" spans="1:28" ht="18" x14ac:dyDescent="0.25">
      <c r="A74" s="101" t="s">
        <v>44</v>
      </c>
      <c r="B74" s="68">
        <f t="shared" ref="B74:N74" si="11">B68+B61+B53+B46</f>
        <v>487.012</v>
      </c>
      <c r="C74" s="68">
        <f t="shared" si="11"/>
        <v>480.22900000000004</v>
      </c>
      <c r="D74" s="68">
        <f t="shared" si="11"/>
        <v>371.86099999999999</v>
      </c>
      <c r="E74" s="68">
        <f t="shared" si="11"/>
        <v>717.46699999999998</v>
      </c>
      <c r="F74" s="68">
        <f t="shared" si="11"/>
        <v>706.75000000000011</v>
      </c>
      <c r="G74" s="68">
        <f t="shared" si="11"/>
        <v>689.31</v>
      </c>
      <c r="H74" s="68">
        <f t="shared" si="11"/>
        <v>669.35300000000007</v>
      </c>
      <c r="I74" s="68">
        <f t="shared" si="11"/>
        <v>696.11200000000008</v>
      </c>
      <c r="J74" s="68">
        <f t="shared" si="11"/>
        <v>721.51199999999994</v>
      </c>
      <c r="K74" s="68">
        <f t="shared" si="11"/>
        <v>727.25199999999995</v>
      </c>
      <c r="L74" s="68">
        <f t="shared" si="11"/>
        <v>660.15000000000009</v>
      </c>
      <c r="M74" s="68">
        <f t="shared" si="11"/>
        <v>741.29200000000003</v>
      </c>
      <c r="N74" s="89">
        <f t="shared" si="11"/>
        <v>639.02499999999998</v>
      </c>
      <c r="O74" s="36"/>
      <c r="P74" s="36"/>
      <c r="Q74" s="36"/>
      <c r="R74" s="36"/>
      <c r="S74"/>
      <c r="T74"/>
      <c r="V74" s="57"/>
      <c r="W74" s="57"/>
      <c r="X74" s="57"/>
      <c r="Y74" s="57"/>
      <c r="Z74" s="57"/>
      <c r="AA74" s="57"/>
      <c r="AB74" s="57"/>
    </row>
    <row r="75" spans="1:28" x14ac:dyDescent="0.25">
      <c r="A75" s="98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36"/>
      <c r="P75" s="36"/>
      <c r="Q75" s="36"/>
      <c r="R75" s="36"/>
      <c r="S75"/>
      <c r="T75"/>
    </row>
    <row r="76" spans="1:28" ht="18" x14ac:dyDescent="0.25">
      <c r="A76" s="97" t="s">
        <v>45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20"/>
      <c r="O76" s="36"/>
      <c r="P76" s="36"/>
      <c r="Q76" s="36"/>
      <c r="R76" s="36"/>
      <c r="S76"/>
      <c r="T76"/>
      <c r="V76" s="57"/>
      <c r="W76" s="57"/>
      <c r="X76" s="57"/>
      <c r="Y76" s="57"/>
      <c r="Z76" s="57"/>
      <c r="AA76" s="57"/>
      <c r="AB76" s="57"/>
    </row>
    <row r="77" spans="1:28" x14ac:dyDescent="0.25">
      <c r="A77" s="98" t="s">
        <v>46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0"/>
      <c r="O77" s="34"/>
      <c r="P77" s="34"/>
      <c r="Q77" s="34"/>
      <c r="R77" s="34"/>
      <c r="S77"/>
      <c r="T77"/>
    </row>
    <row r="78" spans="1:28" ht="18" x14ac:dyDescent="0.25">
      <c r="A78" s="99" t="s">
        <v>47</v>
      </c>
      <c r="B78" s="116">
        <v>307</v>
      </c>
      <c r="C78" s="116">
        <v>333.17200000000003</v>
      </c>
      <c r="D78" s="116">
        <v>322</v>
      </c>
      <c r="E78" s="116">
        <v>322</v>
      </c>
      <c r="F78" s="116">
        <v>322</v>
      </c>
      <c r="G78" s="116">
        <v>322</v>
      </c>
      <c r="H78" s="116">
        <v>322</v>
      </c>
      <c r="I78" s="116">
        <v>322</v>
      </c>
      <c r="J78" s="116">
        <v>322</v>
      </c>
      <c r="K78" s="116">
        <v>322</v>
      </c>
      <c r="L78" s="116">
        <f>320+45</f>
        <v>365</v>
      </c>
      <c r="M78" s="116">
        <v>322</v>
      </c>
      <c r="N78" s="20">
        <f>SUM(B78:M78)/12</f>
        <v>325.26433333333335</v>
      </c>
      <c r="O78" s="36" t="e">
        <v>#REF!</v>
      </c>
      <c r="P78" s="36" t="e">
        <v>#REF!</v>
      </c>
      <c r="Q78" s="36" t="e">
        <v>#REF!</v>
      </c>
      <c r="R78" s="36" t="e">
        <v>#REF!</v>
      </c>
      <c r="S78"/>
      <c r="T78"/>
      <c r="V78" s="57"/>
      <c r="W78" s="57"/>
      <c r="X78" s="57"/>
      <c r="Y78" s="57"/>
      <c r="Z78" s="57"/>
      <c r="AA78" s="57"/>
      <c r="AB78" s="57"/>
    </row>
    <row r="79" spans="1:28" x14ac:dyDescent="0.25">
      <c r="A79" s="99" t="s">
        <v>48</v>
      </c>
      <c r="B79" s="116">
        <v>228.011</v>
      </c>
      <c r="C79" s="116">
        <v>205.43199999999999</v>
      </c>
      <c r="D79" s="116">
        <v>221.45400000000001</v>
      </c>
      <c r="E79" s="116">
        <v>255.52799999999999</v>
      </c>
      <c r="F79" s="116">
        <v>238.756</v>
      </c>
      <c r="G79" s="116">
        <v>254.749</v>
      </c>
      <c r="H79" s="116">
        <v>256.46100000000001</v>
      </c>
      <c r="I79" s="116">
        <v>277.541</v>
      </c>
      <c r="J79" s="116">
        <v>210.834</v>
      </c>
      <c r="K79" s="116">
        <v>266.92399999999998</v>
      </c>
      <c r="L79" s="116">
        <f>233.6+32.9</f>
        <v>266.5</v>
      </c>
      <c r="M79" s="116">
        <v>199.363</v>
      </c>
      <c r="N79" s="20">
        <f>SUM(B79:M79)/12</f>
        <v>240.12941666666666</v>
      </c>
      <c r="O79" s="36" t="e">
        <v>#REF!</v>
      </c>
      <c r="P79" s="36" t="e">
        <v>#REF!</v>
      </c>
      <c r="Q79" s="36" t="e">
        <v>#REF!</v>
      </c>
      <c r="R79" s="36" t="e">
        <v>#REF!</v>
      </c>
      <c r="S79"/>
      <c r="T79"/>
    </row>
    <row r="80" spans="1:28" ht="18" x14ac:dyDescent="0.25">
      <c r="A80" s="99" t="s">
        <v>23</v>
      </c>
      <c r="B80" s="116">
        <v>15</v>
      </c>
      <c r="C80" s="116">
        <v>15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13.1</v>
      </c>
      <c r="M80" s="116">
        <v>15</v>
      </c>
      <c r="N80" s="20">
        <f>SUM(B80:M80)/12</f>
        <v>4.8416666666666668</v>
      </c>
      <c r="O80" s="36" t="e">
        <v>#REF!</v>
      </c>
      <c r="P80" s="36" t="e">
        <v>#REF!</v>
      </c>
      <c r="Q80" s="36" t="e">
        <v>#REF!</v>
      </c>
      <c r="R80" s="36" t="e">
        <v>#REF!</v>
      </c>
      <c r="S80"/>
      <c r="T80"/>
      <c r="V80" s="57"/>
      <c r="W80" s="57"/>
      <c r="X80" s="57"/>
      <c r="Y80" s="57"/>
      <c r="Z80" s="57"/>
      <c r="AA80" s="57"/>
      <c r="AB80" s="57"/>
    </row>
    <row r="81" spans="1:28" x14ac:dyDescent="0.25">
      <c r="A81" s="100" t="s">
        <v>49</v>
      </c>
      <c r="B81" s="117">
        <v>8.6999999999999993</v>
      </c>
      <c r="C81" s="117">
        <v>6.7039999999999997</v>
      </c>
      <c r="D81" s="117">
        <v>14.137</v>
      </c>
      <c r="E81" s="117">
        <v>12.79</v>
      </c>
      <c r="F81" s="117">
        <v>29.411000000000001</v>
      </c>
      <c r="G81" s="117">
        <v>22.690999999999999</v>
      </c>
      <c r="H81" s="117">
        <v>20.510999999999999</v>
      </c>
      <c r="I81" s="117">
        <v>71.055000000000007</v>
      </c>
      <c r="J81" s="117">
        <v>51.128999999999998</v>
      </c>
      <c r="K81" s="117">
        <v>40.627000000000002</v>
      </c>
      <c r="L81" s="117">
        <v>0</v>
      </c>
      <c r="M81" s="117">
        <v>21.978999999999999</v>
      </c>
      <c r="N81" s="71">
        <f>SUM(B81:M81)/12</f>
        <v>24.977833333333333</v>
      </c>
      <c r="O81" s="38" t="e">
        <v>#REF!</v>
      </c>
      <c r="P81" s="38" t="e">
        <v>#REF!</v>
      </c>
      <c r="Q81" s="38" t="e">
        <v>#REF!</v>
      </c>
      <c r="R81" s="38" t="e">
        <v>#REF!</v>
      </c>
      <c r="S81"/>
      <c r="T81"/>
    </row>
    <row r="82" spans="1:28" ht="18" x14ac:dyDescent="0.25">
      <c r="A82" s="98" t="s">
        <v>50</v>
      </c>
      <c r="B82" s="20">
        <f>SUM(B79:B81)</f>
        <v>251.71099999999998</v>
      </c>
      <c r="C82" s="20">
        <f>SUM(C79:C81)</f>
        <v>227.136</v>
      </c>
      <c r="D82" s="20">
        <f t="shared" ref="D82:N82" si="12">SUM(D79:D81)</f>
        <v>235.59100000000001</v>
      </c>
      <c r="E82" s="20">
        <f t="shared" si="12"/>
        <v>268.31799999999998</v>
      </c>
      <c r="F82" s="20">
        <f t="shared" si="12"/>
        <v>268.16700000000003</v>
      </c>
      <c r="G82" s="20">
        <f t="shared" si="12"/>
        <v>277.44</v>
      </c>
      <c r="H82" s="20">
        <f t="shared" si="12"/>
        <v>276.97200000000004</v>
      </c>
      <c r="I82" s="20">
        <f t="shared" si="12"/>
        <v>348.596</v>
      </c>
      <c r="J82" s="20">
        <f t="shared" si="12"/>
        <v>261.96300000000002</v>
      </c>
      <c r="K82" s="20">
        <f t="shared" si="12"/>
        <v>307.55099999999999</v>
      </c>
      <c r="L82" s="20">
        <f t="shared" si="12"/>
        <v>279.60000000000002</v>
      </c>
      <c r="M82" s="20">
        <f t="shared" si="12"/>
        <v>236.34199999999998</v>
      </c>
      <c r="N82" s="20">
        <f t="shared" si="12"/>
        <v>269.94891666666666</v>
      </c>
      <c r="O82" s="35" t="e">
        <f>(#REF!+#REF!)/O$1</f>
        <v>#REF!</v>
      </c>
      <c r="P82" s="35" t="e">
        <f>(#REF!+#REF!)/P$1</f>
        <v>#REF!</v>
      </c>
      <c r="Q82" s="35" t="e">
        <f>(#REF!+#REF!)/Q$1</f>
        <v>#REF!</v>
      </c>
      <c r="R82" s="35" t="e">
        <f>SUM(R80:R81)</f>
        <v>#REF!</v>
      </c>
      <c r="S82"/>
      <c r="T82"/>
      <c r="V82" s="57"/>
      <c r="W82" s="57"/>
      <c r="X82" s="57"/>
      <c r="Y82" s="57"/>
      <c r="Z82" s="57"/>
      <c r="AA82" s="57"/>
      <c r="AB82" s="57"/>
    </row>
    <row r="83" spans="1:28" x14ac:dyDescent="0.25">
      <c r="A83" s="9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35"/>
      <c r="P83" s="35"/>
      <c r="Q83" s="35"/>
      <c r="R83" s="35"/>
      <c r="S83"/>
      <c r="T83"/>
    </row>
    <row r="84" spans="1:28" ht="18" x14ac:dyDescent="0.25">
      <c r="A84" s="98" t="s">
        <v>51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0"/>
      <c r="O84" s="34"/>
      <c r="P84" s="34"/>
      <c r="Q84" s="34"/>
      <c r="R84" s="34"/>
      <c r="S84"/>
      <c r="T84"/>
      <c r="V84" s="57"/>
      <c r="W84" s="57"/>
      <c r="X84" s="57"/>
      <c r="Y84" s="57"/>
      <c r="Z84" s="57"/>
      <c r="AA84" s="57"/>
      <c r="AB84" s="57"/>
    </row>
    <row r="85" spans="1:28" x14ac:dyDescent="0.25">
      <c r="A85" s="99" t="s">
        <v>47</v>
      </c>
      <c r="B85" s="116">
        <v>138.5</v>
      </c>
      <c r="C85" s="116">
        <v>213.40100000000001</v>
      </c>
      <c r="D85" s="116">
        <v>196.19</v>
      </c>
      <c r="E85" s="116">
        <v>194.27500000000001</v>
      </c>
      <c r="F85" s="116">
        <v>239.08099999999999</v>
      </c>
      <c r="G85" s="116">
        <v>189.703</v>
      </c>
      <c r="H85" s="116">
        <v>209.46299999999999</v>
      </c>
      <c r="I85" s="116">
        <v>210.94200000000001</v>
      </c>
      <c r="J85" s="116">
        <v>215.23599999999999</v>
      </c>
      <c r="K85" s="116">
        <v>238.65600000000001</v>
      </c>
      <c r="L85" s="116">
        <f>173.5</f>
        <v>173.5</v>
      </c>
      <c r="M85" s="116">
        <v>233.13499999999999</v>
      </c>
      <c r="N85" s="20">
        <f>SUM(B85:M85)/12</f>
        <v>204.3401666666667</v>
      </c>
      <c r="O85" s="36" t="e">
        <v>#REF!</v>
      </c>
      <c r="P85" s="36" t="e">
        <v>#REF!</v>
      </c>
      <c r="Q85" s="36" t="e">
        <v>#REF!</v>
      </c>
      <c r="R85" s="36" t="e">
        <v>#REF!</v>
      </c>
      <c r="S85"/>
      <c r="T85"/>
    </row>
    <row r="86" spans="1:28" ht="18" x14ac:dyDescent="0.25">
      <c r="A86" s="99" t="s">
        <v>48</v>
      </c>
      <c r="B86" s="116">
        <v>163.69999999999999</v>
      </c>
      <c r="C86" s="116">
        <v>260.43599999999998</v>
      </c>
      <c r="D86" s="116">
        <v>221.38399999999999</v>
      </c>
      <c r="E86" s="116">
        <v>166.40299999999999</v>
      </c>
      <c r="F86" s="116">
        <v>226.91</v>
      </c>
      <c r="G86" s="116">
        <v>182.28100000000001</v>
      </c>
      <c r="H86" s="116">
        <v>172.364</v>
      </c>
      <c r="I86" s="116">
        <v>158.12299999999999</v>
      </c>
      <c r="J86" s="116">
        <v>221.827</v>
      </c>
      <c r="K86" s="116">
        <v>175.40600000000001</v>
      </c>
      <c r="L86" s="116">
        <f>126.655-5.833</f>
        <v>120.822</v>
      </c>
      <c r="M86" s="116">
        <v>268.15600000000001</v>
      </c>
      <c r="N86" s="20">
        <f>SUM(B86:M86)/12</f>
        <v>194.81766666666667</v>
      </c>
      <c r="O86" s="36" t="e">
        <v>#REF!</v>
      </c>
      <c r="P86" s="36" t="e">
        <v>#REF!</v>
      </c>
      <c r="Q86" s="36" t="e">
        <v>#REF!</v>
      </c>
      <c r="R86" s="36" t="e">
        <v>#REF!</v>
      </c>
      <c r="S86"/>
      <c r="T86"/>
      <c r="V86" s="57"/>
      <c r="W86" s="57"/>
      <c r="X86" s="57"/>
      <c r="Y86" s="57"/>
      <c r="Z86" s="57"/>
      <c r="AA86" s="57"/>
      <c r="AB86" s="57"/>
    </row>
    <row r="87" spans="1:28" x14ac:dyDescent="0.25">
      <c r="A87" s="99" t="s">
        <v>23</v>
      </c>
      <c r="B87" s="116">
        <v>0</v>
      </c>
      <c r="C87" s="116">
        <v>0</v>
      </c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153.30000000000001</v>
      </c>
      <c r="M87" s="116">
        <v>0</v>
      </c>
      <c r="N87" s="20">
        <f>SUM(B87:M87)/12</f>
        <v>12.775</v>
      </c>
      <c r="O87" s="36" t="e">
        <v>#REF!</v>
      </c>
      <c r="P87" s="36" t="e">
        <v>#REF!</v>
      </c>
      <c r="Q87" s="36" t="e">
        <v>#REF!</v>
      </c>
      <c r="R87" s="36" t="e">
        <v>#REF!</v>
      </c>
      <c r="S87"/>
      <c r="T87"/>
    </row>
    <row r="88" spans="1:28" ht="18" x14ac:dyDescent="0.25">
      <c r="A88" s="100" t="s">
        <v>49</v>
      </c>
      <c r="B88" s="117">
        <v>129.75299999999999</v>
      </c>
      <c r="C88" s="117">
        <v>53.16</v>
      </c>
      <c r="D88" s="117">
        <v>55.566000000000003</v>
      </c>
      <c r="E88" s="117">
        <v>84.975999999999999</v>
      </c>
      <c r="F88" s="117">
        <v>116.41</v>
      </c>
      <c r="G88" s="117">
        <v>148.02600000000001</v>
      </c>
      <c r="H88" s="117">
        <v>135.58099999999999</v>
      </c>
      <c r="I88" s="117">
        <v>125.86</v>
      </c>
      <c r="J88" s="117">
        <v>103.548</v>
      </c>
      <c r="K88" s="117">
        <v>130.434</v>
      </c>
      <c r="L88" s="117">
        <v>45.5</v>
      </c>
      <c r="M88" s="117">
        <v>98.805000000000007</v>
      </c>
      <c r="N88" s="71">
        <f>SUM(B88:M88)/12</f>
        <v>102.30158333333334</v>
      </c>
      <c r="O88" s="38" t="e">
        <v>#REF!</v>
      </c>
      <c r="P88" s="38" t="e">
        <v>#REF!</v>
      </c>
      <c r="Q88" s="38" t="e">
        <v>#REF!</v>
      </c>
      <c r="R88" s="38" t="e">
        <v>#REF!</v>
      </c>
      <c r="S88"/>
      <c r="T88"/>
      <c r="V88" s="57"/>
      <c r="W88" s="57"/>
      <c r="X88" s="57"/>
      <c r="Y88" s="57"/>
      <c r="Z88" s="57"/>
      <c r="AA88" s="57"/>
      <c r="AB88" s="57"/>
    </row>
    <row r="89" spans="1:28" s="26" customFormat="1" x14ac:dyDescent="0.25">
      <c r="A89" s="98" t="s">
        <v>52</v>
      </c>
      <c r="B89" s="71">
        <f t="shared" ref="B89:M89" si="13">SUM(B86:B88)</f>
        <v>293.45299999999997</v>
      </c>
      <c r="C89" s="71">
        <f t="shared" si="13"/>
        <v>313.596</v>
      </c>
      <c r="D89" s="71">
        <f t="shared" si="13"/>
        <v>276.95</v>
      </c>
      <c r="E89" s="71">
        <f t="shared" si="13"/>
        <v>251.37899999999999</v>
      </c>
      <c r="F89" s="71">
        <f t="shared" si="13"/>
        <v>343.32</v>
      </c>
      <c r="G89" s="71">
        <f t="shared" si="13"/>
        <v>330.30700000000002</v>
      </c>
      <c r="H89" s="71">
        <f t="shared" si="13"/>
        <v>307.94499999999999</v>
      </c>
      <c r="I89" s="71">
        <f t="shared" si="13"/>
        <v>283.983</v>
      </c>
      <c r="J89" s="71">
        <f t="shared" si="13"/>
        <v>325.375</v>
      </c>
      <c r="K89" s="71">
        <f t="shared" si="13"/>
        <v>305.84000000000003</v>
      </c>
      <c r="L89" s="71">
        <f t="shared" si="13"/>
        <v>319.62200000000001</v>
      </c>
      <c r="M89" s="71">
        <f t="shared" si="13"/>
        <v>366.96100000000001</v>
      </c>
      <c r="N89" s="90">
        <f>SUM(N86:N88)</f>
        <v>309.89425</v>
      </c>
      <c r="O89" s="35" t="e">
        <f>(#REF!+#REF!)/O$1</f>
        <v>#REF!</v>
      </c>
      <c r="P89" s="35" t="e">
        <f>(#REF!+#REF!)/P$1</f>
        <v>#REF!</v>
      </c>
      <c r="Q89" s="35" t="e">
        <f>(#REF!+#REF!)/Q$1</f>
        <v>#REF!</v>
      </c>
      <c r="R89" s="35" t="e">
        <f>SUM(R86:R88)</f>
        <v>#REF!</v>
      </c>
      <c r="S89"/>
      <c r="T89"/>
      <c r="U89" s="20"/>
      <c r="V89" s="8"/>
      <c r="W89" s="8"/>
      <c r="X89" s="8"/>
      <c r="Y89" s="8"/>
      <c r="Z89" s="8"/>
      <c r="AA89" s="8"/>
      <c r="AB89" s="8"/>
    </row>
    <row r="90" spans="1:28" s="26" customFormat="1" ht="18" x14ac:dyDescent="0.25">
      <c r="A90" s="101" t="s">
        <v>53</v>
      </c>
      <c r="B90" s="68">
        <f>B82+B89</f>
        <v>545.16399999999999</v>
      </c>
      <c r="C90" s="68">
        <f>C82+C89</f>
        <v>540.73199999999997</v>
      </c>
      <c r="D90" s="68">
        <f t="shared" ref="D90:R90" si="14">D82+D89</f>
        <v>512.54099999999994</v>
      </c>
      <c r="E90" s="68">
        <f t="shared" si="14"/>
        <v>519.697</v>
      </c>
      <c r="F90" s="68">
        <f t="shared" si="14"/>
        <v>611.48700000000008</v>
      </c>
      <c r="G90" s="68">
        <f t="shared" si="14"/>
        <v>607.74700000000007</v>
      </c>
      <c r="H90" s="68">
        <f t="shared" si="14"/>
        <v>584.91700000000003</v>
      </c>
      <c r="I90" s="68">
        <f t="shared" si="14"/>
        <v>632.57899999999995</v>
      </c>
      <c r="J90" s="68">
        <f t="shared" si="14"/>
        <v>587.33799999999997</v>
      </c>
      <c r="K90" s="68">
        <f t="shared" si="14"/>
        <v>613.39100000000008</v>
      </c>
      <c r="L90" s="68">
        <f t="shared" si="14"/>
        <v>599.22199999999998</v>
      </c>
      <c r="M90" s="68">
        <f t="shared" si="14"/>
        <v>603.303</v>
      </c>
      <c r="N90" s="90">
        <f t="shared" si="14"/>
        <v>579.84316666666666</v>
      </c>
      <c r="O90" s="37" t="e">
        <f t="shared" si="14"/>
        <v>#REF!</v>
      </c>
      <c r="P90" s="37" t="e">
        <f t="shared" si="14"/>
        <v>#REF!</v>
      </c>
      <c r="Q90" s="37" t="e">
        <f t="shared" si="14"/>
        <v>#REF!</v>
      </c>
      <c r="R90" s="37" t="e">
        <f t="shared" si="14"/>
        <v>#REF!</v>
      </c>
      <c r="S90"/>
      <c r="T90"/>
      <c r="U90" s="20"/>
      <c r="V90" s="57"/>
      <c r="W90" s="57"/>
      <c r="X90" s="57"/>
      <c r="Y90" s="57"/>
      <c r="Z90" s="57"/>
      <c r="AA90" s="57"/>
      <c r="AB90" s="57"/>
    </row>
    <row r="91" spans="1:28" s="26" customFormat="1" x14ac:dyDescent="0.25">
      <c r="A91" s="101" t="s">
        <v>54</v>
      </c>
      <c r="B91" s="68">
        <f>B85++B78</f>
        <v>445.5</v>
      </c>
      <c r="C91" s="68">
        <f>C85++C78</f>
        <v>546.57300000000009</v>
      </c>
      <c r="D91" s="68">
        <f t="shared" ref="D91:N91" si="15">D85++D78</f>
        <v>518.19000000000005</v>
      </c>
      <c r="E91" s="68">
        <f t="shared" si="15"/>
        <v>516.27499999999998</v>
      </c>
      <c r="F91" s="68">
        <f t="shared" si="15"/>
        <v>561.08100000000002</v>
      </c>
      <c r="G91" s="68">
        <f t="shared" si="15"/>
        <v>511.70299999999997</v>
      </c>
      <c r="H91" s="68">
        <f t="shared" si="15"/>
        <v>531.46299999999997</v>
      </c>
      <c r="I91" s="68">
        <f t="shared" si="15"/>
        <v>532.94200000000001</v>
      </c>
      <c r="J91" s="68">
        <f t="shared" si="15"/>
        <v>537.23599999999999</v>
      </c>
      <c r="K91" s="68">
        <f t="shared" si="15"/>
        <v>560.65599999999995</v>
      </c>
      <c r="L91" s="68">
        <f t="shared" si="15"/>
        <v>538.5</v>
      </c>
      <c r="M91" s="68">
        <f t="shared" si="15"/>
        <v>555.13499999999999</v>
      </c>
      <c r="N91" s="90">
        <f t="shared" si="15"/>
        <v>529.60450000000003</v>
      </c>
      <c r="O91" s="37" t="e">
        <f>O85+O79+O78</f>
        <v>#REF!</v>
      </c>
      <c r="P91" s="37" t="e">
        <f>P85+P79+P78</f>
        <v>#REF!</v>
      </c>
      <c r="Q91" s="37" t="e">
        <f>Q85+Q79+Q78</f>
        <v>#REF!</v>
      </c>
      <c r="R91" s="37" t="e">
        <f>R85+R79+R78</f>
        <v>#REF!</v>
      </c>
      <c r="S91"/>
      <c r="T91"/>
      <c r="U91" s="20"/>
      <c r="V91" s="8"/>
      <c r="W91" s="8"/>
      <c r="X91" s="8"/>
      <c r="Y91" s="8"/>
      <c r="Z91" s="8"/>
      <c r="AA91" s="8"/>
      <c r="AB91" s="8"/>
    </row>
    <row r="92" spans="1:28" s="26" customFormat="1" ht="18" x14ac:dyDescent="0.25">
      <c r="A92" s="98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54"/>
      <c r="P92" s="54"/>
      <c r="Q92" s="54"/>
      <c r="R92" s="54"/>
      <c r="S92"/>
      <c r="T92"/>
      <c r="U92" s="20"/>
      <c r="V92" s="57"/>
      <c r="W92" s="57"/>
      <c r="X92" s="57"/>
      <c r="Y92" s="57"/>
      <c r="Z92" s="57"/>
      <c r="AA92" s="57"/>
      <c r="AB92" s="57"/>
    </row>
    <row r="93" spans="1:28" ht="15.6" x14ac:dyDescent="0.25">
      <c r="A93" s="97" t="s">
        <v>55</v>
      </c>
      <c r="B93" s="19"/>
      <c r="C93" s="19"/>
      <c r="D93" s="19"/>
      <c r="E93" s="19"/>
      <c r="F93" s="23"/>
      <c r="G93" s="19"/>
      <c r="H93" s="24"/>
      <c r="I93" s="19"/>
      <c r="J93" s="19"/>
      <c r="K93" s="19"/>
      <c r="L93" s="19"/>
      <c r="M93" s="19"/>
      <c r="N93" s="73"/>
      <c r="O93" s="40"/>
      <c r="P93" s="40"/>
      <c r="Q93" s="40"/>
      <c r="R93" s="40"/>
      <c r="S93"/>
      <c r="T93"/>
    </row>
    <row r="94" spans="1:28" ht="18" x14ac:dyDescent="0.25">
      <c r="A94" s="98" t="s">
        <v>56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0"/>
      <c r="O94" s="34"/>
      <c r="P94" s="34"/>
      <c r="Q94" s="34"/>
      <c r="R94" s="34"/>
      <c r="S94"/>
      <c r="T94"/>
      <c r="V94" s="57"/>
      <c r="W94" s="57"/>
      <c r="X94" s="57"/>
      <c r="Y94" s="57"/>
      <c r="Z94" s="57"/>
      <c r="AA94" s="57"/>
      <c r="AB94" s="57"/>
    </row>
    <row r="95" spans="1:28" x14ac:dyDescent="0.25">
      <c r="A95" s="99" t="s">
        <v>21</v>
      </c>
      <c r="B95" s="116">
        <v>465</v>
      </c>
      <c r="C95" s="116">
        <v>465</v>
      </c>
      <c r="D95" s="116">
        <v>485</v>
      </c>
      <c r="E95" s="116">
        <v>465</v>
      </c>
      <c r="F95" s="116">
        <v>465</v>
      </c>
      <c r="G95" s="116">
        <v>465</v>
      </c>
      <c r="H95" s="116">
        <v>465</v>
      </c>
      <c r="I95" s="116">
        <v>465</v>
      </c>
      <c r="J95" s="116">
        <v>465</v>
      </c>
      <c r="K95" s="116">
        <v>465</v>
      </c>
      <c r="L95" s="116">
        <v>469</v>
      </c>
      <c r="M95" s="116">
        <v>465</v>
      </c>
      <c r="N95" s="20">
        <f>SUM(B95:M95)/12</f>
        <v>467</v>
      </c>
      <c r="O95" s="36" t="e">
        <f>#REF!/O$1</f>
        <v>#REF!</v>
      </c>
      <c r="P95" s="36" t="e">
        <f>#REF!/P$1</f>
        <v>#REF!</v>
      </c>
      <c r="Q95" s="36" t="e">
        <f>#REF!/Q$1</f>
        <v>#REF!</v>
      </c>
      <c r="R95" s="36" t="e">
        <f>#REF!/R$1</f>
        <v>#REF!</v>
      </c>
      <c r="S95"/>
      <c r="T95"/>
    </row>
    <row r="96" spans="1:28" ht="18" x14ac:dyDescent="0.25">
      <c r="A96" s="99" t="s">
        <v>48</v>
      </c>
      <c r="B96" s="116">
        <v>416.245</v>
      </c>
      <c r="C96" s="116">
        <v>452.11200000000002</v>
      </c>
      <c r="D96" s="116">
        <f>470.076+0.029</f>
        <v>470.10500000000002</v>
      </c>
      <c r="E96" s="116">
        <f>353.892+0.032</f>
        <v>353.92399999999998</v>
      </c>
      <c r="F96" s="116">
        <v>378.70499999999998</v>
      </c>
      <c r="G96" s="116">
        <f>280.099+0.011</f>
        <v>280.11</v>
      </c>
      <c r="H96" s="116">
        <v>280.31900000000002</v>
      </c>
      <c r="I96" s="116">
        <v>281.70100000000002</v>
      </c>
      <c r="J96" s="116">
        <v>271.82100000000003</v>
      </c>
      <c r="K96" s="116">
        <v>272.77199999999999</v>
      </c>
      <c r="L96" s="116">
        <v>459.6</v>
      </c>
      <c r="M96" s="116">
        <v>448.11599999999999</v>
      </c>
      <c r="N96" s="20">
        <f>SUM(B96:M96)/12</f>
        <v>363.79416666666663</v>
      </c>
      <c r="O96" s="36" t="e">
        <f>#REF!/O$1</f>
        <v>#REF!</v>
      </c>
      <c r="P96" s="36" t="e">
        <f>#REF!/P$1</f>
        <v>#REF!</v>
      </c>
      <c r="Q96" s="36" t="e">
        <f>#REF!/Q$1</f>
        <v>#REF!</v>
      </c>
      <c r="R96" s="36" t="e">
        <f>#REF!/R$1</f>
        <v>#REF!</v>
      </c>
      <c r="S96"/>
      <c r="T96"/>
      <c r="V96" s="57"/>
      <c r="W96" s="57"/>
      <c r="X96" s="57"/>
      <c r="Y96" s="57"/>
      <c r="Z96" s="57"/>
      <c r="AA96" s="57"/>
      <c r="AB96" s="57"/>
    </row>
    <row r="97" spans="1:28" x14ac:dyDescent="0.25">
      <c r="A97" s="99" t="s">
        <v>57</v>
      </c>
      <c r="B97" s="116">
        <v>47.688000000000002</v>
      </c>
      <c r="C97" s="116">
        <v>22.876999999999999</v>
      </c>
      <c r="D97" s="116">
        <v>22.637</v>
      </c>
      <c r="E97" s="116">
        <v>21.995999999999999</v>
      </c>
      <c r="F97" s="116">
        <v>79.551000000000002</v>
      </c>
      <c r="G97" s="116">
        <v>151.24600000000001</v>
      </c>
      <c r="H97" s="116">
        <v>172.64500000000001</v>
      </c>
      <c r="I97" s="116">
        <v>177.339</v>
      </c>
      <c r="J97" s="116">
        <v>163.726</v>
      </c>
      <c r="K97" s="116">
        <v>172.797</v>
      </c>
      <c r="L97" s="116">
        <v>-26.4</v>
      </c>
      <c r="M97" s="116">
        <v>24.143000000000001</v>
      </c>
      <c r="N97" s="20">
        <f>SUM(B97:M97)/12</f>
        <v>85.853749999999991</v>
      </c>
      <c r="O97" s="36" t="e">
        <f>#REF!/O$1</f>
        <v>#REF!</v>
      </c>
      <c r="P97" s="36" t="e">
        <f>#REF!/P$1</f>
        <v>#REF!</v>
      </c>
      <c r="Q97" s="36" t="e">
        <f>#REF!/Q$1</f>
        <v>#REF!</v>
      </c>
      <c r="R97" s="36" t="e">
        <f>#REF!/R$1</f>
        <v>#REF!</v>
      </c>
      <c r="S97"/>
      <c r="T97"/>
    </row>
    <row r="98" spans="1:28" ht="18" x14ac:dyDescent="0.25">
      <c r="A98" s="103" t="s">
        <v>49</v>
      </c>
      <c r="B98" s="116">
        <f>'[1]2000Plan'!D10</f>
        <v>0</v>
      </c>
      <c r="C98" s="116">
        <f>'[1]2000Plan'!E10</f>
        <v>0</v>
      </c>
      <c r="D98" s="116">
        <f>0</f>
        <v>0</v>
      </c>
      <c r="E98" s="116">
        <f>'[1]2000Plan'!G10</f>
        <v>0</v>
      </c>
      <c r="F98" s="116">
        <f>'[1]2000Plan'!H10</f>
        <v>0</v>
      </c>
      <c r="G98" s="116">
        <f>2.812+0.341</f>
        <v>3.153</v>
      </c>
      <c r="H98" s="116">
        <v>1.597</v>
      </c>
      <c r="I98" s="116">
        <f>0</f>
        <v>0</v>
      </c>
      <c r="J98" s="116">
        <f>-5.167</f>
        <v>-5.1669999999999998</v>
      </c>
      <c r="K98" s="116">
        <f>'[1]2000Plan'!M10</f>
        <v>0</v>
      </c>
      <c r="L98" s="116">
        <f>'[1]2000Plan'!N10</f>
        <v>0</v>
      </c>
      <c r="M98" s="116">
        <f>'[1]2000Plan'!O10</f>
        <v>0</v>
      </c>
      <c r="N98" s="68">
        <f>SUM(B98:M98)/12</f>
        <v>-3.4749999999999982E-2</v>
      </c>
      <c r="O98" s="38" t="e">
        <f>#REF!/O$1</f>
        <v>#REF!</v>
      </c>
      <c r="P98" s="38" t="e">
        <f>#REF!/P$1</f>
        <v>#REF!</v>
      </c>
      <c r="Q98" s="38" t="e">
        <f>#REF!/Q$1</f>
        <v>#REF!</v>
      </c>
      <c r="R98" s="38" t="e">
        <f>#REF!/R$1</f>
        <v>#REF!</v>
      </c>
      <c r="S98"/>
      <c r="T98"/>
      <c r="V98" s="57"/>
      <c r="W98" s="57"/>
      <c r="X98" s="57"/>
      <c r="Y98" s="57"/>
      <c r="Z98" s="57"/>
      <c r="AA98" s="57"/>
      <c r="AB98" s="57"/>
    </row>
    <row r="99" spans="1:28" x14ac:dyDescent="0.25">
      <c r="A99" s="104" t="s">
        <v>58</v>
      </c>
      <c r="B99" s="71">
        <f t="shared" ref="B99:M99" si="16">SUM(B96:B98)</f>
        <v>463.93299999999999</v>
      </c>
      <c r="C99" s="71">
        <f t="shared" si="16"/>
        <v>474.98900000000003</v>
      </c>
      <c r="D99" s="71">
        <f t="shared" si="16"/>
        <v>492.74200000000002</v>
      </c>
      <c r="E99" s="71">
        <f t="shared" si="16"/>
        <v>375.91999999999996</v>
      </c>
      <c r="F99" s="71">
        <f t="shared" si="16"/>
        <v>458.25599999999997</v>
      </c>
      <c r="G99" s="71">
        <f t="shared" si="16"/>
        <v>434.50900000000001</v>
      </c>
      <c r="H99" s="71">
        <f t="shared" si="16"/>
        <v>454.56100000000004</v>
      </c>
      <c r="I99" s="71">
        <f t="shared" si="16"/>
        <v>459.04</v>
      </c>
      <c r="J99" s="71">
        <f t="shared" si="16"/>
        <v>430.38000000000005</v>
      </c>
      <c r="K99" s="71">
        <f t="shared" si="16"/>
        <v>445.56899999999996</v>
      </c>
      <c r="L99" s="71">
        <f t="shared" si="16"/>
        <v>433.20000000000005</v>
      </c>
      <c r="M99" s="71">
        <f t="shared" si="16"/>
        <v>472.25900000000001</v>
      </c>
      <c r="N99" s="90">
        <f>SUM(N96:N98)</f>
        <v>449.61316666666664</v>
      </c>
      <c r="O99" s="35" t="e">
        <f>#REF!/O$1</f>
        <v>#REF!</v>
      </c>
      <c r="P99" s="35" t="e">
        <f>#REF!/P$1</f>
        <v>#REF!</v>
      </c>
      <c r="Q99" s="35" t="e">
        <f>#REF!/Q$1</f>
        <v>#REF!</v>
      </c>
      <c r="R99" s="35" t="e">
        <f>#REF!/R$1</f>
        <v>#REF!</v>
      </c>
      <c r="S99"/>
      <c r="T99"/>
    </row>
    <row r="100" spans="1:28" s="26" customFormat="1" ht="18" x14ac:dyDescent="0.25">
      <c r="A100" s="101" t="s">
        <v>59</v>
      </c>
      <c r="B100" s="68">
        <f>+B95</f>
        <v>465</v>
      </c>
      <c r="C100" s="68">
        <f>+C95</f>
        <v>465</v>
      </c>
      <c r="D100" s="68">
        <f t="shared" ref="D100:N100" si="17">+D95</f>
        <v>485</v>
      </c>
      <c r="E100" s="68">
        <f t="shared" si="17"/>
        <v>465</v>
      </c>
      <c r="F100" s="68">
        <f t="shared" si="17"/>
        <v>465</v>
      </c>
      <c r="G100" s="68">
        <f t="shared" si="17"/>
        <v>465</v>
      </c>
      <c r="H100" s="68">
        <f t="shared" si="17"/>
        <v>465</v>
      </c>
      <c r="I100" s="68">
        <f t="shared" si="17"/>
        <v>465</v>
      </c>
      <c r="J100" s="68">
        <f t="shared" si="17"/>
        <v>465</v>
      </c>
      <c r="K100" s="68">
        <f t="shared" si="17"/>
        <v>465</v>
      </c>
      <c r="L100" s="68">
        <f t="shared" si="17"/>
        <v>469</v>
      </c>
      <c r="M100" s="68">
        <f t="shared" si="17"/>
        <v>465</v>
      </c>
      <c r="N100" s="89">
        <f t="shared" si="17"/>
        <v>467</v>
      </c>
      <c r="O100" s="37" t="e">
        <f>#REF!/O$1</f>
        <v>#REF!</v>
      </c>
      <c r="P100" s="37" t="e">
        <f>#REF!/P$1</f>
        <v>#REF!</v>
      </c>
      <c r="Q100" s="37" t="e">
        <f>#REF!/Q$1</f>
        <v>#REF!</v>
      </c>
      <c r="R100" s="37" t="e">
        <f>#REF!/R$1</f>
        <v>#REF!</v>
      </c>
      <c r="S100"/>
      <c r="T100"/>
      <c r="U100" s="20"/>
      <c r="V100" s="57"/>
      <c r="W100" s="57"/>
      <c r="X100" s="57"/>
      <c r="Y100" s="57"/>
      <c r="Z100" s="57"/>
      <c r="AA100" s="57"/>
      <c r="AB100" s="57"/>
    </row>
    <row r="101" spans="1:28" s="26" customFormat="1" x14ac:dyDescent="0.25">
      <c r="A101" s="101" t="s">
        <v>60</v>
      </c>
      <c r="B101" s="68">
        <f>+B95+B68+B35+B61+B28</f>
        <v>817.6</v>
      </c>
      <c r="C101" s="68">
        <f>+C95+C68+C35+C61+C28</f>
        <v>817.6</v>
      </c>
      <c r="D101" s="68">
        <f t="shared" ref="D101:M101" si="18">+D95+D68+D35+D61+D28</f>
        <v>818.6</v>
      </c>
      <c r="E101" s="68">
        <f t="shared" si="18"/>
        <v>815.93299999999999</v>
      </c>
      <c r="F101" s="68">
        <f t="shared" si="18"/>
        <v>857.31000000000006</v>
      </c>
      <c r="G101" s="68">
        <f t="shared" si="18"/>
        <v>857.26700000000005</v>
      </c>
      <c r="H101" s="68">
        <f t="shared" si="18"/>
        <v>848.6</v>
      </c>
      <c r="I101" s="68">
        <f t="shared" si="18"/>
        <v>848.6</v>
      </c>
      <c r="J101" s="68">
        <f t="shared" si="18"/>
        <v>848.6</v>
      </c>
      <c r="K101" s="68">
        <f t="shared" si="18"/>
        <v>848.6</v>
      </c>
      <c r="L101" s="68">
        <f t="shared" si="18"/>
        <v>827.6</v>
      </c>
      <c r="M101" s="68">
        <f t="shared" si="18"/>
        <v>858.6</v>
      </c>
      <c r="N101" s="89">
        <f>SUM(B101:M101)/12</f>
        <v>838.74250000000018</v>
      </c>
      <c r="O101" s="54"/>
      <c r="P101" s="54"/>
      <c r="Q101" s="54"/>
      <c r="R101" s="54"/>
      <c r="S101"/>
      <c r="T101"/>
      <c r="U101" s="20"/>
      <c r="V101" s="8"/>
      <c r="W101" s="8"/>
      <c r="X101" s="8"/>
      <c r="Y101" s="8"/>
      <c r="Z101" s="8"/>
      <c r="AA101" s="8"/>
      <c r="AB101" s="8"/>
    </row>
    <row r="102" spans="1:28" ht="18" x14ac:dyDescent="0.25">
      <c r="A102" s="9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0"/>
      <c r="O102" s="36"/>
      <c r="P102" s="36"/>
      <c r="Q102" s="36"/>
      <c r="R102" s="36"/>
      <c r="S102"/>
      <c r="T102"/>
      <c r="V102" s="57"/>
      <c r="W102" s="57"/>
      <c r="X102" s="57"/>
      <c r="Y102" s="57"/>
      <c r="Z102" s="57"/>
      <c r="AA102" s="57"/>
      <c r="AB102" s="57"/>
    </row>
    <row r="103" spans="1:28" ht="15.6" x14ac:dyDescent="0.25">
      <c r="A103" s="105" t="s">
        <v>61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7"/>
      <c r="O103" s="34"/>
      <c r="P103" s="34"/>
      <c r="Q103" s="34"/>
      <c r="R103" s="34"/>
      <c r="S103"/>
      <c r="T103"/>
    </row>
    <row r="104" spans="1:28" ht="18" x14ac:dyDescent="0.25">
      <c r="A104" s="106" t="s">
        <v>21</v>
      </c>
      <c r="B104" s="118">
        <f t="shared" ref="B104:M104" si="19">+B42+B74+B91+B100</f>
        <v>2374.06</v>
      </c>
      <c r="C104" s="118">
        <f t="shared" si="19"/>
        <v>2461.5520000000001</v>
      </c>
      <c r="D104" s="118">
        <f t="shared" si="19"/>
        <v>2392.8009999999999</v>
      </c>
      <c r="E104" s="118">
        <f t="shared" si="19"/>
        <v>2689.4920000000002</v>
      </c>
      <c r="F104" s="118">
        <f t="shared" si="19"/>
        <v>2774.1390000000001</v>
      </c>
      <c r="G104" s="118">
        <f t="shared" si="19"/>
        <v>2725.8630000000003</v>
      </c>
      <c r="H104" s="118">
        <f t="shared" si="19"/>
        <v>2754.6009999999997</v>
      </c>
      <c r="I104" s="118">
        <f t="shared" si="19"/>
        <v>2780.904</v>
      </c>
      <c r="J104" s="118">
        <f t="shared" si="19"/>
        <v>2810.598</v>
      </c>
      <c r="K104" s="118">
        <f t="shared" si="19"/>
        <v>2839.7579999999998</v>
      </c>
      <c r="L104" s="118">
        <f t="shared" si="19"/>
        <v>2773.5749999999998</v>
      </c>
      <c r="M104" s="118">
        <f t="shared" si="19"/>
        <v>2858.277</v>
      </c>
      <c r="N104" s="88">
        <f>SUM(B104:M104)/12</f>
        <v>2686.3016666666667</v>
      </c>
      <c r="O104" s="36" t="e">
        <f>#REF!/O$1</f>
        <v>#REF!</v>
      </c>
      <c r="P104" s="36" t="e">
        <f>#REF!/P$1</f>
        <v>#REF!</v>
      </c>
      <c r="Q104" s="36" t="e">
        <f>#REF!/Q$1</f>
        <v>#REF!</v>
      </c>
      <c r="R104" s="36" t="e">
        <f>#REF!/R$1</f>
        <v>#REF!</v>
      </c>
      <c r="S104"/>
      <c r="T104"/>
      <c r="V104" s="57"/>
      <c r="W104" s="57"/>
      <c r="X104" s="57"/>
      <c r="Y104" s="57"/>
      <c r="Z104" s="57"/>
      <c r="AA104" s="57"/>
      <c r="AB104" s="57"/>
    </row>
    <row r="105" spans="1:28" x14ac:dyDescent="0.25">
      <c r="A105" s="106" t="s">
        <v>48</v>
      </c>
      <c r="B105" s="118">
        <f>+B15+B22+B29+B36+B38+B47+B54+B62+B69+B79+B86+B96</f>
        <v>1955.8920000000003</v>
      </c>
      <c r="C105" s="118">
        <f>+C15+C22+C29+C36+C38+C47+C54+C62+C69+C79+C86+C96</f>
        <v>2147.4369999999999</v>
      </c>
      <c r="D105" s="118">
        <f t="shared" ref="D105:M105" si="20">+D15+D22+D29+D36+D38+D47+D54+D62+D69+D79+D86+D96</f>
        <v>2156.703</v>
      </c>
      <c r="E105" s="118">
        <f t="shared" si="20"/>
        <v>1944.6309999999999</v>
      </c>
      <c r="F105" s="118">
        <f t="shared" si="20"/>
        <v>2108.9960000000005</v>
      </c>
      <c r="G105" s="118">
        <f t="shared" si="20"/>
        <v>1872.7380000000003</v>
      </c>
      <c r="H105" s="118">
        <f t="shared" si="20"/>
        <v>1894.2370000000001</v>
      </c>
      <c r="I105" s="118">
        <f t="shared" si="20"/>
        <v>1930.462</v>
      </c>
      <c r="J105" s="118">
        <f t="shared" si="20"/>
        <v>1917.8899999999999</v>
      </c>
      <c r="K105" s="118">
        <f t="shared" si="20"/>
        <v>1883.1699999999998</v>
      </c>
      <c r="L105" s="118">
        <f t="shared" si="20"/>
        <v>2103.1222499999999</v>
      </c>
      <c r="M105" s="118">
        <f t="shared" si="20"/>
        <v>2265.2099999999996</v>
      </c>
      <c r="N105" s="88">
        <f>SUM(B105:M105)/12</f>
        <v>2015.0406874999999</v>
      </c>
      <c r="O105" s="36" t="e">
        <f>#REF!/O$1</f>
        <v>#REF!</v>
      </c>
      <c r="P105" s="36" t="e">
        <f>#REF!/P$1</f>
        <v>#REF!</v>
      </c>
      <c r="Q105" s="36" t="e">
        <f>#REF!/Q$1</f>
        <v>#REF!</v>
      </c>
      <c r="R105" s="36" t="e">
        <f>#REF!/R$1</f>
        <v>#REF!</v>
      </c>
      <c r="S105"/>
      <c r="T105"/>
    </row>
    <row r="106" spans="1:28" ht="18" x14ac:dyDescent="0.25">
      <c r="A106" s="106" t="s">
        <v>57</v>
      </c>
      <c r="B106" s="118">
        <f t="shared" ref="B106:M106" si="21">+B16+B23+B30+B37+B48+B55+B63+B70+B80+B87+B97</f>
        <v>113.06400000000001</v>
      </c>
      <c r="C106" s="118">
        <f t="shared" si="21"/>
        <v>54.224999999999994</v>
      </c>
      <c r="D106" s="118">
        <f t="shared" si="21"/>
        <v>37.879000000000005</v>
      </c>
      <c r="E106" s="118">
        <f t="shared" si="21"/>
        <v>35.072000000000003</v>
      </c>
      <c r="F106" s="118">
        <f t="shared" si="21"/>
        <v>148.36099999999999</v>
      </c>
      <c r="G106" s="118">
        <f t="shared" si="21"/>
        <v>298.56400000000002</v>
      </c>
      <c r="H106" s="118">
        <f t="shared" si="21"/>
        <v>324.33100000000002</v>
      </c>
      <c r="I106" s="118">
        <f t="shared" si="21"/>
        <v>337.55200000000002</v>
      </c>
      <c r="J106" s="118">
        <f t="shared" si="21"/>
        <v>321.36900000000003</v>
      </c>
      <c r="K106" s="118">
        <f t="shared" si="21"/>
        <v>338.13200000000001</v>
      </c>
      <c r="L106" s="118">
        <f t="shared" si="21"/>
        <v>197.6</v>
      </c>
      <c r="M106" s="118">
        <f t="shared" si="21"/>
        <v>63.733000000000004</v>
      </c>
      <c r="N106" s="88">
        <f>SUM(B106:M106)/12</f>
        <v>189.15683333333334</v>
      </c>
      <c r="O106" s="36" t="e">
        <f>#REF!/O$1</f>
        <v>#REF!</v>
      </c>
      <c r="P106" s="36" t="e">
        <f>#REF!/P$1</f>
        <v>#REF!</v>
      </c>
      <c r="Q106" s="36" t="e">
        <f>#REF!/Q$1</f>
        <v>#REF!</v>
      </c>
      <c r="R106" s="36" t="e">
        <f>#REF!/R$1</f>
        <v>#REF!</v>
      </c>
      <c r="S106"/>
      <c r="T106"/>
      <c r="V106" s="57"/>
      <c r="W106" s="57"/>
      <c r="X106" s="57"/>
      <c r="Y106" s="57"/>
      <c r="Z106" s="57"/>
      <c r="AA106" s="57"/>
      <c r="AB106" s="57"/>
    </row>
    <row r="107" spans="1:28" x14ac:dyDescent="0.25">
      <c r="A107" s="107" t="s">
        <v>49</v>
      </c>
      <c r="B107" s="117">
        <f>+B17+B24+B31+B39+B49+B56+B57+B64+B71+B81+B88+B98</f>
        <v>178.49599999999998</v>
      </c>
      <c r="C107" s="117">
        <f>+C17+C24+C31+C39+C49+C56+C57+C64+C71+C81+C88+C98</f>
        <v>87.358999999999995</v>
      </c>
      <c r="D107" s="117">
        <f t="shared" ref="D107:M107" si="22">+D17+D24+D31+D39+D49+D56+D57+D64+D71+D81+D88+D98</f>
        <v>99.540999999999997</v>
      </c>
      <c r="E107" s="117">
        <f t="shared" si="22"/>
        <v>131.524</v>
      </c>
      <c r="F107" s="117">
        <f t="shared" si="22"/>
        <v>178.226</v>
      </c>
      <c r="G107" s="117">
        <f t="shared" si="22"/>
        <v>183.55699999999999</v>
      </c>
      <c r="H107" s="117">
        <f t="shared" si="22"/>
        <v>236.10799999999998</v>
      </c>
      <c r="I107" s="117">
        <f t="shared" si="22"/>
        <v>281.75299999999999</v>
      </c>
      <c r="J107" s="117">
        <f t="shared" si="22"/>
        <v>226.17499999999998</v>
      </c>
      <c r="K107" s="117">
        <f t="shared" si="22"/>
        <v>218.59300000000002</v>
      </c>
      <c r="L107" s="117">
        <f t="shared" si="22"/>
        <v>84.829000000000008</v>
      </c>
      <c r="M107" s="117">
        <f t="shared" si="22"/>
        <v>167.03899999999999</v>
      </c>
      <c r="N107" s="89">
        <f>SUM(B107:M107)/12</f>
        <v>172.76666666666665</v>
      </c>
      <c r="O107" s="38" t="e">
        <f>#REF!/O$1</f>
        <v>#REF!</v>
      </c>
      <c r="P107" s="38" t="e">
        <f>#REF!/P$1</f>
        <v>#REF!</v>
      </c>
      <c r="Q107" s="38" t="e">
        <f>#REF!/Q$1</f>
        <v>#REF!</v>
      </c>
      <c r="R107" s="38" t="e">
        <f>#REF!/R$1</f>
        <v>#REF!</v>
      </c>
      <c r="S107"/>
      <c r="T107"/>
    </row>
    <row r="108" spans="1:28" ht="18" x14ac:dyDescent="0.25">
      <c r="A108" s="104" t="s">
        <v>62</v>
      </c>
      <c r="B108" s="71">
        <f t="shared" ref="B108:M108" si="23">SUM(B105:B107)</f>
        <v>2247.4520000000002</v>
      </c>
      <c r="C108" s="71">
        <f t="shared" si="23"/>
        <v>2289.0209999999997</v>
      </c>
      <c r="D108" s="71">
        <f t="shared" si="23"/>
        <v>2294.123</v>
      </c>
      <c r="E108" s="71">
        <f t="shared" si="23"/>
        <v>2111.2269999999999</v>
      </c>
      <c r="F108" s="71">
        <f t="shared" si="23"/>
        <v>2435.5830000000005</v>
      </c>
      <c r="G108" s="71">
        <f t="shared" si="23"/>
        <v>2354.8589999999999</v>
      </c>
      <c r="H108" s="71">
        <f t="shared" si="23"/>
        <v>2454.6760000000004</v>
      </c>
      <c r="I108" s="71">
        <f t="shared" si="23"/>
        <v>2549.7670000000003</v>
      </c>
      <c r="J108" s="71">
        <f t="shared" si="23"/>
        <v>2465.4340000000002</v>
      </c>
      <c r="K108" s="71">
        <f t="shared" si="23"/>
        <v>2439.8949999999995</v>
      </c>
      <c r="L108" s="71">
        <f t="shared" si="23"/>
        <v>2385.55125</v>
      </c>
      <c r="M108" s="71">
        <f t="shared" si="23"/>
        <v>2495.982</v>
      </c>
      <c r="N108" s="90">
        <f>SUM(N105:N107)</f>
        <v>2376.9641874999998</v>
      </c>
      <c r="O108" s="35" t="e">
        <f>#REF!/O$1</f>
        <v>#REF!</v>
      </c>
      <c r="P108" s="35" t="e">
        <f>#REF!/P$1</f>
        <v>#REF!</v>
      </c>
      <c r="Q108" s="35" t="e">
        <f>#REF!/Q$1</f>
        <v>#REF!</v>
      </c>
      <c r="R108" s="35" t="e">
        <f>#REF!/R$1</f>
        <v>#REF!</v>
      </c>
      <c r="S108"/>
      <c r="T108"/>
      <c r="V108" s="57"/>
      <c r="W108" s="57"/>
      <c r="X108" s="57"/>
      <c r="Y108" s="57"/>
      <c r="Z108" s="57"/>
      <c r="AA108" s="57"/>
      <c r="AB108" s="57"/>
    </row>
    <row r="109" spans="1:28" x14ac:dyDescent="0.25">
      <c r="A109" s="101" t="s">
        <v>63</v>
      </c>
      <c r="B109" s="68">
        <f>+B104</f>
        <v>2374.06</v>
      </c>
      <c r="C109" s="68">
        <f>+C104</f>
        <v>2461.5520000000001</v>
      </c>
      <c r="D109" s="68">
        <f t="shared" ref="D109:N109" si="24">+D104</f>
        <v>2392.8009999999999</v>
      </c>
      <c r="E109" s="68">
        <f t="shared" si="24"/>
        <v>2689.4920000000002</v>
      </c>
      <c r="F109" s="68">
        <f t="shared" si="24"/>
        <v>2774.1390000000001</v>
      </c>
      <c r="G109" s="68">
        <f t="shared" si="24"/>
        <v>2725.8630000000003</v>
      </c>
      <c r="H109" s="68">
        <f t="shared" si="24"/>
        <v>2754.6009999999997</v>
      </c>
      <c r="I109" s="68">
        <f t="shared" si="24"/>
        <v>2780.904</v>
      </c>
      <c r="J109" s="68">
        <f t="shared" si="24"/>
        <v>2810.598</v>
      </c>
      <c r="K109" s="68">
        <f t="shared" si="24"/>
        <v>2839.7579999999998</v>
      </c>
      <c r="L109" s="68">
        <f t="shared" si="24"/>
        <v>2773.5749999999998</v>
      </c>
      <c r="M109" s="68">
        <f t="shared" si="24"/>
        <v>2858.277</v>
      </c>
      <c r="N109" s="89">
        <f t="shared" si="24"/>
        <v>2686.3016666666667</v>
      </c>
      <c r="O109" s="37" t="e">
        <f>#REF!/O$1</f>
        <v>#REF!</v>
      </c>
      <c r="P109" s="37" t="e">
        <f>#REF!/P$1</f>
        <v>#REF!</v>
      </c>
      <c r="Q109" s="37" t="e">
        <f>#REF!/Q$1</f>
        <v>#REF!</v>
      </c>
      <c r="R109" s="37" t="e">
        <f>#REF!/R$1</f>
        <v>#REF!</v>
      </c>
      <c r="S109"/>
      <c r="T109"/>
    </row>
    <row r="110" spans="1:28" ht="18.600000000000001" thickBot="1" x14ac:dyDescent="0.3">
      <c r="A110" s="101" t="s">
        <v>64</v>
      </c>
      <c r="B110" s="71">
        <f t="shared" ref="B110:N110" si="25">B41+B73+B89</f>
        <v>1531.808</v>
      </c>
      <c r="C110" s="71">
        <f t="shared" si="25"/>
        <v>1586.8960000000002</v>
      </c>
      <c r="D110" s="71">
        <f t="shared" si="25"/>
        <v>1565.7900000000002</v>
      </c>
      <c r="E110" s="71">
        <f t="shared" si="25"/>
        <v>1466.989</v>
      </c>
      <c r="F110" s="71">
        <f t="shared" si="25"/>
        <v>1709.16</v>
      </c>
      <c r="G110" s="71">
        <f t="shared" si="25"/>
        <v>1642.91</v>
      </c>
      <c r="H110" s="71">
        <f t="shared" si="25"/>
        <v>1723.1429999999998</v>
      </c>
      <c r="I110" s="71">
        <f t="shared" si="25"/>
        <v>1742.1309999999999</v>
      </c>
      <c r="J110" s="71">
        <f t="shared" si="25"/>
        <v>1773.0910000000001</v>
      </c>
      <c r="K110" s="71">
        <f t="shared" si="25"/>
        <v>1686.7750000000001</v>
      </c>
      <c r="L110" s="71">
        <f t="shared" si="25"/>
        <v>1672.75125</v>
      </c>
      <c r="M110" s="71">
        <f t="shared" si="25"/>
        <v>1787.3809999999999</v>
      </c>
      <c r="N110" s="90">
        <f t="shared" si="25"/>
        <v>1657.2291875000001</v>
      </c>
      <c r="O110" s="41" t="e">
        <f>O41+#REF!+O90</f>
        <v>#REF!</v>
      </c>
      <c r="P110" s="41" t="e">
        <f>P41+#REF!+P90</f>
        <v>#REF!</v>
      </c>
      <c r="Q110" s="41" t="e">
        <f>Q41+#REF!+Q90</f>
        <v>#REF!</v>
      </c>
      <c r="R110" s="41" t="e">
        <f>R41+#REF!+R89</f>
        <v>#REF!</v>
      </c>
      <c r="S110"/>
      <c r="T110"/>
      <c r="V110" s="57"/>
      <c r="W110" s="57"/>
      <c r="X110" s="57"/>
      <c r="Y110" s="57"/>
      <c r="Z110" s="57"/>
      <c r="AA110" s="57"/>
      <c r="AB110" s="57"/>
    </row>
    <row r="111" spans="1:28" ht="14.4" thickTop="1" x14ac:dyDescent="0.25">
      <c r="A111" s="10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54"/>
      <c r="P111" s="54"/>
      <c r="Q111" s="54"/>
      <c r="R111" s="54"/>
      <c r="S111"/>
      <c r="T111"/>
    </row>
    <row r="112" spans="1:28" ht="18" x14ac:dyDescent="0.25">
      <c r="A112" s="10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20"/>
      <c r="O112" s="36"/>
      <c r="P112" s="36"/>
      <c r="Q112" s="36"/>
      <c r="R112" s="36"/>
      <c r="S112"/>
      <c r="T112"/>
      <c r="V112" s="57"/>
      <c r="W112" s="57"/>
      <c r="X112" s="57"/>
      <c r="Y112" s="57"/>
      <c r="Z112" s="57"/>
      <c r="AA112" s="57"/>
      <c r="AB112" s="57"/>
    </row>
    <row r="113" spans="1:28" x14ac:dyDescent="0.25">
      <c r="A113" s="98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74"/>
      <c r="O113" s="43"/>
      <c r="P113" s="43"/>
      <c r="Q113" s="36"/>
      <c r="R113" s="42"/>
      <c r="S113"/>
      <c r="T113"/>
    </row>
    <row r="114" spans="1:28" ht="18" x14ac:dyDescent="0.25">
      <c r="A114" s="96" t="s">
        <v>65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0"/>
      <c r="O114" s="34" t="e">
        <f>#REF!</f>
        <v>#REF!</v>
      </c>
      <c r="P114" s="34" t="e">
        <f>$Q$9-$O$9</f>
        <v>#REF!</v>
      </c>
      <c r="Q114" s="34">
        <v>12</v>
      </c>
      <c r="R114" s="34" t="e">
        <f>#REF!</f>
        <v>#REF!</v>
      </c>
      <c r="S114"/>
      <c r="T114"/>
      <c r="V114" s="57"/>
      <c r="W114" s="57"/>
      <c r="X114" s="57"/>
      <c r="Y114" s="57"/>
      <c r="Z114" s="57"/>
      <c r="AA114" s="57"/>
      <c r="AB114" s="57"/>
    </row>
    <row r="115" spans="1:28" x14ac:dyDescent="0.25">
      <c r="A115" s="98" t="s">
        <v>66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0"/>
      <c r="O115" s="34"/>
      <c r="P115" s="34"/>
      <c r="Q115" s="34"/>
      <c r="R115" s="34"/>
      <c r="S115"/>
      <c r="T115"/>
    </row>
    <row r="116" spans="1:28" ht="18" x14ac:dyDescent="0.25">
      <c r="A116" s="99" t="s">
        <v>21</v>
      </c>
      <c r="B116" s="119">
        <f t="shared" ref="B116:N116" si="26">IF(B14&lt;&gt;0,((B184+B185)/B14)/B$1,0)</f>
        <v>0.29679817723947716</v>
      </c>
      <c r="C116" s="119">
        <f t="shared" si="26"/>
        <v>0.29747468273298294</v>
      </c>
      <c r="D116" s="119">
        <f t="shared" si="26"/>
        <v>0.29742247271855138</v>
      </c>
      <c r="E116" s="119">
        <f t="shared" si="26"/>
        <v>0.30110742138364782</v>
      </c>
      <c r="F116" s="119">
        <f t="shared" si="26"/>
        <v>0.29961509433962269</v>
      </c>
      <c r="G116" s="119">
        <f t="shared" si="26"/>
        <v>0.29275036231480484</v>
      </c>
      <c r="H116" s="119">
        <f t="shared" si="26"/>
        <v>0.29530889033049018</v>
      </c>
      <c r="I116" s="119">
        <f t="shared" si="26"/>
        <v>0.2984679245283019</v>
      </c>
      <c r="J116" s="119">
        <f t="shared" si="26"/>
        <v>0.29849433962264155</v>
      </c>
      <c r="K116" s="119">
        <f t="shared" si="26"/>
        <v>0.29936603773584902</v>
      </c>
      <c r="L116" s="119">
        <f t="shared" si="26"/>
        <v>0.31090272614622061</v>
      </c>
      <c r="M116" s="119">
        <f t="shared" si="26"/>
        <v>0.30613390139987828</v>
      </c>
      <c r="N116" s="22">
        <f t="shared" si="26"/>
        <v>0.29946231379197491</v>
      </c>
      <c r="O116" s="44" t="e">
        <f>IF(#REF!=0,0,#REF!/#REF!)</f>
        <v>#REF!</v>
      </c>
      <c r="P116" s="44" t="e">
        <f>IF(#REF!=0,0,#REF!/#REF!)</f>
        <v>#REF!</v>
      </c>
      <c r="Q116" s="44" t="e">
        <f>IF(#REF!=0,0,#REF!/#REF!)</f>
        <v>#REF!</v>
      </c>
      <c r="R116" s="44" t="e">
        <f>IF(#REF!=0,0,#REF!/#REF!)</f>
        <v>#REF!</v>
      </c>
      <c r="S116"/>
      <c r="T116"/>
      <c r="V116" s="57"/>
      <c r="W116" s="57"/>
      <c r="X116" s="57"/>
      <c r="Y116" s="57"/>
      <c r="Z116" s="57"/>
      <c r="AA116" s="57"/>
      <c r="AB116" s="57"/>
    </row>
    <row r="117" spans="1:28" x14ac:dyDescent="0.25">
      <c r="A117" s="99" t="s">
        <v>22</v>
      </c>
      <c r="B117" s="119">
        <f t="shared" ref="B117:N117" si="27">IF(B15&lt;&gt;0,(B186/B15)/B$1,0)</f>
        <v>2.7323175960928588E-2</v>
      </c>
      <c r="C117" s="119">
        <f t="shared" si="27"/>
        <v>2.4604370697116556E-2</v>
      </c>
      <c r="D117" s="119">
        <f t="shared" si="27"/>
        <v>2.463097619803483E-2</v>
      </c>
      <c r="E117" s="119">
        <f t="shared" si="27"/>
        <v>2.4671432953446117E-2</v>
      </c>
      <c r="F117" s="119">
        <f t="shared" si="27"/>
        <v>2.4547730908197608E-2</v>
      </c>
      <c r="G117" s="119">
        <f t="shared" si="27"/>
        <v>2.4186695182991044E-2</v>
      </c>
      <c r="H117" s="119">
        <f t="shared" si="27"/>
        <v>2.4287975870198691E-2</v>
      </c>
      <c r="I117" s="119">
        <f t="shared" si="27"/>
        <v>2.4334738491777242E-2</v>
      </c>
      <c r="J117" s="119">
        <f t="shared" si="27"/>
        <v>2.4384016488762275E-2</v>
      </c>
      <c r="K117" s="119">
        <f t="shared" si="27"/>
        <v>2.4360190945706881E-2</v>
      </c>
      <c r="L117" s="119">
        <f t="shared" si="27"/>
        <v>2.8799999999999996E-2</v>
      </c>
      <c r="M117" s="119">
        <f t="shared" si="27"/>
        <v>2.487196660788922E-2</v>
      </c>
      <c r="N117" s="22">
        <f t="shared" si="27"/>
        <v>2.5072955864893161E-2</v>
      </c>
      <c r="O117" s="44" t="e">
        <f>IF(#REF!=0,0,#REF!/#REF!)</f>
        <v>#REF!</v>
      </c>
      <c r="P117" s="44" t="e">
        <f>IF(#REF!=0,0,#REF!/#REF!)</f>
        <v>#REF!</v>
      </c>
      <c r="Q117" s="44" t="e">
        <f>IF(#REF!=0,0,#REF!/#REF!)</f>
        <v>#REF!</v>
      </c>
      <c r="R117" s="44" t="e">
        <f>IF(#REF!=0,0,#REF!/#REF!)</f>
        <v>#REF!</v>
      </c>
      <c r="S117"/>
      <c r="T117"/>
    </row>
    <row r="118" spans="1:28" ht="18" x14ac:dyDescent="0.25">
      <c r="A118" s="99" t="s">
        <v>23</v>
      </c>
      <c r="B118" s="119">
        <f t="shared" ref="B118:N118" si="28">IF(B16&lt;&gt;0,(B187/B16)/B$1,0)</f>
        <v>0</v>
      </c>
      <c r="C118" s="119">
        <f t="shared" si="28"/>
        <v>2.5300791039989102E-2</v>
      </c>
      <c r="D118" s="119">
        <f t="shared" si="28"/>
        <v>2.5299015325546532E-2</v>
      </c>
      <c r="E118" s="119">
        <f t="shared" si="28"/>
        <v>2.5296769657112132E-2</v>
      </c>
      <c r="F118" s="119">
        <f t="shared" si="28"/>
        <v>2.5299718447839983E-2</v>
      </c>
      <c r="G118" s="119">
        <f t="shared" si="28"/>
        <v>2.5299897862149125E-2</v>
      </c>
      <c r="H118" s="119">
        <f t="shared" si="28"/>
        <v>2.5297536247024088E-2</v>
      </c>
      <c r="I118" s="119">
        <f t="shared" si="28"/>
        <v>2.482880228332067E-2</v>
      </c>
      <c r="J118" s="119">
        <f t="shared" si="28"/>
        <v>2.5299751668183199E-2</v>
      </c>
      <c r="K118" s="119">
        <f t="shared" si="28"/>
        <v>2.5299830710173405E-2</v>
      </c>
      <c r="L118" s="119">
        <f t="shared" si="28"/>
        <v>0</v>
      </c>
      <c r="M118" s="119">
        <f t="shared" si="28"/>
        <v>2.5598624156634477E-2</v>
      </c>
      <c r="N118" s="22">
        <f t="shared" si="28"/>
        <v>2.4589153576177847E-2</v>
      </c>
      <c r="O118" s="44" t="e">
        <f>IF(#REF!=0,0,#REF!/#REF!)</f>
        <v>#REF!</v>
      </c>
      <c r="P118" s="44" t="e">
        <f>IF(#REF!=0,0,#REF!/#REF!)</f>
        <v>#REF!</v>
      </c>
      <c r="Q118" s="44" t="e">
        <f>IF(#REF!=0,0,#REF!/#REF!)</f>
        <v>#REF!</v>
      </c>
      <c r="R118" s="44" t="e">
        <f>IF(#REF!=0,0,#REF!/#REF!)</f>
        <v>#REF!</v>
      </c>
      <c r="S118"/>
      <c r="T118"/>
      <c r="V118" s="57"/>
      <c r="W118" s="57"/>
      <c r="X118" s="57"/>
      <c r="Y118" s="57"/>
      <c r="Z118" s="57"/>
      <c r="AA118" s="57"/>
      <c r="AB118" s="57"/>
    </row>
    <row r="119" spans="1:28" x14ac:dyDescent="0.25">
      <c r="A119" s="99" t="s">
        <v>27</v>
      </c>
      <c r="B119" s="119">
        <f t="shared" ref="B119:N119" si="29">IF(B17&lt;&gt;0,(B188/B17)/B$1,0)</f>
        <v>0</v>
      </c>
      <c r="C119" s="119">
        <f t="shared" si="29"/>
        <v>0</v>
      </c>
      <c r="D119" s="119">
        <f t="shared" si="29"/>
        <v>2.211401907080544E-2</v>
      </c>
      <c r="E119" s="119">
        <f t="shared" si="29"/>
        <v>0</v>
      </c>
      <c r="F119" s="119">
        <f t="shared" si="29"/>
        <v>0</v>
      </c>
      <c r="G119" s="119">
        <f t="shared" si="29"/>
        <v>5.7032348804500699E-2</v>
      </c>
      <c r="H119" s="119">
        <f t="shared" si="29"/>
        <v>0.10760674253443997</v>
      </c>
      <c r="I119" s="119">
        <f t="shared" si="29"/>
        <v>6.3204419889502747E-2</v>
      </c>
      <c r="J119" s="119">
        <f t="shared" si="29"/>
        <v>5.5121707163211603E-2</v>
      </c>
      <c r="K119" s="119">
        <f t="shared" si="29"/>
        <v>2.4997792271689349E-2</v>
      </c>
      <c r="L119" s="119">
        <f t="shared" si="29"/>
        <v>0</v>
      </c>
      <c r="M119" s="119">
        <f t="shared" si="29"/>
        <v>0.29996684479463276</v>
      </c>
      <c r="N119" s="22">
        <f t="shared" si="29"/>
        <v>7.0563652785757727E-2</v>
      </c>
      <c r="O119" s="44" t="e">
        <f>IF(O188=0,0,O188/#REF!)</f>
        <v>#REF!</v>
      </c>
      <c r="P119" s="44" t="e">
        <f>IF(P188=0,0,P188/#REF!)</f>
        <v>#REF!</v>
      </c>
      <c r="Q119" s="44">
        <f>IF(Q188=0,0,Q188/#REF!)</f>
        <v>0</v>
      </c>
      <c r="R119" s="44" t="e">
        <f>IF(R188=0,0,R188/#REF!)</f>
        <v>#REF!</v>
      </c>
      <c r="S119"/>
      <c r="T119"/>
    </row>
    <row r="120" spans="1:28" ht="18" x14ac:dyDescent="0.25">
      <c r="A120" s="9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35"/>
      <c r="P120" s="35"/>
      <c r="Q120" s="35"/>
      <c r="R120" s="35"/>
      <c r="S120"/>
      <c r="T120"/>
      <c r="V120" s="57"/>
      <c r="W120" s="57"/>
      <c r="X120" s="57"/>
      <c r="Y120" s="57"/>
      <c r="Z120" s="57"/>
      <c r="AA120" s="57"/>
      <c r="AB120" s="57"/>
    </row>
    <row r="121" spans="1:28" x14ac:dyDescent="0.25">
      <c r="A121" s="98" t="s">
        <v>67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34"/>
      <c r="P121" s="34"/>
      <c r="Q121" s="34"/>
      <c r="R121" s="34"/>
      <c r="S121"/>
      <c r="T121"/>
    </row>
    <row r="122" spans="1:28" ht="18" x14ac:dyDescent="0.25">
      <c r="A122" s="99" t="s">
        <v>21</v>
      </c>
      <c r="B122" s="119">
        <f t="shared" ref="B122:N122" si="30">IF(B21&lt;&gt;0,((B192+B193)/B21)/B$1,0)</f>
        <v>0.26593214642017177</v>
      </c>
      <c r="C122" s="119">
        <f t="shared" si="30"/>
        <v>0.26187107488017847</v>
      </c>
      <c r="D122" s="119">
        <f t="shared" si="30"/>
        <v>0.25952647018948694</v>
      </c>
      <c r="E122" s="119">
        <f t="shared" si="30"/>
        <v>0.27608451158372777</v>
      </c>
      <c r="F122" s="119">
        <f t="shared" si="30"/>
        <v>0.2724914524810706</v>
      </c>
      <c r="G122" s="119">
        <f t="shared" si="30"/>
        <v>0.27106474686483978</v>
      </c>
      <c r="H122" s="119">
        <f t="shared" si="30"/>
        <v>0.26874078703456961</v>
      </c>
      <c r="I122" s="119">
        <f t="shared" si="30"/>
        <v>0.27526703206281466</v>
      </c>
      <c r="J122" s="119">
        <f t="shared" si="30"/>
        <v>0.27501732238074644</v>
      </c>
      <c r="K122" s="119">
        <f t="shared" si="30"/>
        <v>0.27406183841680265</v>
      </c>
      <c r="L122" s="119">
        <f t="shared" si="30"/>
        <v>0.25617602863195565</v>
      </c>
      <c r="M122" s="119">
        <f t="shared" si="30"/>
        <v>0.27513811137609301</v>
      </c>
      <c r="N122" s="22">
        <f t="shared" si="30"/>
        <v>0.26922717257254752</v>
      </c>
      <c r="O122" s="44" t="e">
        <f>IF(#REF!=0,0,#REF!/#REF!)</f>
        <v>#REF!</v>
      </c>
      <c r="P122" s="44" t="e">
        <f>IF(#REF!=0,0,#REF!/#REF!)</f>
        <v>#REF!</v>
      </c>
      <c r="Q122" s="44" t="e">
        <f>IF(#REF!=0,0,#REF!/#REF!)</f>
        <v>#REF!</v>
      </c>
      <c r="R122" s="44" t="e">
        <f>IF(#REF!=0,0,#REF!/#REF!)</f>
        <v>#REF!</v>
      </c>
      <c r="S122"/>
      <c r="T122"/>
      <c r="V122" s="57"/>
      <c r="W122" s="57"/>
      <c r="X122" s="57"/>
      <c r="Y122" s="57"/>
      <c r="Z122" s="57"/>
      <c r="AA122" s="57"/>
      <c r="AB122" s="57"/>
    </row>
    <row r="123" spans="1:28" x14ac:dyDescent="0.25">
      <c r="A123" s="99" t="s">
        <v>22</v>
      </c>
      <c r="B123" s="119">
        <f t="shared" ref="B123:N123" si="31">IF(B22&lt;&gt;0,((B194/B22)/B$1),0)</f>
        <v>2.7436488221808667E-2</v>
      </c>
      <c r="C123" s="119">
        <f t="shared" si="31"/>
        <v>2.7761901228263795E-2</v>
      </c>
      <c r="D123" s="119">
        <f t="shared" si="31"/>
        <v>2.7240381033283755E-2</v>
      </c>
      <c r="E123" s="119">
        <f t="shared" si="31"/>
        <v>2.8388513269273687E-2</v>
      </c>
      <c r="F123" s="119">
        <f t="shared" si="31"/>
        <v>2.7561580894063617E-2</v>
      </c>
      <c r="G123" s="119">
        <f t="shared" si="31"/>
        <v>2.6887629791246405E-2</v>
      </c>
      <c r="H123" s="119">
        <f t="shared" si="31"/>
        <v>2.6918737754184203E-2</v>
      </c>
      <c r="I123" s="119">
        <f t="shared" si="31"/>
        <v>2.7408146938225575E-2</v>
      </c>
      <c r="J123" s="119">
        <f t="shared" si="31"/>
        <v>2.6016071179830062E-2</v>
      </c>
      <c r="K123" s="119">
        <f t="shared" si="31"/>
        <v>2.6759693891685827E-2</v>
      </c>
      <c r="L123" s="119">
        <f t="shared" si="31"/>
        <v>1.8649757582386663E-2</v>
      </c>
      <c r="M123" s="119">
        <f t="shared" si="31"/>
        <v>2.6852763702415294E-2</v>
      </c>
      <c r="N123" s="22">
        <f t="shared" si="31"/>
        <v>2.6230480556883921E-2</v>
      </c>
      <c r="O123" s="44" t="e">
        <f>IF(#REF!=0,0,#REF!/#REF!)</f>
        <v>#REF!</v>
      </c>
      <c r="P123" s="44" t="e">
        <f>IF(#REF!=0,0,#REF!/#REF!)</f>
        <v>#REF!</v>
      </c>
      <c r="Q123" s="44" t="e">
        <f>IF(#REF!=0,0,#REF!/#REF!)</f>
        <v>#REF!</v>
      </c>
      <c r="R123" s="44" t="e">
        <f>IF(#REF!=0,0,#REF!/#REF!)</f>
        <v>#REF!</v>
      </c>
      <c r="S123"/>
      <c r="T123"/>
    </row>
    <row r="124" spans="1:28" ht="18" x14ac:dyDescent="0.25">
      <c r="A124" s="99" t="s">
        <v>23</v>
      </c>
      <c r="B124" s="119">
        <f t="shared" ref="B124:N124" si="32">IF(B23&lt;&gt;0,((B195/B23)/B$1),0)</f>
        <v>3.2680183553697624E-2</v>
      </c>
      <c r="C124" s="119">
        <f t="shared" si="32"/>
        <v>3.2700725131599481E-2</v>
      </c>
      <c r="D124" s="119">
        <f t="shared" si="32"/>
        <v>3.2691058670707943E-2</v>
      </c>
      <c r="E124" s="119">
        <f t="shared" si="32"/>
        <v>3.2695501960002656E-2</v>
      </c>
      <c r="F124" s="119">
        <f t="shared" si="32"/>
        <v>3.269777341609207E-2</v>
      </c>
      <c r="G124" s="119">
        <f t="shared" si="32"/>
        <v>3.2698175477925154E-2</v>
      </c>
      <c r="H124" s="119">
        <f t="shared" si="32"/>
        <v>3.2695811150951777E-2</v>
      </c>
      <c r="I124" s="119">
        <f t="shared" si="32"/>
        <v>3.2343884630304111E-2</v>
      </c>
      <c r="J124" s="119">
        <f t="shared" si="32"/>
        <v>3.2278592893759943E-2</v>
      </c>
      <c r="K124" s="119">
        <f t="shared" si="32"/>
        <v>2.8787932438653022E-2</v>
      </c>
      <c r="L124" s="119">
        <f t="shared" si="32"/>
        <v>8.1042988019732212E-2</v>
      </c>
      <c r="M124" s="119">
        <f t="shared" si="32"/>
        <v>3.3201422188317356E-2</v>
      </c>
      <c r="N124" s="22">
        <f t="shared" si="32"/>
        <v>4.8893558532712433E-2</v>
      </c>
      <c r="O124" s="44" t="e">
        <f>IF(#REF!=0,0,#REF!/#REF!)</f>
        <v>#REF!</v>
      </c>
      <c r="P124" s="44" t="e">
        <f>IF(#REF!=0,0,#REF!/#REF!)</f>
        <v>#REF!</v>
      </c>
      <c r="Q124" s="44" t="e">
        <f>IF(#REF!=0,0,#REF!/#REF!)</f>
        <v>#REF!</v>
      </c>
      <c r="R124" s="44" t="e">
        <f>IF(#REF!=0,0,#REF!/#REF!)</f>
        <v>#REF!</v>
      </c>
      <c r="S124"/>
      <c r="T124"/>
      <c r="V124" s="57"/>
      <c r="W124" s="57"/>
      <c r="X124" s="57"/>
      <c r="Y124" s="57"/>
      <c r="Z124" s="57"/>
      <c r="AA124" s="57"/>
      <c r="AB124" s="57"/>
    </row>
    <row r="125" spans="1:28" x14ac:dyDescent="0.25">
      <c r="A125" s="99" t="s">
        <v>27</v>
      </c>
      <c r="B125" s="119">
        <f t="shared" ref="B125:N125" si="33">IF(B24&lt;&gt;0,((B197/B24)/B$1),0)</f>
        <v>0.19316206297083249</v>
      </c>
      <c r="C125" s="119">
        <f t="shared" si="33"/>
        <v>0.36244873158134588</v>
      </c>
      <c r="D125" s="119">
        <f t="shared" si="33"/>
        <v>0.109378887138237</v>
      </c>
      <c r="E125" s="119">
        <f t="shared" si="33"/>
        <v>0.13757062146892657</v>
      </c>
      <c r="F125" s="119">
        <f t="shared" si="33"/>
        <v>0.10007620015240032</v>
      </c>
      <c r="G125" s="119">
        <f t="shared" si="33"/>
        <v>2.4581637268204434E-2</v>
      </c>
      <c r="H125" s="119">
        <f t="shared" si="33"/>
        <v>0.36716201522290681</v>
      </c>
      <c r="I125" s="119">
        <f t="shared" si="33"/>
        <v>0.37156596567116107</v>
      </c>
      <c r="J125" s="119">
        <f t="shared" si="33"/>
        <v>0.66873156342182893</v>
      </c>
      <c r="K125" s="119">
        <f t="shared" si="33"/>
        <v>0</v>
      </c>
      <c r="L125" s="119">
        <f t="shared" si="33"/>
        <v>0</v>
      </c>
      <c r="M125" s="119">
        <f t="shared" si="33"/>
        <v>0</v>
      </c>
      <c r="N125" s="22">
        <f t="shared" si="33"/>
        <v>0.20882674694369693</v>
      </c>
      <c r="O125" s="44" t="e">
        <f>IF(#REF!=0,0,#REF!/#REF!)</f>
        <v>#REF!</v>
      </c>
      <c r="P125" s="44" t="e">
        <f>IF(#REF!=0,0,#REF!/#REF!)</f>
        <v>#REF!</v>
      </c>
      <c r="Q125" s="44" t="e">
        <f>IF(#REF!=0,0,#REF!/#REF!)</f>
        <v>#REF!</v>
      </c>
      <c r="R125" s="44" t="e">
        <f>IF(#REF!=0,0,#REF!/#REF!)</f>
        <v>#REF!</v>
      </c>
      <c r="S125"/>
      <c r="T125"/>
    </row>
    <row r="126" spans="1:28" ht="18" x14ac:dyDescent="0.25">
      <c r="A126" s="9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35"/>
      <c r="P126" s="35"/>
      <c r="Q126" s="35"/>
      <c r="R126" s="35"/>
      <c r="S126"/>
      <c r="T126"/>
      <c r="V126" s="57"/>
      <c r="W126" s="57"/>
      <c r="X126" s="57"/>
      <c r="Y126" s="57"/>
      <c r="Z126" s="57"/>
      <c r="AA126" s="57"/>
      <c r="AB126" s="57"/>
    </row>
    <row r="127" spans="1:28" x14ac:dyDescent="0.25">
      <c r="A127" s="98" t="s">
        <v>68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34"/>
      <c r="P127" s="34"/>
      <c r="Q127" s="34"/>
      <c r="R127" s="34"/>
      <c r="S127"/>
      <c r="T127"/>
    </row>
    <row r="128" spans="1:28" ht="18" x14ac:dyDescent="0.25">
      <c r="A128" s="99" t="s">
        <v>21</v>
      </c>
      <c r="B128" s="119">
        <f t="shared" ref="B128:N128" si="34">IF(B28&lt;&gt;0,((B201/B28)/B$1),0)</f>
        <v>0.15682795698924731</v>
      </c>
      <c r="C128" s="119">
        <f t="shared" si="34"/>
        <v>0.15640000000000001</v>
      </c>
      <c r="D128" s="119">
        <f t="shared" si="34"/>
        <v>0.15641774193548388</v>
      </c>
      <c r="E128" s="119">
        <f t="shared" si="34"/>
        <v>0.15910666666666667</v>
      </c>
      <c r="F128" s="119">
        <f t="shared" si="34"/>
        <v>0.15654946236559139</v>
      </c>
      <c r="G128" s="119">
        <f t="shared" si="34"/>
        <v>0.15654946236559139</v>
      </c>
      <c r="H128" s="119">
        <f t="shared" si="34"/>
        <v>0.1562532258064516</v>
      </c>
      <c r="I128" s="119">
        <f t="shared" si="34"/>
        <v>0.15737204301075269</v>
      </c>
      <c r="J128" s="119">
        <f t="shared" si="34"/>
        <v>0.15865555555555552</v>
      </c>
      <c r="K128" s="119">
        <f t="shared" si="34"/>
        <v>0.15737204301075269</v>
      </c>
      <c r="L128" s="119">
        <f t="shared" si="34"/>
        <v>0.13478499999999999</v>
      </c>
      <c r="M128" s="119">
        <f t="shared" si="34"/>
        <v>0.15649731182795698</v>
      </c>
      <c r="N128" s="22">
        <f t="shared" si="34"/>
        <v>0.15525462058943734</v>
      </c>
      <c r="O128" s="44"/>
      <c r="P128" s="44"/>
      <c r="Q128" s="44"/>
      <c r="R128" s="44"/>
      <c r="S128"/>
      <c r="T128"/>
      <c r="V128" s="57"/>
      <c r="W128" s="57"/>
      <c r="X128" s="57"/>
      <c r="Y128" s="57"/>
      <c r="Z128" s="57"/>
      <c r="AA128" s="57"/>
      <c r="AB128" s="57"/>
    </row>
    <row r="129" spans="1:28" x14ac:dyDescent="0.25">
      <c r="A129" s="99" t="s">
        <v>22</v>
      </c>
      <c r="B129" s="119">
        <f t="shared" ref="B129:N129" si="35">IF(B29&lt;&gt;0,((B202/B29)/B$1),0)</f>
        <v>1.8548923749612652E-2</v>
      </c>
      <c r="C129" s="119">
        <f t="shared" si="35"/>
        <v>1.8599999999999998E-2</v>
      </c>
      <c r="D129" s="119">
        <f t="shared" si="35"/>
        <v>1.860001044037389E-2</v>
      </c>
      <c r="E129" s="119">
        <f t="shared" si="35"/>
        <v>1.8599646303087043E-2</v>
      </c>
      <c r="F129" s="119">
        <f t="shared" si="35"/>
        <v>1.8599415302933565E-2</v>
      </c>
      <c r="G129" s="119">
        <f t="shared" si="35"/>
        <v>1.859939514162141E-2</v>
      </c>
      <c r="H129" s="119">
        <f t="shared" si="35"/>
        <v>1.8599609636505334E-2</v>
      </c>
      <c r="I129" s="119">
        <f t="shared" si="35"/>
        <v>1.8599883250801443E-2</v>
      </c>
      <c r="J129" s="119">
        <f t="shared" si="35"/>
        <v>1.8599725609948856E-2</v>
      </c>
      <c r="K129" s="119">
        <f t="shared" si="35"/>
        <v>1.8599883250801443E-2</v>
      </c>
      <c r="L129" s="119">
        <f t="shared" si="35"/>
        <v>1.7899999999999996E-2</v>
      </c>
      <c r="M129" s="119">
        <f t="shared" si="35"/>
        <v>1.8599487857421583E-2</v>
      </c>
      <c r="N129" s="22">
        <f t="shared" si="35"/>
        <v>1.8551171370439448E-2</v>
      </c>
      <c r="O129" s="44" t="e">
        <f>#REF!</f>
        <v>#REF!</v>
      </c>
      <c r="P129" s="44" t="e">
        <f>#REF!</f>
        <v>#REF!</v>
      </c>
      <c r="Q129" s="44" t="e">
        <f>#REF!</f>
        <v>#REF!</v>
      </c>
      <c r="R129" s="44" t="e">
        <f>#REF!</f>
        <v>#REF!</v>
      </c>
      <c r="S129"/>
      <c r="T129"/>
    </row>
    <row r="130" spans="1:28" ht="18" x14ac:dyDescent="0.25">
      <c r="A130" s="99" t="s">
        <v>23</v>
      </c>
      <c r="B130" s="119">
        <f t="shared" ref="B130:N130" si="36">IF(B30&lt;&gt;0,((B203/B30)/B$1),0)</f>
        <v>0</v>
      </c>
      <c r="C130" s="119">
        <f t="shared" si="36"/>
        <v>0</v>
      </c>
      <c r="D130" s="119">
        <f t="shared" si="36"/>
        <v>0</v>
      </c>
      <c r="E130" s="119">
        <f t="shared" si="36"/>
        <v>0</v>
      </c>
      <c r="F130" s="119">
        <f t="shared" si="36"/>
        <v>0</v>
      </c>
      <c r="G130" s="119">
        <f t="shared" si="36"/>
        <v>0</v>
      </c>
      <c r="H130" s="119">
        <f t="shared" si="36"/>
        <v>0</v>
      </c>
      <c r="I130" s="119">
        <f t="shared" si="36"/>
        <v>0</v>
      </c>
      <c r="J130" s="119">
        <f t="shared" si="36"/>
        <v>0</v>
      </c>
      <c r="K130" s="119">
        <f t="shared" si="36"/>
        <v>0</v>
      </c>
      <c r="L130" s="119">
        <f t="shared" si="36"/>
        <v>0</v>
      </c>
      <c r="M130" s="119">
        <f t="shared" si="36"/>
        <v>0</v>
      </c>
      <c r="N130" s="22">
        <f t="shared" si="36"/>
        <v>0</v>
      </c>
      <c r="O130" s="44" t="e">
        <f>#REF!</f>
        <v>#REF!</v>
      </c>
      <c r="P130" s="44" t="e">
        <f>#REF!</f>
        <v>#REF!</v>
      </c>
      <c r="Q130" s="44" t="e">
        <f>#REF!</f>
        <v>#REF!</v>
      </c>
      <c r="R130" s="44" t="e">
        <f>#REF!</f>
        <v>#REF!</v>
      </c>
      <c r="S130"/>
      <c r="T130"/>
      <c r="V130" s="57"/>
      <c r="W130" s="57"/>
      <c r="X130" s="57"/>
      <c r="Y130" s="57"/>
      <c r="Z130" s="57"/>
      <c r="AA130" s="57"/>
      <c r="AB130" s="57"/>
    </row>
    <row r="131" spans="1:28" x14ac:dyDescent="0.25">
      <c r="A131" s="99" t="s">
        <v>27</v>
      </c>
      <c r="B131" s="119">
        <f t="shared" ref="B131:N131" si="37">IF(B31&lt;&gt;0,((B204/B31)/B$1),0)</f>
        <v>0</v>
      </c>
      <c r="C131" s="119">
        <f t="shared" si="37"/>
        <v>0</v>
      </c>
      <c r="D131" s="119">
        <f t="shared" si="37"/>
        <v>0</v>
      </c>
      <c r="E131" s="119">
        <f t="shared" si="37"/>
        <v>0</v>
      </c>
      <c r="F131" s="119">
        <f t="shared" si="37"/>
        <v>0</v>
      </c>
      <c r="G131" s="119">
        <f t="shared" si="37"/>
        <v>0</v>
      </c>
      <c r="H131" s="119">
        <f t="shared" si="37"/>
        <v>0</v>
      </c>
      <c r="I131" s="119">
        <f t="shared" si="37"/>
        <v>0</v>
      </c>
      <c r="J131" s="119">
        <f t="shared" si="37"/>
        <v>0</v>
      </c>
      <c r="K131" s="119">
        <f t="shared" si="37"/>
        <v>0</v>
      </c>
      <c r="L131" s="119">
        <f t="shared" si="37"/>
        <v>0</v>
      </c>
      <c r="M131" s="119">
        <f t="shared" si="37"/>
        <v>0</v>
      </c>
      <c r="N131" s="22">
        <f t="shared" si="37"/>
        <v>0</v>
      </c>
      <c r="O131" s="44" t="e">
        <f>#REF!</f>
        <v>#REF!</v>
      </c>
      <c r="P131" s="44" t="e">
        <f>#REF!</f>
        <v>#REF!</v>
      </c>
      <c r="Q131" s="44" t="e">
        <f>#REF!</f>
        <v>#REF!</v>
      </c>
      <c r="R131" s="44" t="e">
        <f>#REF!</f>
        <v>#REF!</v>
      </c>
      <c r="S131"/>
      <c r="T131"/>
    </row>
    <row r="132" spans="1:28" ht="18" x14ac:dyDescent="0.25">
      <c r="A132" s="9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35"/>
      <c r="P132" s="35"/>
      <c r="Q132" s="35"/>
      <c r="R132" s="35"/>
      <c r="S132"/>
      <c r="T132"/>
      <c r="V132" s="57"/>
      <c r="W132" s="57"/>
      <c r="X132" s="57"/>
      <c r="Y132" s="57"/>
      <c r="Z132" s="57"/>
      <c r="AA132" s="57"/>
      <c r="AB132" s="57"/>
    </row>
    <row r="133" spans="1:28" x14ac:dyDescent="0.25">
      <c r="A133" s="98" t="s">
        <v>31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34"/>
      <c r="P133" s="34"/>
      <c r="Q133" s="34"/>
      <c r="R133" s="34"/>
      <c r="S133"/>
      <c r="T133"/>
    </row>
    <row r="134" spans="1:28" ht="18" x14ac:dyDescent="0.25">
      <c r="A134" s="99" t="s">
        <v>21</v>
      </c>
      <c r="B134" s="119">
        <f t="shared" ref="B134:N134" si="38">IF(B35&lt;&gt;0,((B208/B35)/B$1),0)</f>
        <v>0.13540805073063136</v>
      </c>
      <c r="C134" s="119">
        <f t="shared" si="38"/>
        <v>0.13409114353079871</v>
      </c>
      <c r="D134" s="119">
        <f t="shared" si="38"/>
        <v>0.12365043807248109</v>
      </c>
      <c r="E134" s="119">
        <f t="shared" si="38"/>
        <v>0.13852084478985158</v>
      </c>
      <c r="F134" s="119">
        <f t="shared" si="38"/>
        <v>0.16652149999098473</v>
      </c>
      <c r="G134" s="119">
        <f t="shared" si="38"/>
        <v>0.17123323189693082</v>
      </c>
      <c r="H134" s="119">
        <f t="shared" si="38"/>
        <v>0.16929598004076182</v>
      </c>
      <c r="I134" s="119">
        <f t="shared" si="38"/>
        <v>0.16800319769484856</v>
      </c>
      <c r="J134" s="119">
        <f t="shared" si="38"/>
        <v>0.16955210602759624</v>
      </c>
      <c r="K134" s="119">
        <f t="shared" si="38"/>
        <v>0.16883565254058616</v>
      </c>
      <c r="L134" s="119">
        <f t="shared" si="38"/>
        <v>0.16011084493964717</v>
      </c>
      <c r="M134" s="119">
        <f t="shared" si="38"/>
        <v>0.20966658890962411</v>
      </c>
      <c r="N134" s="22">
        <f t="shared" si="38"/>
        <v>0.16397360166731262</v>
      </c>
      <c r="O134" s="44" t="e">
        <f>IF(#REF!=0,0,#REF!/#REF!)</f>
        <v>#REF!</v>
      </c>
      <c r="P134" s="44" t="e">
        <f>IF(#REF!=0,0,#REF!/#REF!)</f>
        <v>#REF!</v>
      </c>
      <c r="Q134" s="44" t="e">
        <f>IF(#REF!=0,0,#REF!/#REF!)</f>
        <v>#REF!</v>
      </c>
      <c r="R134" s="44" t="e">
        <f>IF(#REF!=0,0,#REF!/#REF!)</f>
        <v>#REF!</v>
      </c>
      <c r="S134"/>
      <c r="T134"/>
      <c r="V134" s="57"/>
      <c r="W134" s="57"/>
      <c r="X134" s="57"/>
      <c r="Y134" s="57"/>
      <c r="Z134" s="57"/>
      <c r="AA134" s="57"/>
      <c r="AB134" s="57"/>
    </row>
    <row r="135" spans="1:28" x14ac:dyDescent="0.25">
      <c r="A135" s="99" t="s">
        <v>22</v>
      </c>
      <c r="B135" s="119">
        <f t="shared" ref="B135:N135" si="39">IF(B36&lt;&gt;0,((B209/B36)/B$1),0)</f>
        <v>1.8592679354960475E-2</v>
      </c>
      <c r="C135" s="119">
        <f t="shared" si="39"/>
        <v>1.8599881093935795E-2</v>
      </c>
      <c r="D135" s="119">
        <f t="shared" si="39"/>
        <v>1.8599910931942656E-2</v>
      </c>
      <c r="E135" s="119">
        <f t="shared" si="39"/>
        <v>1.859987913030035E-2</v>
      </c>
      <c r="F135" s="119">
        <f t="shared" si="39"/>
        <v>1.8599944425630517E-2</v>
      </c>
      <c r="G135" s="119">
        <f t="shared" si="39"/>
        <v>1.8600027383893256E-2</v>
      </c>
      <c r="H135" s="119">
        <f t="shared" si="39"/>
        <v>1.8600011016788362E-2</v>
      </c>
      <c r="I135" s="119">
        <f t="shared" si="39"/>
        <v>1.8599934036033321E-2</v>
      </c>
      <c r="J135" s="119">
        <f t="shared" si="39"/>
        <v>1.8599876404677106E-2</v>
      </c>
      <c r="K135" s="119">
        <f t="shared" si="39"/>
        <v>1.8599915863560662E-2</v>
      </c>
      <c r="L135" s="119">
        <f t="shared" si="39"/>
        <v>1.8679720205839755E-2</v>
      </c>
      <c r="M135" s="119">
        <f t="shared" si="39"/>
        <v>1.8599910742492089E-2</v>
      </c>
      <c r="N135" s="22">
        <f t="shared" si="39"/>
        <v>1.8635819629196956E-2</v>
      </c>
      <c r="O135" s="44" t="e">
        <f>IF(#REF!=0,0,#REF!/#REF!)</f>
        <v>#REF!</v>
      </c>
      <c r="P135" s="44" t="e">
        <f>IF(#REF!=0,0,#REF!/#REF!)</f>
        <v>#REF!</v>
      </c>
      <c r="Q135" s="44" t="e">
        <f>IF(#REF!=0,0,#REF!/#REF!)</f>
        <v>#REF!</v>
      </c>
      <c r="R135" s="44" t="e">
        <f>IF(#REF!=0,0,#REF!/#REF!)</f>
        <v>#REF!</v>
      </c>
      <c r="S135"/>
      <c r="T135"/>
    </row>
    <row r="136" spans="1:28" ht="18" x14ac:dyDescent="0.25">
      <c r="A136" s="99" t="s">
        <v>23</v>
      </c>
      <c r="B136" s="119">
        <f t="shared" ref="B136:N136" si="40">IF(B37&lt;&gt;0,((B210/B37)/B$1),0)</f>
        <v>0</v>
      </c>
      <c r="C136" s="119">
        <f t="shared" si="40"/>
        <v>0</v>
      </c>
      <c r="D136" s="119">
        <f t="shared" si="40"/>
        <v>0</v>
      </c>
      <c r="E136" s="119">
        <f t="shared" si="40"/>
        <v>0</v>
      </c>
      <c r="F136" s="119">
        <f t="shared" si="40"/>
        <v>0</v>
      </c>
      <c r="G136" s="119">
        <f t="shared" si="40"/>
        <v>0</v>
      </c>
      <c r="H136" s="119">
        <f t="shared" si="40"/>
        <v>0</v>
      </c>
      <c r="I136" s="119">
        <f t="shared" si="40"/>
        <v>0</v>
      </c>
      <c r="J136" s="119">
        <f t="shared" si="40"/>
        <v>0</v>
      </c>
      <c r="K136" s="119">
        <f t="shared" si="40"/>
        <v>0</v>
      </c>
      <c r="L136" s="119">
        <f t="shared" si="40"/>
        <v>0</v>
      </c>
      <c r="M136" s="119">
        <f t="shared" si="40"/>
        <v>0</v>
      </c>
      <c r="N136" s="22">
        <f t="shared" si="40"/>
        <v>0</v>
      </c>
      <c r="O136" s="44" t="e">
        <f>IF(#REF!=0,0,#REF!/#REF!)</f>
        <v>#REF!</v>
      </c>
      <c r="P136" s="44" t="e">
        <f>IF(#REF!=0,0,#REF!/#REF!)</f>
        <v>#REF!</v>
      </c>
      <c r="Q136" s="44" t="e">
        <f>IF(#REF!=0,0,#REF!/#REF!)</f>
        <v>#REF!</v>
      </c>
      <c r="R136" s="44" t="e">
        <f>IF(#REF!=0,0,#REF!/#REF!)</f>
        <v>#REF!</v>
      </c>
      <c r="S136"/>
      <c r="T136"/>
      <c r="V136" s="57"/>
      <c r="W136" s="57"/>
      <c r="X136" s="57"/>
      <c r="Y136" s="57"/>
      <c r="Z136" s="57"/>
      <c r="AA136" s="57"/>
      <c r="AB136" s="57"/>
    </row>
    <row r="137" spans="1:28" x14ac:dyDescent="0.25">
      <c r="A137" s="99" t="s">
        <v>27</v>
      </c>
      <c r="B137" s="119">
        <f t="shared" ref="B137:N137" si="41">IF(B39&lt;&gt;0,((B212/B39)/B$1),0)</f>
        <v>0</v>
      </c>
      <c r="C137" s="119">
        <f t="shared" si="41"/>
        <v>0</v>
      </c>
      <c r="D137" s="119">
        <f t="shared" si="41"/>
        <v>0</v>
      </c>
      <c r="E137" s="119">
        <f t="shared" si="41"/>
        <v>0</v>
      </c>
      <c r="F137" s="119">
        <f t="shared" si="41"/>
        <v>0.39189946369967177</v>
      </c>
      <c r="G137" s="119">
        <f t="shared" si="41"/>
        <v>3.845023289467734E-2</v>
      </c>
      <c r="H137" s="119">
        <f t="shared" si="41"/>
        <v>0</v>
      </c>
      <c r="I137" s="119">
        <f t="shared" si="41"/>
        <v>0</v>
      </c>
      <c r="J137" s="119">
        <f t="shared" si="41"/>
        <v>0</v>
      </c>
      <c r="K137" s="119">
        <f t="shared" si="41"/>
        <v>0</v>
      </c>
      <c r="L137" s="119">
        <f t="shared" si="41"/>
        <v>0.29137599137599141</v>
      </c>
      <c r="M137" s="119">
        <f t="shared" si="41"/>
        <v>0</v>
      </c>
      <c r="N137" s="22">
        <f t="shared" si="41"/>
        <v>1.2128069393357475E-3</v>
      </c>
      <c r="O137" s="44" t="e">
        <f>IF(#REF!=0,0,#REF!/#REF!)</f>
        <v>#REF!</v>
      </c>
      <c r="P137" s="44" t="e">
        <f>IF(#REF!=0,0,#REF!/#REF!)</f>
        <v>#REF!</v>
      </c>
      <c r="Q137" s="44" t="e">
        <f>IF(#REF!=0,0,#REF!/#REF!)</f>
        <v>#REF!</v>
      </c>
      <c r="R137" s="44" t="e">
        <f>IF(#REF!=0,0,#REF!/#REF!)</f>
        <v>#REF!</v>
      </c>
      <c r="S137"/>
      <c r="T137"/>
    </row>
    <row r="138" spans="1:28" ht="18" x14ac:dyDescent="0.25">
      <c r="A138" s="9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35"/>
      <c r="P138" s="35"/>
      <c r="Q138" s="35"/>
      <c r="R138" s="35"/>
      <c r="S138"/>
      <c r="T138"/>
      <c r="V138" s="57"/>
      <c r="W138" s="57"/>
      <c r="X138" s="57"/>
      <c r="Y138" s="57"/>
      <c r="Z138" s="57"/>
      <c r="AA138" s="57"/>
      <c r="AB138" s="57"/>
    </row>
    <row r="139" spans="1:28" x14ac:dyDescent="0.25">
      <c r="A139" s="98" t="s">
        <v>69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34"/>
      <c r="P139" s="34"/>
      <c r="Q139" s="34"/>
      <c r="R139" s="34"/>
      <c r="S139"/>
      <c r="T139"/>
    </row>
    <row r="140" spans="1:28" ht="18" x14ac:dyDescent="0.25">
      <c r="A140" s="99" t="s">
        <v>21</v>
      </c>
      <c r="B140" s="119">
        <f t="shared" ref="B140:N140" si="42">IF(B46&lt;&gt;0,((B220/B46)/B$1),0)</f>
        <v>3.0000000000000002E-2</v>
      </c>
      <c r="C140" s="119">
        <f t="shared" si="42"/>
        <v>4.9337164750957847E-2</v>
      </c>
      <c r="D140" s="119">
        <f t="shared" si="42"/>
        <v>0</v>
      </c>
      <c r="E140" s="119">
        <f t="shared" si="42"/>
        <v>8.0000000000000002E-3</v>
      </c>
      <c r="F140" s="119">
        <f t="shared" si="42"/>
        <v>7.5000394738919682E-3</v>
      </c>
      <c r="G140" s="119">
        <f t="shared" si="42"/>
        <v>8.3000000000000001E-3</v>
      </c>
      <c r="H140" s="119">
        <f t="shared" si="42"/>
        <v>7.8000000000000005E-3</v>
      </c>
      <c r="I140" s="119">
        <f t="shared" si="42"/>
        <v>6.5701612903225808E-3</v>
      </c>
      <c r="J140" s="119">
        <f t="shared" si="42"/>
        <v>8.4608333333333341E-3</v>
      </c>
      <c r="K140" s="119">
        <f t="shared" si="42"/>
        <v>8.8774193548387097E-3</v>
      </c>
      <c r="L140" s="119">
        <f t="shared" si="42"/>
        <v>0</v>
      </c>
      <c r="M140" s="119">
        <f t="shared" si="42"/>
        <v>8.0999999999999996E-3</v>
      </c>
      <c r="N140" s="22">
        <f t="shared" si="42"/>
        <v>1.2419843555452188E-2</v>
      </c>
      <c r="O140" s="44" t="e">
        <f>IF(#REF!=0,0,#REF!/#REF!)</f>
        <v>#REF!</v>
      </c>
      <c r="P140" s="44" t="e">
        <f>IF(#REF!=0,0,#REF!/#REF!)</f>
        <v>#REF!</v>
      </c>
      <c r="Q140" s="44" t="e">
        <f>IF(#REF!=0,0,#REF!/#REF!)</f>
        <v>#REF!</v>
      </c>
      <c r="R140" s="44" t="e">
        <f>IF(#REF!=0,0,#REF!/#REF!)</f>
        <v>#REF!</v>
      </c>
      <c r="S140"/>
      <c r="T140"/>
      <c r="V140" s="57"/>
      <c r="W140" s="57"/>
      <c r="X140" s="57"/>
      <c r="Y140" s="57"/>
      <c r="Z140" s="57"/>
      <c r="AA140" s="57"/>
      <c r="AB140" s="57"/>
    </row>
    <row r="141" spans="1:28" x14ac:dyDescent="0.25">
      <c r="A141" s="99" t="s">
        <v>22</v>
      </c>
      <c r="B141" s="119">
        <f t="shared" ref="B141:N141" si="43">IF(B47&lt;&gt;0,((B221/B47)/B$1),0)</f>
        <v>0</v>
      </c>
      <c r="C141" s="119">
        <f t="shared" si="43"/>
        <v>0</v>
      </c>
      <c r="D141" s="119">
        <f t="shared" si="43"/>
        <v>1.3818880198650445E-2</v>
      </c>
      <c r="E141" s="119">
        <f t="shared" si="43"/>
        <v>1.0287335059810087E-2</v>
      </c>
      <c r="F141" s="119">
        <f t="shared" si="43"/>
        <v>1.2249919264195375E-2</v>
      </c>
      <c r="G141" s="119">
        <f t="shared" si="43"/>
        <v>9.2994358706727301E-3</v>
      </c>
      <c r="H141" s="119">
        <f t="shared" si="43"/>
        <v>1.0586300121608447E-2</v>
      </c>
      <c r="I141" s="119">
        <f t="shared" si="43"/>
        <v>8.4420576312592335E-3</v>
      </c>
      <c r="J141" s="119">
        <f t="shared" si="43"/>
        <v>1.2301611807571172E-2</v>
      </c>
      <c r="K141" s="119">
        <f t="shared" si="43"/>
        <v>1.0712228439763001E-2</v>
      </c>
      <c r="L141" s="119">
        <f t="shared" si="43"/>
        <v>0</v>
      </c>
      <c r="M141" s="119">
        <f t="shared" si="43"/>
        <v>9.2964241278231958E-3</v>
      </c>
      <c r="N141" s="22">
        <f t="shared" si="43"/>
        <v>1.1371050878997865E-2</v>
      </c>
      <c r="O141" s="44" t="e">
        <f>IF(#REF!=0,0,#REF!/#REF!)</f>
        <v>#REF!</v>
      </c>
      <c r="P141" s="44" t="e">
        <f>IF(#REF!=0,0,#REF!/#REF!)</f>
        <v>#REF!</v>
      </c>
      <c r="Q141" s="44" t="e">
        <f>IF(#REF!=0,0,#REF!/#REF!)</f>
        <v>#REF!</v>
      </c>
      <c r="R141" s="44" t="e">
        <f>IF(#REF!=0,0,#REF!/#REF!)</f>
        <v>#REF!</v>
      </c>
      <c r="S141"/>
      <c r="T141"/>
    </row>
    <row r="142" spans="1:28" ht="18" x14ac:dyDescent="0.25">
      <c r="A142" s="99" t="s">
        <v>23</v>
      </c>
      <c r="B142" s="119">
        <f t="shared" ref="B142:N142" si="44">IF(B48&lt;&gt;0,((B222/B48)/B$1),0)</f>
        <v>0</v>
      </c>
      <c r="C142" s="119">
        <f t="shared" si="44"/>
        <v>0</v>
      </c>
      <c r="D142" s="119">
        <f t="shared" si="44"/>
        <v>0</v>
      </c>
      <c r="E142" s="119">
        <f t="shared" si="44"/>
        <v>0</v>
      </c>
      <c r="F142" s="119">
        <f t="shared" si="44"/>
        <v>0</v>
      </c>
      <c r="G142" s="119">
        <f t="shared" si="44"/>
        <v>0</v>
      </c>
      <c r="H142" s="119">
        <f t="shared" si="44"/>
        <v>0</v>
      </c>
      <c r="I142" s="119">
        <f t="shared" si="44"/>
        <v>0</v>
      </c>
      <c r="J142" s="119">
        <f t="shared" si="44"/>
        <v>0</v>
      </c>
      <c r="K142" s="119">
        <f t="shared" si="44"/>
        <v>0</v>
      </c>
      <c r="L142" s="119">
        <f t="shared" si="44"/>
        <v>0</v>
      </c>
      <c r="M142" s="119">
        <f t="shared" si="44"/>
        <v>0</v>
      </c>
      <c r="N142" s="22">
        <f t="shared" si="44"/>
        <v>0</v>
      </c>
      <c r="O142" s="44"/>
      <c r="P142" s="44"/>
      <c r="Q142" s="44"/>
      <c r="R142" s="44"/>
      <c r="S142"/>
      <c r="T142"/>
      <c r="V142" s="57"/>
      <c r="W142" s="57"/>
      <c r="X142" s="57"/>
      <c r="Y142" s="57"/>
      <c r="Z142" s="57"/>
      <c r="AA142" s="57"/>
      <c r="AB142" s="57"/>
    </row>
    <row r="143" spans="1:28" x14ac:dyDescent="0.25">
      <c r="A143" s="99" t="s">
        <v>27</v>
      </c>
      <c r="B143" s="119">
        <f t="shared" ref="B143:N143" si="45">IF(B49&lt;&gt;0,((B223/B49)/B$1),0)</f>
        <v>5.1150139690588424E-2</v>
      </c>
      <c r="C143" s="119">
        <f t="shared" si="45"/>
        <v>0</v>
      </c>
      <c r="D143" s="119">
        <f t="shared" si="45"/>
        <v>0</v>
      </c>
      <c r="E143" s="119">
        <f t="shared" si="45"/>
        <v>4.9968671679197989E-2</v>
      </c>
      <c r="F143" s="119">
        <f t="shared" si="45"/>
        <v>3.1494652218959113E-2</v>
      </c>
      <c r="G143" s="119">
        <f t="shared" si="45"/>
        <v>4.9987267634326461E-2</v>
      </c>
      <c r="H143" s="119">
        <f t="shared" si="45"/>
        <v>2.9994924575869272E-2</v>
      </c>
      <c r="I143" s="119">
        <f t="shared" si="45"/>
        <v>0.14582497893915511</v>
      </c>
      <c r="J143" s="119">
        <f t="shared" si="45"/>
        <v>0</v>
      </c>
      <c r="K143" s="119">
        <f t="shared" si="45"/>
        <v>0</v>
      </c>
      <c r="L143" s="119">
        <f t="shared" si="45"/>
        <v>0</v>
      </c>
      <c r="M143" s="119">
        <f t="shared" si="45"/>
        <v>0.11338952828659427</v>
      </c>
      <c r="N143" s="22">
        <f t="shared" si="45"/>
        <v>7.9689252750280409E-2</v>
      </c>
      <c r="O143" s="44" t="e">
        <f>IF(#REF!=0,0,(#REF!+#REF!)/#REF!)</f>
        <v>#REF!</v>
      </c>
      <c r="P143" s="44" t="e">
        <f>IF(#REF!=0,0,(#REF!+#REF!)/#REF!)</f>
        <v>#REF!</v>
      </c>
      <c r="Q143" s="44" t="e">
        <f>IF(#REF!=0,0,(#REF!+#REF!)/#REF!)</f>
        <v>#REF!</v>
      </c>
      <c r="R143" s="44" t="e">
        <f>IF(#REF!=0,0,(#REF!+#REF!)/#REF!)</f>
        <v>#REF!</v>
      </c>
      <c r="S143"/>
      <c r="T143"/>
    </row>
    <row r="144" spans="1:28" ht="18" x14ac:dyDescent="0.25">
      <c r="A144" s="9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35"/>
      <c r="P144" s="35"/>
      <c r="Q144" s="35"/>
      <c r="R144" s="35"/>
      <c r="S144"/>
      <c r="T144"/>
      <c r="V144" s="57"/>
      <c r="W144" s="57"/>
      <c r="X144" s="57"/>
      <c r="Y144" s="57"/>
      <c r="Z144" s="57"/>
      <c r="AA144" s="57"/>
      <c r="AB144" s="57"/>
    </row>
    <row r="145" spans="1:28" x14ac:dyDescent="0.25">
      <c r="A145" s="98" t="s">
        <v>70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34"/>
      <c r="P145" s="34"/>
      <c r="Q145" s="34"/>
      <c r="R145" s="34"/>
      <c r="S145"/>
      <c r="T145"/>
    </row>
    <row r="146" spans="1:28" ht="18" x14ac:dyDescent="0.25">
      <c r="A146" s="99" t="s">
        <v>21</v>
      </c>
      <c r="B146" s="119">
        <f t="shared" ref="B146:N146" si="46">IF(B53&lt;&gt;0,((B227/B53)/B$1),0)</f>
        <v>5.3223045403837752E-2</v>
      </c>
      <c r="C146" s="119">
        <f t="shared" si="46"/>
        <v>5.4707581378151321E-2</v>
      </c>
      <c r="D146" s="119">
        <f t="shared" si="46"/>
        <v>4.8584939516748402E-2</v>
      </c>
      <c r="E146" s="119">
        <f t="shared" si="46"/>
        <v>2.3034814425887128E-2</v>
      </c>
      <c r="F146" s="119">
        <f t="shared" si="46"/>
        <v>2.1602364165793725E-2</v>
      </c>
      <c r="G146" s="119">
        <f t="shared" si="46"/>
        <v>2.6214726584418258E-2</v>
      </c>
      <c r="H146" s="119">
        <f t="shared" si="46"/>
        <v>2.1252850783380805E-2</v>
      </c>
      <c r="I146" s="119">
        <f t="shared" si="46"/>
        <v>1.7860462759101407E-2</v>
      </c>
      <c r="J146" s="119">
        <f t="shared" si="46"/>
        <v>2.8211222596202415E-2</v>
      </c>
      <c r="K146" s="119">
        <f t="shared" si="46"/>
        <v>2.4368431241022153E-2</v>
      </c>
      <c r="L146" s="119">
        <f t="shared" si="46"/>
        <v>1.7165244646804582E-2</v>
      </c>
      <c r="M146" s="119">
        <f t="shared" si="46"/>
        <v>2.9797057583725597E-2</v>
      </c>
      <c r="N146" s="22">
        <f t="shared" si="46"/>
        <v>2.7231387120288639E-2</v>
      </c>
      <c r="O146" s="44" t="e">
        <f>IF(#REF!=0,0,#REF!/#REF!)</f>
        <v>#REF!</v>
      </c>
      <c r="P146" s="44" t="e">
        <f>IF(#REF!=0,0,#REF!/#REF!)</f>
        <v>#REF!</v>
      </c>
      <c r="Q146" s="44" t="e">
        <f>IF(#REF!=0,0,#REF!/#REF!)</f>
        <v>#REF!</v>
      </c>
      <c r="R146" s="44" t="e">
        <f>IF(#REF!=0,0,#REF!/#REF!)</f>
        <v>#REF!</v>
      </c>
      <c r="S146"/>
      <c r="T146"/>
      <c r="V146" s="57"/>
      <c r="W146" s="57"/>
      <c r="X146" s="57"/>
      <c r="Y146" s="57"/>
      <c r="Z146" s="57"/>
      <c r="AA146" s="57"/>
      <c r="AB146" s="57"/>
    </row>
    <row r="147" spans="1:28" x14ac:dyDescent="0.25">
      <c r="A147" s="99" t="s">
        <v>48</v>
      </c>
      <c r="B147" s="119">
        <f t="shared" ref="B147:N147" si="47">IF(B54&lt;&gt;0,((B228/B54)/B$1),0)</f>
        <v>9.9382990990395884E-3</v>
      </c>
      <c r="C147" s="119">
        <f t="shared" si="47"/>
        <v>9.4416302124153955E-3</v>
      </c>
      <c r="D147" s="119">
        <f t="shared" si="47"/>
        <v>9.3815744733160168E-3</v>
      </c>
      <c r="E147" s="119">
        <f t="shared" si="47"/>
        <v>9.3237623555471969E-3</v>
      </c>
      <c r="F147" s="119">
        <f t="shared" si="47"/>
        <v>9.3269513871505529E-3</v>
      </c>
      <c r="G147" s="119">
        <f t="shared" si="47"/>
        <v>9.409374457614833E-3</v>
      </c>
      <c r="H147" s="119">
        <f t="shared" si="47"/>
        <v>1.0280749658522556E-2</v>
      </c>
      <c r="I147" s="119">
        <f t="shared" si="47"/>
        <v>9.9994588982832977E-3</v>
      </c>
      <c r="J147" s="119">
        <f t="shared" si="47"/>
        <v>1.1213991311128439E-2</v>
      </c>
      <c r="K147" s="119">
        <f t="shared" si="47"/>
        <v>9.5356061767950598E-3</v>
      </c>
      <c r="L147" s="119">
        <f t="shared" si="47"/>
        <v>9.8139959402060075E-3</v>
      </c>
      <c r="M147" s="119">
        <f t="shared" si="47"/>
        <v>9.2913352063059857E-3</v>
      </c>
      <c r="N147" s="22">
        <f t="shared" si="47"/>
        <v>9.7252042955018464E-3</v>
      </c>
      <c r="O147" s="44" t="e">
        <f>IF(#REF!=0,0,#REF!/#REF!)</f>
        <v>#REF!</v>
      </c>
      <c r="P147" s="44" t="e">
        <f>IF(#REF!=0,0,#REF!/#REF!)</f>
        <v>#REF!</v>
      </c>
      <c r="Q147" s="44" t="e">
        <f>IF(#REF!=0,0,#REF!/#REF!)</f>
        <v>#REF!</v>
      </c>
      <c r="R147" s="44" t="e">
        <f>IF(#REF!=0,0,#REF!/#REF!)</f>
        <v>#REF!</v>
      </c>
      <c r="S147"/>
      <c r="T147"/>
    </row>
    <row r="148" spans="1:28" ht="18" x14ac:dyDescent="0.25">
      <c r="A148" s="99" t="s">
        <v>57</v>
      </c>
      <c r="B148" s="119">
        <f t="shared" ref="B148:N148" si="48">IF(B55&lt;&gt;0,((B229/B55)/B$1),0)</f>
        <v>0</v>
      </c>
      <c r="C148" s="119">
        <f t="shared" si="48"/>
        <v>0</v>
      </c>
      <c r="D148" s="119">
        <f t="shared" si="48"/>
        <v>0</v>
      </c>
      <c r="E148" s="119">
        <f t="shared" si="48"/>
        <v>0</v>
      </c>
      <c r="F148" s="119">
        <f t="shared" si="48"/>
        <v>0</v>
      </c>
      <c r="G148" s="119">
        <f t="shared" si="48"/>
        <v>0</v>
      </c>
      <c r="H148" s="119">
        <f t="shared" si="48"/>
        <v>0</v>
      </c>
      <c r="I148" s="119">
        <f t="shared" si="48"/>
        <v>0</v>
      </c>
      <c r="J148" s="119">
        <f t="shared" si="48"/>
        <v>0</v>
      </c>
      <c r="K148" s="119">
        <f t="shared" si="48"/>
        <v>0</v>
      </c>
      <c r="L148" s="119">
        <f t="shared" si="48"/>
        <v>0.34627831715210355</v>
      </c>
      <c r="M148" s="119">
        <f t="shared" si="48"/>
        <v>0</v>
      </c>
      <c r="N148" s="22">
        <f t="shared" si="48"/>
        <v>0.34060162342829858</v>
      </c>
      <c r="O148" s="44" t="e">
        <f>IF(#REF!=0,0,#REF!/#REF!)</f>
        <v>#REF!</v>
      </c>
      <c r="P148" s="44" t="e">
        <f>IF(#REF!=0,0,#REF!/#REF!)</f>
        <v>#REF!</v>
      </c>
      <c r="Q148" s="44" t="e">
        <f>IF(#REF!=0,0,#REF!/#REF!)</f>
        <v>#REF!</v>
      </c>
      <c r="R148" s="44" t="e">
        <f>IF(#REF!=0,0,#REF!/#REF!)</f>
        <v>#REF!</v>
      </c>
      <c r="S148"/>
      <c r="T148"/>
      <c r="V148" s="57"/>
      <c r="W148" s="57"/>
      <c r="X148" s="57"/>
      <c r="Y148" s="57"/>
      <c r="Z148" s="57"/>
      <c r="AA148" s="57"/>
      <c r="AB148" s="57"/>
    </row>
    <row r="149" spans="1:28" x14ac:dyDescent="0.25">
      <c r="A149" s="99" t="s">
        <v>49</v>
      </c>
      <c r="B149" s="119">
        <f t="shared" ref="B149:N149" si="49">IF(B57&lt;&gt;0,((B231/B57)/B$1),0)</f>
        <v>5.2850228974899799E-2</v>
      </c>
      <c r="C149" s="119">
        <f t="shared" si="49"/>
        <v>3.7537040756028747E-2</v>
      </c>
      <c r="D149" s="119">
        <f t="shared" si="49"/>
        <v>4.9949435692510098E-2</v>
      </c>
      <c r="E149" s="119">
        <f t="shared" si="49"/>
        <v>3.8449079891653401E-2</v>
      </c>
      <c r="F149" s="119">
        <f t="shared" si="49"/>
        <v>4.4033296585662011E-2</v>
      </c>
      <c r="G149" s="119">
        <f t="shared" si="49"/>
        <v>3.9695029227528288E-2</v>
      </c>
      <c r="H149" s="119">
        <f t="shared" si="49"/>
        <v>4.1505882028437843E-2</v>
      </c>
      <c r="I149" s="119">
        <f t="shared" si="49"/>
        <v>3.5914714380077824E-2</v>
      </c>
      <c r="J149" s="119">
        <f t="shared" si="49"/>
        <v>5.2327612165010542E-2</v>
      </c>
      <c r="K149" s="119">
        <f t="shared" si="49"/>
        <v>3.9086038643865624E-2</v>
      </c>
      <c r="L149" s="119">
        <f t="shared" si="49"/>
        <v>0.04</v>
      </c>
      <c r="M149" s="119">
        <f t="shared" si="49"/>
        <v>3.9861284207107862E-2</v>
      </c>
      <c r="N149" s="22">
        <f t="shared" si="49"/>
        <v>4.2323530633113504E-2</v>
      </c>
      <c r="O149" s="44" t="e">
        <f>IF(#REF!=0,0,#REF!/#REF!)</f>
        <v>#REF!</v>
      </c>
      <c r="P149" s="44" t="e">
        <f>IF(#REF!=0,0,#REF!/#REF!)</f>
        <v>#REF!</v>
      </c>
      <c r="Q149" s="44" t="e">
        <f>IF(#REF!=0,0,#REF!/#REF!)</f>
        <v>#REF!</v>
      </c>
      <c r="R149" s="44" t="e">
        <f>IF(#REF!=0,0,#REF!/#REF!)</f>
        <v>#REF!</v>
      </c>
      <c r="S149"/>
      <c r="T149"/>
    </row>
    <row r="150" spans="1:28" ht="18" x14ac:dyDescent="0.25">
      <c r="A150" s="9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35"/>
      <c r="P150" s="35"/>
      <c r="Q150" s="35"/>
      <c r="R150" s="35"/>
      <c r="S150"/>
      <c r="T150"/>
      <c r="V150" s="57"/>
      <c r="W150" s="57"/>
      <c r="X150" s="57"/>
      <c r="Y150" s="57"/>
      <c r="Z150" s="57"/>
      <c r="AA150" s="57"/>
      <c r="AB150" s="57"/>
    </row>
    <row r="151" spans="1:28" x14ac:dyDescent="0.25">
      <c r="A151" s="98" t="s">
        <v>71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34"/>
      <c r="P151" s="34"/>
      <c r="Q151" s="34"/>
      <c r="R151" s="34"/>
      <c r="S151"/>
      <c r="T151"/>
    </row>
    <row r="152" spans="1:28" ht="18" x14ac:dyDescent="0.25">
      <c r="A152" s="99" t="s">
        <v>21</v>
      </c>
      <c r="B152" s="119">
        <f t="shared" ref="B152:N152" si="50">IF(B61&lt;&gt;0,((B235/B61)/B$1),0)</f>
        <v>0.20738951612903225</v>
      </c>
      <c r="C152" s="119">
        <f t="shared" si="50"/>
        <v>0.20767931034482756</v>
      </c>
      <c r="D152" s="119">
        <f t="shared" si="50"/>
        <v>0.20399999999999999</v>
      </c>
      <c r="E152" s="119">
        <f t="shared" si="50"/>
        <v>0.20800000000000002</v>
      </c>
      <c r="F152" s="119">
        <f t="shared" si="50"/>
        <v>0.20767983870967743</v>
      </c>
      <c r="G152" s="119">
        <f t="shared" si="50"/>
        <v>0.20784</v>
      </c>
      <c r="H152" s="119">
        <f t="shared" si="50"/>
        <v>0.20615</v>
      </c>
      <c r="I152" s="119">
        <f t="shared" si="50"/>
        <v>0.20759677419354838</v>
      </c>
      <c r="J152" s="119">
        <f t="shared" si="50"/>
        <v>0.20746583333333335</v>
      </c>
      <c r="K152" s="119">
        <f t="shared" si="50"/>
        <v>0.20734274193548391</v>
      </c>
      <c r="L152" s="119">
        <f t="shared" si="50"/>
        <v>0.21159999999999998</v>
      </c>
      <c r="M152" s="119">
        <f t="shared" si="50"/>
        <v>0.20736370967741932</v>
      </c>
      <c r="N152" s="22">
        <f t="shared" si="50"/>
        <v>0.20749474043715846</v>
      </c>
      <c r="O152" s="44"/>
      <c r="P152" s="44"/>
      <c r="Q152" s="44"/>
      <c r="R152" s="44"/>
      <c r="S152"/>
      <c r="T152"/>
      <c r="V152" s="57"/>
      <c r="W152" s="57"/>
      <c r="X152" s="57"/>
      <c r="Y152" s="57"/>
      <c r="Z152" s="57"/>
      <c r="AA152" s="57"/>
      <c r="AB152" s="57"/>
    </row>
    <row r="153" spans="1:28" x14ac:dyDescent="0.25">
      <c r="A153" s="99" t="s">
        <v>48</v>
      </c>
      <c r="B153" s="119">
        <f t="shared" ref="B153:N153" si="51">IF(B62&lt;&gt;0,((B236/B62)/B$1),0)</f>
        <v>1.7045628313553204E-2</v>
      </c>
      <c r="C153" s="119">
        <f t="shared" si="51"/>
        <v>1.1053467819306894E-2</v>
      </c>
      <c r="D153" s="119">
        <f t="shared" si="51"/>
        <v>1.7368910128766759E-2</v>
      </c>
      <c r="E153" s="119">
        <f t="shared" si="51"/>
        <v>1.2283357777041837E-2</v>
      </c>
      <c r="F153" s="119">
        <f t="shared" si="51"/>
        <v>1.0872215608370745E-2</v>
      </c>
      <c r="G153" s="119">
        <f t="shared" si="51"/>
        <v>1.0857261638179462E-2</v>
      </c>
      <c r="H153" s="119">
        <f t="shared" si="51"/>
        <v>1.1236444693292203E-2</v>
      </c>
      <c r="I153" s="119">
        <f t="shared" si="51"/>
        <v>1.0399854075924739E-2</v>
      </c>
      <c r="J153" s="119">
        <f t="shared" si="51"/>
        <v>1.0399793210408409E-2</v>
      </c>
      <c r="K153" s="119">
        <f t="shared" si="51"/>
        <v>1.0399560705978646E-2</v>
      </c>
      <c r="L153" s="119">
        <f t="shared" si="51"/>
        <v>1.0299999999999998E-2</v>
      </c>
      <c r="M153" s="119">
        <f t="shared" si="51"/>
        <v>1.1982358351525359E-2</v>
      </c>
      <c r="N153" s="22">
        <f t="shared" si="51"/>
        <v>1.1831532252298471E-2</v>
      </c>
      <c r="O153" s="44"/>
      <c r="P153" s="44"/>
      <c r="Q153" s="44"/>
      <c r="R153" s="44"/>
      <c r="S153"/>
      <c r="T153"/>
    </row>
    <row r="154" spans="1:28" ht="18" x14ac:dyDescent="0.25">
      <c r="A154" s="99" t="s">
        <v>57</v>
      </c>
      <c r="B154" s="119">
        <f t="shared" ref="B154:N154" si="52">IF(B63&lt;&gt;0,((B237/B63)/B$1),0)</f>
        <v>0</v>
      </c>
      <c r="C154" s="119">
        <f t="shared" si="52"/>
        <v>0</v>
      </c>
      <c r="D154" s="119">
        <f t="shared" si="52"/>
        <v>0</v>
      </c>
      <c r="E154" s="119">
        <f t="shared" si="52"/>
        <v>0</v>
      </c>
      <c r="F154" s="119">
        <f t="shared" si="52"/>
        <v>0</v>
      </c>
      <c r="G154" s="119">
        <f t="shared" si="52"/>
        <v>0</v>
      </c>
      <c r="H154" s="119">
        <f t="shared" si="52"/>
        <v>0</v>
      </c>
      <c r="I154" s="119">
        <f t="shared" si="52"/>
        <v>0</v>
      </c>
      <c r="J154" s="119">
        <f t="shared" si="52"/>
        <v>0</v>
      </c>
      <c r="K154" s="119">
        <f t="shared" si="52"/>
        <v>0</v>
      </c>
      <c r="L154" s="119">
        <f t="shared" si="52"/>
        <v>0</v>
      </c>
      <c r="M154" s="119">
        <f t="shared" si="52"/>
        <v>0</v>
      </c>
      <c r="N154" s="22">
        <f t="shared" si="52"/>
        <v>0</v>
      </c>
      <c r="O154" s="44"/>
      <c r="P154" s="44"/>
      <c r="Q154" s="44"/>
      <c r="R154" s="44"/>
      <c r="S154"/>
      <c r="T154"/>
      <c r="V154" s="57"/>
      <c r="W154" s="57"/>
      <c r="X154" s="57"/>
      <c r="Y154" s="57"/>
      <c r="Z154" s="57"/>
      <c r="AA154" s="57"/>
      <c r="AB154" s="57"/>
    </row>
    <row r="155" spans="1:28" x14ac:dyDescent="0.25">
      <c r="A155" s="99" t="s">
        <v>49</v>
      </c>
      <c r="B155" s="119">
        <f t="shared" ref="B155:N155" si="53">IF(B64&lt;&gt;0,((B238/B64)/B$1),0)</f>
        <v>0.22164542387945141</v>
      </c>
      <c r="C155" s="119">
        <f t="shared" si="53"/>
        <v>0</v>
      </c>
      <c r="D155" s="119">
        <f t="shared" si="53"/>
        <v>0</v>
      </c>
      <c r="E155" s="119">
        <f t="shared" si="53"/>
        <v>0</v>
      </c>
      <c r="F155" s="119">
        <f t="shared" si="53"/>
        <v>0.80209241499564088</v>
      </c>
      <c r="G155" s="119">
        <f t="shared" si="53"/>
        <v>0</v>
      </c>
      <c r="H155" s="119">
        <f t="shared" si="53"/>
        <v>0</v>
      </c>
      <c r="I155" s="119">
        <f t="shared" si="53"/>
        <v>0</v>
      </c>
      <c r="J155" s="119">
        <f t="shared" si="53"/>
        <v>0.22160438465371199</v>
      </c>
      <c r="K155" s="119">
        <f t="shared" si="53"/>
        <v>0.22162591359583669</v>
      </c>
      <c r="L155" s="119">
        <f t="shared" si="53"/>
        <v>0</v>
      </c>
      <c r="M155" s="119">
        <f t="shared" si="53"/>
        <v>0.22160177975528367</v>
      </c>
      <c r="N155" s="22">
        <f t="shared" si="53"/>
        <v>0.20866050522285087</v>
      </c>
      <c r="O155" s="44"/>
      <c r="P155" s="44"/>
      <c r="Q155" s="44"/>
      <c r="R155" s="44"/>
      <c r="S155"/>
      <c r="T155"/>
    </row>
    <row r="156" spans="1:28" ht="18" x14ac:dyDescent="0.25">
      <c r="A156" s="9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35"/>
      <c r="P156" s="35"/>
      <c r="Q156" s="35"/>
      <c r="R156" s="35"/>
      <c r="S156"/>
      <c r="T156"/>
      <c r="V156" s="57"/>
      <c r="W156" s="57"/>
      <c r="X156" s="57"/>
      <c r="Y156" s="57"/>
      <c r="Z156" s="57"/>
      <c r="AA156" s="57"/>
      <c r="AB156" s="57"/>
    </row>
    <row r="157" spans="1:28" x14ac:dyDescent="0.25">
      <c r="A157" s="98" t="s">
        <v>41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34"/>
      <c r="P157" s="34"/>
      <c r="Q157" s="34"/>
      <c r="R157" s="34"/>
      <c r="S157"/>
      <c r="T157"/>
    </row>
    <row r="158" spans="1:28" ht="18" x14ac:dyDescent="0.25">
      <c r="A158" s="99" t="s">
        <v>21</v>
      </c>
      <c r="B158" s="119">
        <f t="shared" ref="B158:N158" si="54">IF(B68&lt;&gt;0,((B242/B68)/B$1),0)</f>
        <v>0.13675167376749847</v>
      </c>
      <c r="C158" s="119">
        <f t="shared" si="54"/>
        <v>0.17281912817176318</v>
      </c>
      <c r="D158" s="119">
        <f t="shared" si="54"/>
        <v>0.14822642679900747</v>
      </c>
      <c r="E158" s="119">
        <f t="shared" si="54"/>
        <v>0.14682266666666666</v>
      </c>
      <c r="F158" s="119">
        <f t="shared" si="54"/>
        <v>0.14815073859762548</v>
      </c>
      <c r="G158" s="119">
        <f t="shared" si="54"/>
        <v>0.14583366666666667</v>
      </c>
      <c r="H158" s="119">
        <f t="shared" si="54"/>
        <v>0.14573838709677417</v>
      </c>
      <c r="I158" s="119">
        <f t="shared" si="54"/>
        <v>0.14579806451612903</v>
      </c>
      <c r="J158" s="119">
        <f t="shared" si="54"/>
        <v>0.14619666666666664</v>
      </c>
      <c r="K158" s="119">
        <f t="shared" si="54"/>
        <v>0.14644000000000001</v>
      </c>
      <c r="L158" s="119">
        <f t="shared" si="54"/>
        <v>0.14723478260869566</v>
      </c>
      <c r="M158" s="119">
        <f t="shared" si="54"/>
        <v>0.1507683870967742</v>
      </c>
      <c r="N158" s="22">
        <f t="shared" si="54"/>
        <v>0.14856866969565197</v>
      </c>
      <c r="O158" s="44" t="e">
        <f>IF(#REF!=0,0,#REF!/#REF!)</f>
        <v>#REF!</v>
      </c>
      <c r="P158" s="44" t="e">
        <f>IF(#REF!=0,0,#REF!/#REF!)</f>
        <v>#REF!</v>
      </c>
      <c r="Q158" s="44" t="e">
        <f>IF(#REF!=0,0,#REF!/#REF!)</f>
        <v>#REF!</v>
      </c>
      <c r="R158" s="44" t="e">
        <f>IF(#REF!=0,0,#REF!/#REF!)</f>
        <v>#REF!</v>
      </c>
      <c r="S158"/>
      <c r="T158"/>
      <c r="V158" s="57"/>
      <c r="W158" s="57"/>
      <c r="X158" s="57"/>
      <c r="Y158" s="57"/>
      <c r="Z158" s="57"/>
      <c r="AA158" s="57"/>
      <c r="AB158" s="57"/>
    </row>
    <row r="159" spans="1:28" x14ac:dyDescent="0.25">
      <c r="A159" s="99" t="s">
        <v>22</v>
      </c>
      <c r="B159" s="119">
        <f t="shared" ref="B159:N159" si="55">IF(B69&lt;&gt;0,((B243/B69)/B$1),0)</f>
        <v>1.0808474589430661E-2</v>
      </c>
      <c r="C159" s="119">
        <f t="shared" si="55"/>
        <v>1.1300670426769618E-2</v>
      </c>
      <c r="D159" s="119">
        <f t="shared" si="55"/>
        <v>1.1246885978920472E-2</v>
      </c>
      <c r="E159" s="119">
        <f t="shared" si="55"/>
        <v>1.1760807837970079E-2</v>
      </c>
      <c r="F159" s="119">
        <f t="shared" si="55"/>
        <v>1.1696096613696676E-2</v>
      </c>
      <c r="G159" s="119">
        <f t="shared" si="55"/>
        <v>1.1715916045280026E-2</v>
      </c>
      <c r="H159" s="119">
        <f t="shared" si="55"/>
        <v>1.1779183109784588E-2</v>
      </c>
      <c r="I159" s="119">
        <f t="shared" si="55"/>
        <v>1.1628586473818866E-2</v>
      </c>
      <c r="J159" s="119">
        <f t="shared" si="55"/>
        <v>1.1544688523383743E-2</v>
      </c>
      <c r="K159" s="119">
        <f t="shared" si="55"/>
        <v>1.3411821365678844E-2</v>
      </c>
      <c r="L159" s="119">
        <f t="shared" si="55"/>
        <v>2.0156857091101328E-2</v>
      </c>
      <c r="M159" s="119">
        <f t="shared" si="55"/>
        <v>1.1292141636918768E-2</v>
      </c>
      <c r="N159" s="22">
        <f t="shared" si="55"/>
        <v>1.2221959376519155E-2</v>
      </c>
      <c r="O159" s="44" t="e">
        <f>IF(#REF!=0,0,#REF!/#REF!)</f>
        <v>#REF!</v>
      </c>
      <c r="P159" s="44" t="e">
        <f>IF(#REF!=0,0,#REF!/#REF!)</f>
        <v>#REF!</v>
      </c>
      <c r="Q159" s="44" t="e">
        <f>IF(#REF!=0,0,#REF!/#REF!)</f>
        <v>#REF!</v>
      </c>
      <c r="R159" s="44" t="e">
        <f>IF(#REF!=0,0,#REF!/#REF!)</f>
        <v>#REF!</v>
      </c>
      <c r="S159"/>
      <c r="T159"/>
    </row>
    <row r="160" spans="1:28" ht="18" x14ac:dyDescent="0.25">
      <c r="A160" s="99" t="s">
        <v>23</v>
      </c>
      <c r="B160" s="119">
        <f t="shared" ref="B160:N160" si="56">IF(B70&lt;&gt;0,((B244/B70)/B$1),0)</f>
        <v>0</v>
      </c>
      <c r="C160" s="119">
        <f t="shared" si="56"/>
        <v>0</v>
      </c>
      <c r="D160" s="119">
        <f t="shared" si="56"/>
        <v>0</v>
      </c>
      <c r="E160" s="119">
        <f t="shared" si="56"/>
        <v>0</v>
      </c>
      <c r="F160" s="119">
        <f t="shared" si="56"/>
        <v>0</v>
      </c>
      <c r="G160" s="119">
        <f t="shared" si="56"/>
        <v>0</v>
      </c>
      <c r="H160" s="119">
        <f t="shared" si="56"/>
        <v>0</v>
      </c>
      <c r="I160" s="119">
        <f t="shared" si="56"/>
        <v>0</v>
      </c>
      <c r="J160" s="119">
        <f t="shared" si="56"/>
        <v>0</v>
      </c>
      <c r="K160" s="119">
        <f t="shared" si="56"/>
        <v>0</v>
      </c>
      <c r="L160" s="119">
        <f t="shared" si="56"/>
        <v>0</v>
      </c>
      <c r="M160" s="119">
        <f t="shared" si="56"/>
        <v>0</v>
      </c>
      <c r="N160" s="22">
        <f t="shared" si="56"/>
        <v>0</v>
      </c>
      <c r="O160" s="44" t="e">
        <f>IF(#REF!=0,0,#REF!/#REF!)</f>
        <v>#REF!</v>
      </c>
      <c r="P160" s="44" t="e">
        <f>IF(#REF!=0,0,#REF!/#REF!)</f>
        <v>#REF!</v>
      </c>
      <c r="Q160" s="44" t="e">
        <f>IF(#REF!=0,0,#REF!/#REF!)</f>
        <v>#REF!</v>
      </c>
      <c r="R160" s="44" t="e">
        <f>IF(#REF!=0,0,#REF!/#REF!)</f>
        <v>#REF!</v>
      </c>
      <c r="S160"/>
      <c r="T160"/>
      <c r="V160" s="57"/>
      <c r="W160" s="57"/>
      <c r="X160" s="57"/>
      <c r="Y160" s="57"/>
      <c r="Z160" s="57"/>
      <c r="AA160" s="57"/>
      <c r="AB160" s="57"/>
    </row>
    <row r="161" spans="1:28" x14ac:dyDescent="0.25">
      <c r="A161" s="99" t="s">
        <v>27</v>
      </c>
      <c r="B161" s="119">
        <f t="shared" ref="B161:N161" si="57">IF(B71&lt;&gt;0,((B245/B71)/B$1),0)</f>
        <v>0.2304147465437788</v>
      </c>
      <c r="C161" s="119">
        <f t="shared" si="57"/>
        <v>5.0011545566502467E-2</v>
      </c>
      <c r="D161" s="119">
        <f t="shared" si="57"/>
        <v>4.9986617555218521E-2</v>
      </c>
      <c r="E161" s="119">
        <f t="shared" si="57"/>
        <v>4.9995854063018243E-2</v>
      </c>
      <c r="F161" s="119">
        <f t="shared" si="57"/>
        <v>4.7708099951990122E-2</v>
      </c>
      <c r="G161" s="119">
        <f t="shared" si="57"/>
        <v>5.3316140333803719E-2</v>
      </c>
      <c r="H161" s="119">
        <f t="shared" si="57"/>
        <v>0.12644791025583291</v>
      </c>
      <c r="I161" s="119">
        <f t="shared" si="57"/>
        <v>0.11589769952448271</v>
      </c>
      <c r="J161" s="119">
        <f t="shared" si="57"/>
        <v>0.18782595569644137</v>
      </c>
      <c r="K161" s="119">
        <f t="shared" si="57"/>
        <v>0.18069319669928119</v>
      </c>
      <c r="L161" s="119">
        <f t="shared" si="57"/>
        <v>0</v>
      </c>
      <c r="M161" s="119">
        <f t="shared" si="57"/>
        <v>0.21437919345262799</v>
      </c>
      <c r="N161" s="22">
        <f t="shared" si="57"/>
        <v>0.10933205668056066</v>
      </c>
      <c r="O161" s="44" t="e">
        <f>(#REF!+#REF!)/#REF!</f>
        <v>#REF!</v>
      </c>
      <c r="P161" s="44" t="e">
        <f>(#REF!+#REF!)/#REF!</f>
        <v>#REF!</v>
      </c>
      <c r="Q161" s="44" t="e">
        <f>(#REF!+#REF!)/#REF!</f>
        <v>#REF!</v>
      </c>
      <c r="R161" s="44" t="e">
        <f>(#REF!+#REF!)/#REF!</f>
        <v>#REF!</v>
      </c>
      <c r="S161"/>
      <c r="T161"/>
    </row>
    <row r="162" spans="1:28" ht="18" x14ac:dyDescent="0.25">
      <c r="A162" s="9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35"/>
      <c r="P162" s="35"/>
      <c r="Q162" s="35"/>
      <c r="R162" s="35"/>
      <c r="S162"/>
      <c r="T162"/>
      <c r="V162" s="57"/>
      <c r="W162" s="57"/>
      <c r="X162" s="57"/>
      <c r="Y162" s="57"/>
      <c r="Z162" s="57"/>
      <c r="AA162" s="57"/>
      <c r="AB162" s="57"/>
    </row>
    <row r="163" spans="1:28" x14ac:dyDescent="0.25">
      <c r="A163" s="98" t="s">
        <v>46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4"/>
      <c r="P163" s="34"/>
      <c r="Q163" s="34"/>
      <c r="R163" s="34"/>
      <c r="S163"/>
      <c r="T163"/>
    </row>
    <row r="164" spans="1:28" ht="18" x14ac:dyDescent="0.25">
      <c r="A164" s="99" t="s">
        <v>21</v>
      </c>
      <c r="B164" s="119">
        <f t="shared" ref="B164:N164" si="58">IF(B78&lt;&gt;0,((B253/B78)/B$1),0)</f>
        <v>5.2756540926762636E-2</v>
      </c>
      <c r="C164" s="119">
        <f t="shared" si="58"/>
        <v>3.9395515705463513E-2</v>
      </c>
      <c r="D164" s="119">
        <f t="shared" si="58"/>
        <v>4.002244039270688E-2</v>
      </c>
      <c r="E164" s="119">
        <f t="shared" si="58"/>
        <v>4.0387784679089024E-2</v>
      </c>
      <c r="F164" s="119">
        <f t="shared" si="58"/>
        <v>4.0511420557002603E-2</v>
      </c>
      <c r="G164" s="119">
        <f t="shared" si="58"/>
        <v>4.1251449275362312E-2</v>
      </c>
      <c r="H164" s="119">
        <f t="shared" si="58"/>
        <v>4.0474754558204769E-2</v>
      </c>
      <c r="I164" s="119">
        <f t="shared" si="58"/>
        <v>4.0274393909036262E-2</v>
      </c>
      <c r="J164" s="119">
        <f t="shared" si="58"/>
        <v>4.0554554865424433E-2</v>
      </c>
      <c r="K164" s="119">
        <f t="shared" si="58"/>
        <v>4.0625726307353241E-2</v>
      </c>
      <c r="L164" s="119">
        <f t="shared" si="58"/>
        <v>3.5054794520547945E-2</v>
      </c>
      <c r="M164" s="119">
        <f t="shared" si="58"/>
        <v>3.9280104187537565E-2</v>
      </c>
      <c r="N164" s="22">
        <f t="shared" si="58"/>
        <v>4.0778199851006419E-2</v>
      </c>
      <c r="O164" s="44" t="e">
        <f>(#REF!+#REF!)/(#REF!+#REF!)</f>
        <v>#REF!</v>
      </c>
      <c r="P164" s="44" t="e">
        <f>(#REF!+#REF!)/(#REF!+#REF!)</f>
        <v>#REF!</v>
      </c>
      <c r="Q164" s="44" t="e">
        <f>(#REF!+#REF!)/(#REF!+#REF!)</f>
        <v>#REF!</v>
      </c>
      <c r="R164" s="44" t="e">
        <f>(#REF!+#REF!)/(#REF!+#REF!)</f>
        <v>#REF!</v>
      </c>
      <c r="S164"/>
      <c r="T164"/>
      <c r="V164" s="57"/>
      <c r="W164" s="57"/>
      <c r="X164" s="57"/>
      <c r="Y164" s="57"/>
      <c r="Z164" s="57"/>
      <c r="AA164" s="57"/>
      <c r="AB164" s="57"/>
    </row>
    <row r="165" spans="1:28" x14ac:dyDescent="0.25">
      <c r="A165" s="99" t="s">
        <v>22</v>
      </c>
      <c r="B165" s="119">
        <f t="shared" ref="B165:N165" si="59">IF(B79&lt;&gt;0,((B254/B79)/B$1),0)</f>
        <v>1.0999752275675438E-3</v>
      </c>
      <c r="C165" s="119">
        <f t="shared" si="59"/>
        <v>1.1184169004325286E-3</v>
      </c>
      <c r="D165" s="119">
        <f t="shared" si="59"/>
        <v>1.1023916129673183E-3</v>
      </c>
      <c r="E165" s="119">
        <f t="shared" si="59"/>
        <v>1.0999446896882796E-3</v>
      </c>
      <c r="F165" s="119">
        <f t="shared" si="59"/>
        <v>1.0999216908718795E-3</v>
      </c>
      <c r="G165" s="119">
        <f t="shared" si="59"/>
        <v>1.0999061821636198E-3</v>
      </c>
      <c r="H165" s="119">
        <f t="shared" si="59"/>
        <v>1.0999597373228226E-3</v>
      </c>
      <c r="I165" s="119">
        <f t="shared" si="59"/>
        <v>1.0999827866176356E-3</v>
      </c>
      <c r="J165" s="119">
        <f t="shared" si="59"/>
        <v>1.0999174706166936E-3</v>
      </c>
      <c r="K165" s="119">
        <f t="shared" si="59"/>
        <v>1.0999868997385266E-3</v>
      </c>
      <c r="L165" s="119">
        <f t="shared" si="59"/>
        <v>1.2271669793621012E-3</v>
      </c>
      <c r="M165" s="119">
        <f t="shared" si="59"/>
        <v>2.0995904212982868E-3</v>
      </c>
      <c r="N165" s="22">
        <f t="shared" si="59"/>
        <v>1.1837901639708364E-3</v>
      </c>
      <c r="O165" s="44" t="e">
        <f>#REF!</f>
        <v>#REF!</v>
      </c>
      <c r="P165" s="44" t="e">
        <f>#REF!</f>
        <v>#REF!</v>
      </c>
      <c r="Q165" s="44" t="e">
        <f>#REF!</f>
        <v>#REF!</v>
      </c>
      <c r="R165" s="44" t="e">
        <f>#REF!</f>
        <v>#REF!</v>
      </c>
      <c r="S165"/>
      <c r="T165"/>
    </row>
    <row r="166" spans="1:28" ht="18" x14ac:dyDescent="0.25">
      <c r="A166" s="99" t="s">
        <v>23</v>
      </c>
      <c r="B166" s="119">
        <f t="shared" ref="B166:N166" si="60">IF(B80&lt;&gt;0,((B255/B80)/B$1),0)</f>
        <v>1.0989247311827958E-3</v>
      </c>
      <c r="C166" s="119">
        <f t="shared" si="60"/>
        <v>1.0988505747126438E-3</v>
      </c>
      <c r="D166" s="119">
        <f t="shared" si="60"/>
        <v>0</v>
      </c>
      <c r="E166" s="119">
        <f t="shared" si="60"/>
        <v>0</v>
      </c>
      <c r="F166" s="119">
        <f t="shared" si="60"/>
        <v>0</v>
      </c>
      <c r="G166" s="119">
        <f t="shared" si="60"/>
        <v>0</v>
      </c>
      <c r="H166" s="119">
        <f t="shared" si="60"/>
        <v>0</v>
      </c>
      <c r="I166" s="119">
        <f t="shared" si="60"/>
        <v>0</v>
      </c>
      <c r="J166" s="119">
        <f t="shared" si="60"/>
        <v>0</v>
      </c>
      <c r="K166" s="119">
        <f t="shared" si="60"/>
        <v>0</v>
      </c>
      <c r="L166" s="119">
        <f t="shared" si="60"/>
        <v>0</v>
      </c>
      <c r="M166" s="119">
        <f t="shared" si="60"/>
        <v>1.0989247311827958E-3</v>
      </c>
      <c r="N166" s="22">
        <f t="shared" si="60"/>
        <v>8.4647724387009393E-4</v>
      </c>
      <c r="O166" s="44"/>
      <c r="P166" s="44"/>
      <c r="Q166" s="44"/>
      <c r="R166" s="44"/>
      <c r="S166"/>
      <c r="T166"/>
      <c r="V166" s="57"/>
      <c r="W166" s="57"/>
      <c r="X166" s="57"/>
      <c r="Y166" s="57"/>
      <c r="Z166" s="57"/>
      <c r="AA166" s="57"/>
      <c r="AB166" s="57"/>
    </row>
    <row r="167" spans="1:28" x14ac:dyDescent="0.25">
      <c r="A167" s="99" t="s">
        <v>27</v>
      </c>
      <c r="B167" s="119">
        <f t="shared" ref="B167:N167" si="61">IF(B81&lt;&gt;0,((B256/B81)/B$1),0)</f>
        <v>3.0022246941045608E-2</v>
      </c>
      <c r="C167" s="119">
        <f t="shared" si="61"/>
        <v>3.0002674676981322E-2</v>
      </c>
      <c r="D167" s="119">
        <f t="shared" si="61"/>
        <v>2.9999064454519938E-2</v>
      </c>
      <c r="E167" s="119">
        <f t="shared" si="61"/>
        <v>2.9997393797237426E-2</v>
      </c>
      <c r="F167" s="119">
        <f t="shared" si="61"/>
        <v>2.9999747735376604E-2</v>
      </c>
      <c r="G167" s="119">
        <f t="shared" si="61"/>
        <v>6.2673894201812769E-2</v>
      </c>
      <c r="H167" s="119">
        <f t="shared" si="61"/>
        <v>1.6277654319240189E-2</v>
      </c>
      <c r="I167" s="119">
        <f t="shared" si="61"/>
        <v>4.6223620502972476E-2</v>
      </c>
      <c r="J167" s="119">
        <f t="shared" si="61"/>
        <v>2.8817957193243239E-2</v>
      </c>
      <c r="K167" s="119">
        <f t="shared" si="61"/>
        <v>3.5198267162232011E-2</v>
      </c>
      <c r="L167" s="119">
        <f t="shared" si="61"/>
        <v>0</v>
      </c>
      <c r="M167" s="119">
        <f t="shared" si="61"/>
        <v>3.107218180403875E-2</v>
      </c>
      <c r="N167" s="22">
        <f t="shared" si="61"/>
        <v>3.6149429543375446E-2</v>
      </c>
      <c r="O167" s="44" t="e">
        <f>#REF!</f>
        <v>#REF!</v>
      </c>
      <c r="P167" s="44" t="e">
        <f>#REF!</f>
        <v>#REF!</v>
      </c>
      <c r="Q167" s="44" t="e">
        <f>#REF!</f>
        <v>#REF!</v>
      </c>
      <c r="R167" s="44" t="e">
        <f>#REF!</f>
        <v>#REF!</v>
      </c>
      <c r="S167"/>
      <c r="T167"/>
    </row>
    <row r="168" spans="1:28" ht="18" x14ac:dyDescent="0.25">
      <c r="A168" s="9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35"/>
      <c r="P168" s="35"/>
      <c r="Q168" s="35"/>
      <c r="R168" s="35"/>
      <c r="S168"/>
      <c r="T168"/>
      <c r="V168" s="57"/>
      <c r="W168" s="57"/>
      <c r="X168" s="57"/>
      <c r="Y168" s="57"/>
      <c r="Z168" s="57"/>
      <c r="AA168" s="57"/>
      <c r="AB168" s="57"/>
    </row>
    <row r="169" spans="1:28" x14ac:dyDescent="0.25">
      <c r="A169" s="98" t="s">
        <v>51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34"/>
      <c r="P169" s="34"/>
      <c r="Q169" s="34"/>
      <c r="R169" s="34"/>
      <c r="S169"/>
      <c r="T169"/>
    </row>
    <row r="170" spans="1:28" ht="18" x14ac:dyDescent="0.25">
      <c r="A170" s="99" t="s">
        <v>21</v>
      </c>
      <c r="B170" s="119">
        <f t="shared" ref="B170:N170" si="62">IF(B85&lt;&gt;0,((B260/B85)/B$1),0)</f>
        <v>5.9193431931990219E-2</v>
      </c>
      <c r="C170" s="119">
        <f t="shared" si="62"/>
        <v>3.8173559927408798E-2</v>
      </c>
      <c r="D170" s="119">
        <f t="shared" si="62"/>
        <v>4.1088214354419429E-2</v>
      </c>
      <c r="E170" s="119">
        <f t="shared" si="62"/>
        <v>4.1925449320121815E-2</v>
      </c>
      <c r="F170" s="119">
        <f t="shared" si="62"/>
        <v>3.7249219491140198E-2</v>
      </c>
      <c r="G170" s="119">
        <f t="shared" si="62"/>
        <v>4.1374323723574927E-2</v>
      </c>
      <c r="H170" s="119">
        <f t="shared" si="62"/>
        <v>3.990280522250985E-2</v>
      </c>
      <c r="I170" s="119">
        <f t="shared" si="62"/>
        <v>4.0069262273898253E-2</v>
      </c>
      <c r="J170" s="119">
        <f t="shared" si="62"/>
        <v>3.9040092425678484E-2</v>
      </c>
      <c r="K170" s="119">
        <f t="shared" si="62"/>
        <v>3.7451394475730752E-2</v>
      </c>
      <c r="L170" s="119">
        <f t="shared" si="62"/>
        <v>5.4778097982708933E-2</v>
      </c>
      <c r="M170" s="119">
        <f t="shared" si="62"/>
        <v>3.6576343348067052E-2</v>
      </c>
      <c r="N170" s="22">
        <f t="shared" si="62"/>
        <v>4.1395722050907253E-2</v>
      </c>
      <c r="O170" s="44" t="e">
        <f>IF(#REF!=0,0,#REF!/#REF!)</f>
        <v>#REF!</v>
      </c>
      <c r="P170" s="44" t="e">
        <f>IF(#REF!=0,0,#REF!/#REF!)</f>
        <v>#REF!</v>
      </c>
      <c r="Q170" s="44" t="e">
        <f>IF(#REF!=0,0,#REF!/#REF!)</f>
        <v>#REF!</v>
      </c>
      <c r="R170" s="44" t="e">
        <f>IF(#REF!=0,0,#REF!/#REF!)</f>
        <v>#REF!</v>
      </c>
      <c r="S170"/>
      <c r="T170"/>
      <c r="V170" s="57"/>
      <c r="W170" s="57"/>
      <c r="X170" s="57"/>
      <c r="Y170" s="57"/>
      <c r="Z170" s="57"/>
      <c r="AA170" s="57"/>
      <c r="AB170" s="57"/>
    </row>
    <row r="171" spans="1:28" x14ac:dyDescent="0.25">
      <c r="A171" s="99" t="s">
        <v>22</v>
      </c>
      <c r="B171" s="119">
        <f t="shared" ref="B171:N171" si="63">IF(B86&lt;&gt;0,((B261/B86)/B$1),0)</f>
        <v>3.3024612292352259E-3</v>
      </c>
      <c r="C171" s="119">
        <f t="shared" si="63"/>
        <v>3.3000363846091515E-3</v>
      </c>
      <c r="D171" s="119">
        <f t="shared" si="63"/>
        <v>2.7128457574228052E-3</v>
      </c>
      <c r="E171" s="119">
        <f t="shared" si="63"/>
        <v>2.8737462665937514E-3</v>
      </c>
      <c r="F171" s="119">
        <f t="shared" si="63"/>
        <v>3.2998730489991056E-3</v>
      </c>
      <c r="G171" s="119">
        <f t="shared" si="63"/>
        <v>3.2998502312363881E-3</v>
      </c>
      <c r="H171" s="119">
        <f t="shared" si="63"/>
        <v>3.2998433173306902E-3</v>
      </c>
      <c r="I171" s="119">
        <f t="shared" si="63"/>
        <v>3.2997994823547945E-3</v>
      </c>
      <c r="J171" s="119">
        <f t="shared" si="63"/>
        <v>3.3045271014499286E-3</v>
      </c>
      <c r="K171" s="119">
        <f t="shared" si="63"/>
        <v>3.2999937840063583E-3</v>
      </c>
      <c r="L171" s="119">
        <f t="shared" si="63"/>
        <v>2.0253954853696621E-3</v>
      </c>
      <c r="M171" s="119">
        <f t="shared" si="63"/>
        <v>3.3202868431423402E-3</v>
      </c>
      <c r="N171" s="22">
        <f t="shared" si="63"/>
        <v>3.149762733168492E-3</v>
      </c>
      <c r="O171" s="44" t="e">
        <f>IF(#REF!=0,0,#REF!/#REF!)</f>
        <v>#REF!</v>
      </c>
      <c r="P171" s="44" t="e">
        <f>IF(#REF!=0,0,#REF!/#REF!)</f>
        <v>#REF!</v>
      </c>
      <c r="Q171" s="44" t="e">
        <f>IF(#REF!=0,0,#REF!/#REF!)</f>
        <v>#REF!</v>
      </c>
      <c r="R171" s="44" t="e">
        <f>IF(#REF!=0,0,#REF!/#REF!)</f>
        <v>#REF!</v>
      </c>
      <c r="S171"/>
      <c r="T171"/>
    </row>
    <row r="172" spans="1:28" ht="18" x14ac:dyDescent="0.25">
      <c r="A172" s="99" t="s">
        <v>23</v>
      </c>
      <c r="B172" s="119">
        <f t="shared" ref="B172:N172" si="64">IF(B87&lt;&gt;0,((B262/B87)/B$1),0)</f>
        <v>0</v>
      </c>
      <c r="C172" s="119">
        <f t="shared" si="64"/>
        <v>0</v>
      </c>
      <c r="D172" s="119">
        <f t="shared" si="64"/>
        <v>0</v>
      </c>
      <c r="E172" s="119">
        <f t="shared" si="64"/>
        <v>0</v>
      </c>
      <c r="F172" s="119">
        <f t="shared" si="64"/>
        <v>0</v>
      </c>
      <c r="G172" s="119">
        <f t="shared" si="64"/>
        <v>0</v>
      </c>
      <c r="H172" s="119">
        <f t="shared" si="64"/>
        <v>0</v>
      </c>
      <c r="I172" s="119">
        <f t="shared" si="64"/>
        <v>0</v>
      </c>
      <c r="J172" s="119">
        <f t="shared" si="64"/>
        <v>0</v>
      </c>
      <c r="K172" s="119">
        <f t="shared" si="64"/>
        <v>0</v>
      </c>
      <c r="L172" s="119">
        <f t="shared" si="64"/>
        <v>-6.3057186344857574E-3</v>
      </c>
      <c r="M172" s="119">
        <f t="shared" si="64"/>
        <v>0</v>
      </c>
      <c r="N172" s="22">
        <f t="shared" si="64"/>
        <v>-6.2023461978548437E-3</v>
      </c>
      <c r="O172" s="44"/>
      <c r="P172" s="44"/>
      <c r="Q172" s="44"/>
      <c r="R172" s="44"/>
      <c r="S172"/>
      <c r="T172"/>
      <c r="V172" s="57"/>
      <c r="W172" s="57"/>
      <c r="X172" s="57"/>
      <c r="Y172" s="57"/>
      <c r="Z172" s="57"/>
      <c r="AA172" s="57"/>
      <c r="AB172" s="57"/>
    </row>
    <row r="173" spans="1:28" x14ac:dyDescent="0.25">
      <c r="A173" s="99" t="s">
        <v>27</v>
      </c>
      <c r="B173" s="119">
        <f t="shared" ref="B173:N173" si="65">IF(B88&lt;&gt;0,((B263/B88)/B$1),0)</f>
        <v>1.7747864863836827E-2</v>
      </c>
      <c r="C173" s="119">
        <f t="shared" si="65"/>
        <v>1.5392050024649075E-2</v>
      </c>
      <c r="D173" s="119">
        <f t="shared" si="65"/>
        <v>2.4790629684200014E-2</v>
      </c>
      <c r="E173" s="119">
        <f t="shared" si="65"/>
        <v>1.983697357685307E-2</v>
      </c>
      <c r="F173" s="119">
        <f t="shared" si="65"/>
        <v>1.5140313297549541E-2</v>
      </c>
      <c r="G173" s="119">
        <f t="shared" si="65"/>
        <v>1.9050256936844426E-2</v>
      </c>
      <c r="H173" s="119">
        <f t="shared" si="65"/>
        <v>2.2925707308403428E-2</v>
      </c>
      <c r="I173" s="119">
        <f t="shared" si="65"/>
        <v>2.3785516933817911E-2</v>
      </c>
      <c r="J173" s="119">
        <f t="shared" si="65"/>
        <v>3.841986325182524E-2</v>
      </c>
      <c r="K173" s="119">
        <f t="shared" si="65"/>
        <v>3.4759391352047038E-2</v>
      </c>
      <c r="L173" s="119">
        <f t="shared" si="65"/>
        <v>0.1038095238095238</v>
      </c>
      <c r="M173" s="119">
        <f t="shared" si="65"/>
        <v>3.6205233181682395E-2</v>
      </c>
      <c r="N173" s="22">
        <f t="shared" si="65"/>
        <v>2.7489625759495335E-2</v>
      </c>
      <c r="O173" s="44" t="e">
        <f>IF(#REF!=0,0,#REF!/#REF!)</f>
        <v>#REF!</v>
      </c>
      <c r="P173" s="44" t="e">
        <f>IF(#REF!=0,0,#REF!/#REF!)</f>
        <v>#REF!</v>
      </c>
      <c r="Q173" s="44" t="e">
        <f>IF(#REF!=0,0,#REF!/#REF!)</f>
        <v>#REF!</v>
      </c>
      <c r="R173" s="44" t="e">
        <f>IF(#REF!=0,0,#REF!/#REF!)</f>
        <v>#REF!</v>
      </c>
      <c r="S173"/>
      <c r="T173"/>
    </row>
    <row r="174" spans="1:28" ht="18" x14ac:dyDescent="0.25">
      <c r="A174" s="9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35"/>
      <c r="P174" s="35"/>
      <c r="Q174" s="35"/>
      <c r="R174" s="35"/>
      <c r="S174"/>
      <c r="T174"/>
      <c r="V174" s="57"/>
      <c r="W174" s="57"/>
      <c r="X174" s="57"/>
      <c r="Y174" s="57"/>
      <c r="Z174" s="57"/>
      <c r="AA174" s="57"/>
      <c r="AB174" s="57"/>
    </row>
    <row r="175" spans="1:28" x14ac:dyDescent="0.25">
      <c r="A175" s="98" t="s">
        <v>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34"/>
      <c r="P175" s="34"/>
      <c r="Q175" s="34"/>
      <c r="R175" s="34"/>
      <c r="S175"/>
      <c r="T175"/>
    </row>
    <row r="176" spans="1:28" ht="18" x14ac:dyDescent="0.25">
      <c r="A176" s="99" t="s">
        <v>21</v>
      </c>
      <c r="B176" s="119">
        <f t="shared" ref="B176:N176" si="66">IF(B95&lt;&gt;0,((B242/B95)/B$1),0)</f>
        <v>4.6760249739854313E-2</v>
      </c>
      <c r="C176" s="119">
        <f t="shared" si="66"/>
        <v>5.9092992213570637E-2</v>
      </c>
      <c r="D176" s="119">
        <f t="shared" si="66"/>
        <v>3.1784635849684072E-2</v>
      </c>
      <c r="E176" s="119">
        <f t="shared" si="66"/>
        <v>3.1574767025089608E-2</v>
      </c>
      <c r="F176" s="119">
        <f t="shared" si="66"/>
        <v>3.5560319112036075E-2</v>
      </c>
      <c r="G176" s="119">
        <f t="shared" si="66"/>
        <v>3.1362078853046593E-2</v>
      </c>
      <c r="H176" s="119">
        <f t="shared" si="66"/>
        <v>3.1341588622962192E-2</v>
      </c>
      <c r="I176" s="119">
        <f t="shared" si="66"/>
        <v>3.1354422476586888E-2</v>
      </c>
      <c r="J176" s="119">
        <f t="shared" si="66"/>
        <v>3.1440143369175624E-2</v>
      </c>
      <c r="K176" s="119">
        <f t="shared" si="66"/>
        <v>3.1492473118279567E-2</v>
      </c>
      <c r="L176" s="119">
        <f t="shared" si="66"/>
        <v>3.6102345415778253E-2</v>
      </c>
      <c r="M176" s="119">
        <f t="shared" si="66"/>
        <v>3.242330905306972E-2</v>
      </c>
      <c r="N176" s="22">
        <f t="shared" si="66"/>
        <v>3.5753326078562145E-2</v>
      </c>
      <c r="O176" s="44" t="e">
        <f>IF(#REF!=0,0,#REF!/#REF!)</f>
        <v>#REF!</v>
      </c>
      <c r="P176" s="44" t="e">
        <f>IF(#REF!=0,0,#REF!/#REF!)</f>
        <v>#REF!</v>
      </c>
      <c r="Q176" s="44" t="e">
        <f>IF(#REF!=0,0,#REF!/#REF!)</f>
        <v>#REF!</v>
      </c>
      <c r="R176" s="44" t="e">
        <f>IF(#REF!=0,0,#REF!/#REF!)</f>
        <v>#REF!</v>
      </c>
      <c r="S176"/>
      <c r="T176"/>
      <c r="V176" s="57"/>
      <c r="W176" s="57"/>
      <c r="X176" s="57"/>
      <c r="Y176" s="57"/>
      <c r="Z176" s="57"/>
      <c r="AA176" s="57"/>
      <c r="AB176" s="57"/>
    </row>
    <row r="177" spans="1:28" x14ac:dyDescent="0.25">
      <c r="A177" s="99" t="s">
        <v>48</v>
      </c>
      <c r="B177" s="119">
        <f t="shared" ref="B177:N177" si="67">IF(B96&lt;&gt;0,((B243/B96)/B$1),0)</f>
        <v>2.9129091543868202E-3</v>
      </c>
      <c r="C177" s="119">
        <f t="shared" si="67"/>
        <v>3.8943661198384775E-3</v>
      </c>
      <c r="D177" s="119">
        <f t="shared" si="67"/>
        <v>2.4163441866624853E-3</v>
      </c>
      <c r="E177" s="119">
        <f t="shared" si="67"/>
        <v>2.8750051800198162E-3</v>
      </c>
      <c r="F177" s="119">
        <f t="shared" si="67"/>
        <v>3.3085587513644759E-3</v>
      </c>
      <c r="G177" s="119">
        <f t="shared" si="67"/>
        <v>4.077921768828912E-3</v>
      </c>
      <c r="H177" s="119">
        <f t="shared" si="67"/>
        <v>4.1891214030466903E-3</v>
      </c>
      <c r="I177" s="119">
        <f t="shared" si="67"/>
        <v>4.0789072742536091E-3</v>
      </c>
      <c r="J177" s="119">
        <f t="shared" si="67"/>
        <v>3.8475074896101966E-3</v>
      </c>
      <c r="K177" s="119">
        <f t="shared" si="67"/>
        <v>4.4196192684614784E-3</v>
      </c>
      <c r="L177" s="119">
        <f t="shared" si="67"/>
        <v>3.9544894110821001E-3</v>
      </c>
      <c r="M177" s="119">
        <f t="shared" si="67"/>
        <v>2.0332436964046463E-3</v>
      </c>
      <c r="N177" s="22">
        <f t="shared" si="67"/>
        <v>3.3874654319665919E-3</v>
      </c>
      <c r="O177" s="44" t="e">
        <f>IF(#REF!=0,0,#REF!/#REF!)</f>
        <v>#REF!</v>
      </c>
      <c r="P177" s="44" t="e">
        <f>IF(#REF!=0,0,#REF!/#REF!)</f>
        <v>#REF!</v>
      </c>
      <c r="Q177" s="44" t="e">
        <f>IF(#REF!=0,0,#REF!/#REF!)</f>
        <v>#REF!</v>
      </c>
      <c r="R177" s="44" t="e">
        <f>IF(#REF!=0,0,#REF!/#REF!)</f>
        <v>#REF!</v>
      </c>
      <c r="S177"/>
      <c r="T177"/>
    </row>
    <row r="178" spans="1:28" ht="18" x14ac:dyDescent="0.25">
      <c r="A178" s="99" t="s">
        <v>57</v>
      </c>
      <c r="B178" s="119">
        <f t="shared" ref="B178:N178" si="68">IF(B97&lt;&gt;0,((B244/B97)/B$1),0)</f>
        <v>2.6381154926376281E-4</v>
      </c>
      <c r="C178" s="119">
        <f t="shared" si="68"/>
        <v>0</v>
      </c>
      <c r="D178" s="119">
        <f t="shared" si="68"/>
        <v>0</v>
      </c>
      <c r="E178" s="119">
        <f t="shared" si="68"/>
        <v>0</v>
      </c>
      <c r="F178" s="119">
        <f t="shared" si="68"/>
        <v>0</v>
      </c>
      <c r="G178" s="119">
        <f t="shared" si="68"/>
        <v>0</v>
      </c>
      <c r="H178" s="119">
        <f t="shared" si="68"/>
        <v>0</v>
      </c>
      <c r="I178" s="119">
        <f t="shared" si="68"/>
        <v>0</v>
      </c>
      <c r="J178" s="119">
        <f t="shared" si="68"/>
        <v>0</v>
      </c>
      <c r="K178" s="119">
        <f t="shared" si="68"/>
        <v>0</v>
      </c>
      <c r="L178" s="119">
        <f t="shared" si="68"/>
        <v>0</v>
      </c>
      <c r="M178" s="119">
        <f t="shared" si="68"/>
        <v>0</v>
      </c>
      <c r="N178" s="22">
        <f t="shared" si="68"/>
        <v>1.2411499445182108E-5</v>
      </c>
      <c r="O178" s="44" t="e">
        <f>IF(#REF!=0,0,#REF!/#REF!)</f>
        <v>#REF!</v>
      </c>
      <c r="P178" s="44" t="e">
        <f>IF(#REF!=0,0,#REF!/#REF!)</f>
        <v>#REF!</v>
      </c>
      <c r="Q178" s="44" t="e">
        <f>IF(#REF!=0,0,#REF!/#REF!)</f>
        <v>#REF!</v>
      </c>
      <c r="R178" s="44" t="e">
        <f>IF(#REF!=0,0,#REF!/#REF!)</f>
        <v>#REF!</v>
      </c>
      <c r="S178"/>
      <c r="T178"/>
      <c r="V178" s="57"/>
      <c r="W178" s="57"/>
      <c r="X178" s="57"/>
      <c r="Y178" s="57"/>
      <c r="Z178" s="57"/>
      <c r="AA178" s="57"/>
      <c r="AB178" s="57"/>
    </row>
    <row r="179" spans="1:28" x14ac:dyDescent="0.25">
      <c r="A179" s="99" t="s">
        <v>49</v>
      </c>
      <c r="B179" s="119">
        <f t="shared" ref="B179:N179" si="69">IF(B98&lt;&gt;0,((B245/B98)/B$1),0)</f>
        <v>0</v>
      </c>
      <c r="C179" s="119">
        <f t="shared" si="69"/>
        <v>0</v>
      </c>
      <c r="D179" s="119">
        <f t="shared" si="69"/>
        <v>0</v>
      </c>
      <c r="E179" s="119">
        <f t="shared" si="69"/>
        <v>0</v>
      </c>
      <c r="F179" s="119">
        <f t="shared" si="69"/>
        <v>0</v>
      </c>
      <c r="G179" s="119">
        <f t="shared" si="69"/>
        <v>0.34751030764351415</v>
      </c>
      <c r="H179" s="119">
        <f t="shared" si="69"/>
        <v>2.0418526672995738</v>
      </c>
      <c r="I179" s="119">
        <f t="shared" si="69"/>
        <v>0</v>
      </c>
      <c r="J179" s="119">
        <f t="shared" si="69"/>
        <v>-0.32108896200245146</v>
      </c>
      <c r="K179" s="119">
        <f t="shared" si="69"/>
        <v>0</v>
      </c>
      <c r="L179" s="119">
        <f t="shared" si="69"/>
        <v>0</v>
      </c>
      <c r="M179" s="119">
        <f t="shared" si="69"/>
        <v>0</v>
      </c>
      <c r="N179" s="22">
        <f t="shared" si="69"/>
        <v>-28.020206785391377</v>
      </c>
      <c r="O179" s="44" t="e">
        <f>IF(#REF!=0,0,#REF!/#REF!)</f>
        <v>#REF!</v>
      </c>
      <c r="P179" s="44" t="e">
        <f>IF(#REF!=0,0,#REF!/#REF!)</f>
        <v>#REF!</v>
      </c>
      <c r="Q179" s="44" t="e">
        <f>IF(#REF!=0,0,#REF!/#REF!)</f>
        <v>#REF!</v>
      </c>
      <c r="R179" s="44" t="e">
        <f>IF(#REF!=0,0,#REF!/#REF!)</f>
        <v>#REF!</v>
      </c>
      <c r="S179"/>
      <c r="T179"/>
    </row>
    <row r="180" spans="1:28" ht="18" x14ac:dyDescent="0.25">
      <c r="A180" s="1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75"/>
      <c r="O180" s="44"/>
      <c r="P180" s="44"/>
      <c r="Q180" s="44"/>
      <c r="R180" s="44"/>
      <c r="S180"/>
      <c r="T180"/>
      <c r="V180" s="57"/>
      <c r="W180" s="57"/>
      <c r="X180" s="57"/>
      <c r="Y180" s="57"/>
      <c r="Z180" s="57"/>
      <c r="AA180" s="57"/>
      <c r="AB180" s="57"/>
    </row>
    <row r="181" spans="1:28" ht="15.6" x14ac:dyDescent="0.25">
      <c r="A181" s="96" t="s">
        <v>73</v>
      </c>
      <c r="B181" s="13"/>
      <c r="C181" s="13"/>
      <c r="D181" s="13"/>
      <c r="E181" s="13"/>
      <c r="F181" s="9"/>
      <c r="G181" s="9"/>
      <c r="H181" s="13"/>
      <c r="I181" s="13"/>
      <c r="J181" s="13"/>
      <c r="K181" s="13"/>
      <c r="L181" s="13"/>
      <c r="M181" s="13"/>
      <c r="N181" s="20"/>
      <c r="O181" s="46"/>
      <c r="P181" s="47"/>
      <c r="Q181" s="47"/>
      <c r="R181" s="46"/>
      <c r="S181"/>
      <c r="T181"/>
    </row>
    <row r="182" spans="1:28" ht="18" x14ac:dyDescent="0.25">
      <c r="A182" s="97" t="s">
        <v>19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70"/>
      <c r="O182" s="32"/>
      <c r="P182" s="32"/>
      <c r="Q182" s="32"/>
      <c r="R182" s="32"/>
      <c r="S182"/>
      <c r="T182"/>
      <c r="V182" s="57"/>
      <c r="W182" s="57"/>
      <c r="X182" s="57"/>
      <c r="Y182" s="57"/>
      <c r="Z182" s="57"/>
      <c r="AA182" s="57"/>
      <c r="AB182" s="57"/>
    </row>
    <row r="183" spans="1:28" x14ac:dyDescent="0.25">
      <c r="A183" s="98" t="s">
        <v>74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0"/>
      <c r="O183" s="34"/>
      <c r="P183" s="34"/>
      <c r="Q183" s="34"/>
      <c r="R183" s="34"/>
      <c r="S183"/>
      <c r="T183"/>
    </row>
    <row r="184" spans="1:28" ht="18" x14ac:dyDescent="0.25">
      <c r="A184" s="99" t="s">
        <v>21</v>
      </c>
      <c r="B184" s="116">
        <v>2121.4</v>
      </c>
      <c r="C184" s="116">
        <v>2002.6</v>
      </c>
      <c r="D184" s="116">
        <f>2480.206-D185</f>
        <v>2126.6060000000002</v>
      </c>
      <c r="E184" s="120">
        <f>2393.804-E185</f>
        <v>2051.8040000000001</v>
      </c>
      <c r="F184" s="116">
        <f>2461.338-F185</f>
        <v>2107.7380000000003</v>
      </c>
      <c r="G184" s="116">
        <f>2365.42-G185</f>
        <v>2023.42</v>
      </c>
      <c r="H184" s="116">
        <f>2452.348-H185+26.766</f>
        <v>2125.5120000000002</v>
      </c>
      <c r="I184" s="116">
        <f>2451.914-I185</f>
        <v>2098.3120000000004</v>
      </c>
      <c r="J184" s="116">
        <f>2373.03-J185</f>
        <v>2030.8350000000003</v>
      </c>
      <c r="K184" s="116">
        <f>2459.292-K185</f>
        <v>2105.69</v>
      </c>
      <c r="L184" s="116">
        <f>2067.99-1.2+100</f>
        <v>2166.79</v>
      </c>
      <c r="M184" s="116">
        <f>2514.89-M185</f>
        <v>2161.288</v>
      </c>
      <c r="N184" s="20">
        <f>SUM(B184:M184)</f>
        <v>25121.995000000003</v>
      </c>
      <c r="O184" s="45" t="e">
        <v>#REF!</v>
      </c>
      <c r="P184" s="47" t="e">
        <v>#REF!</v>
      </c>
      <c r="Q184" s="47">
        <v>25203.918000000001</v>
      </c>
      <c r="R184" s="45" t="e">
        <v>#REF!</v>
      </c>
      <c r="S184"/>
      <c r="T184"/>
      <c r="V184" s="57"/>
      <c r="W184" s="57"/>
      <c r="X184" s="57"/>
      <c r="Y184" s="57"/>
      <c r="Z184" s="57"/>
      <c r="AA184" s="57"/>
      <c r="AB184" s="57"/>
    </row>
    <row r="185" spans="1:28" x14ac:dyDescent="0.25">
      <c r="A185" s="99" t="s">
        <v>75</v>
      </c>
      <c r="B185" s="116">
        <v>353.6</v>
      </c>
      <c r="C185" s="116">
        <v>318</v>
      </c>
      <c r="D185" s="116">
        <v>353.6</v>
      </c>
      <c r="E185" s="120">
        <v>342</v>
      </c>
      <c r="F185" s="116">
        <v>353.6</v>
      </c>
      <c r="G185" s="116">
        <v>342</v>
      </c>
      <c r="H185" s="116">
        <v>353.60199999999998</v>
      </c>
      <c r="I185" s="116">
        <v>353.60199999999998</v>
      </c>
      <c r="J185" s="116">
        <v>342.19499999999999</v>
      </c>
      <c r="K185" s="116">
        <v>353.60199999999998</v>
      </c>
      <c r="L185" s="116">
        <v>342.19499999999999</v>
      </c>
      <c r="M185" s="116">
        <v>353.60199999999998</v>
      </c>
      <c r="N185" s="20">
        <f>SUM(B185:M185)</f>
        <v>4161.598</v>
      </c>
      <c r="O185" s="45" t="e">
        <v>#REF!</v>
      </c>
      <c r="P185" s="47" t="e">
        <v>#REF!</v>
      </c>
      <c r="Q185" s="47">
        <v>4161.598</v>
      </c>
      <c r="R185" s="45" t="e">
        <v>#REF!</v>
      </c>
      <c r="S185"/>
      <c r="T185"/>
    </row>
    <row r="186" spans="1:28" ht="18" x14ac:dyDescent="0.25">
      <c r="A186" s="99" t="s">
        <v>48</v>
      </c>
      <c r="B186" s="116">
        <f>302.8+33.9</f>
        <v>336.7</v>
      </c>
      <c r="C186" s="116">
        <v>304.2</v>
      </c>
      <c r="D186" s="116">
        <v>342.779</v>
      </c>
      <c r="E186" s="120">
        <f>240.351+0.137</f>
        <v>240.488</v>
      </c>
      <c r="F186" s="116">
        <v>260.40800000000002</v>
      </c>
      <c r="G186" s="116">
        <v>178.45500000000001</v>
      </c>
      <c r="H186" s="116">
        <f>194.871+1.061</f>
        <v>195.93200000000002</v>
      </c>
      <c r="I186" s="116">
        <v>195.49299999999999</v>
      </c>
      <c r="J186" s="116">
        <v>189.76300000000001</v>
      </c>
      <c r="K186" s="116">
        <v>196.87100000000001</v>
      </c>
      <c r="L186" s="116">
        <v>197.55359999999999</v>
      </c>
      <c r="M186" s="116">
        <v>328.608</v>
      </c>
      <c r="N186" s="20">
        <f>SUM(B186:M186)</f>
        <v>2967.2506000000003</v>
      </c>
      <c r="O186" s="45" t="e">
        <v>#REF!</v>
      </c>
      <c r="P186" s="47" t="e">
        <v>#REF!</v>
      </c>
      <c r="Q186" s="47">
        <v>2410.1539199999997</v>
      </c>
      <c r="R186" s="45" t="e">
        <v>#REF!</v>
      </c>
      <c r="S186"/>
      <c r="T186"/>
      <c r="V186" s="57"/>
      <c r="W186" s="57"/>
      <c r="X186" s="57"/>
      <c r="Y186" s="57"/>
      <c r="Z186" s="57"/>
      <c r="AA186" s="57"/>
      <c r="AB186" s="57"/>
    </row>
    <row r="187" spans="1:28" x14ac:dyDescent="0.25">
      <c r="A187" s="122" t="s">
        <v>57</v>
      </c>
      <c r="B187" s="116">
        <v>0</v>
      </c>
      <c r="C187" s="116">
        <v>8.9139999999999997</v>
      </c>
      <c r="D187" s="116">
        <v>9.3829999999999991</v>
      </c>
      <c r="E187" s="120">
        <v>6.1159999999999997</v>
      </c>
      <c r="F187" s="120">
        <v>49.997</v>
      </c>
      <c r="G187" s="120">
        <v>107.751</v>
      </c>
      <c r="H187" s="120">
        <f>115.026</f>
        <v>115.026</v>
      </c>
      <c r="I187" s="120">
        <v>116.08199999999999</v>
      </c>
      <c r="J187" s="120">
        <v>106.76900000000001</v>
      </c>
      <c r="K187" s="120">
        <v>117.52500000000001</v>
      </c>
      <c r="L187" s="120">
        <f>109/8</f>
        <v>13.625</v>
      </c>
      <c r="M187" s="120">
        <v>11.997</v>
      </c>
      <c r="N187" s="20">
        <f>SUM(B187:M187)</f>
        <v>663.18499999999995</v>
      </c>
      <c r="O187" s="45" t="e">
        <v>#REF!</v>
      </c>
      <c r="P187" s="47" t="e">
        <v>#REF!</v>
      </c>
      <c r="Q187" s="47">
        <v>0</v>
      </c>
      <c r="R187" s="45" t="e">
        <v>#REF!</v>
      </c>
      <c r="S187"/>
      <c r="T187"/>
    </row>
    <row r="188" spans="1:28" ht="18" x14ac:dyDescent="0.25">
      <c r="A188" s="100" t="s">
        <v>49</v>
      </c>
      <c r="B188" s="117">
        <v>0</v>
      </c>
      <c r="C188" s="117">
        <v>0</v>
      </c>
      <c r="D188" s="117">
        <f>0.28+0.265</f>
        <v>0.54500000000000004</v>
      </c>
      <c r="E188" s="121">
        <v>0</v>
      </c>
      <c r="F188" s="117">
        <v>0</v>
      </c>
      <c r="G188" s="117">
        <f>0.417+10.937</f>
        <v>11.353999999999999</v>
      </c>
      <c r="H188" s="117">
        <v>6.2880000000000003</v>
      </c>
      <c r="I188" s="117">
        <v>8.8659999999999997</v>
      </c>
      <c r="J188" s="117">
        <f>0.781+75.239</f>
        <v>76.02000000000001</v>
      </c>
      <c r="K188" s="117">
        <v>11.888999999999999</v>
      </c>
      <c r="L188" s="117">
        <v>0</v>
      </c>
      <c r="M188" s="117">
        <f>2.056+59.466</f>
        <v>61.521999999999998</v>
      </c>
      <c r="N188" s="71">
        <f>SUM(B188:M188)</f>
        <v>176.48400000000001</v>
      </c>
      <c r="O188" s="38" t="e">
        <v>#REF!</v>
      </c>
      <c r="P188" s="38" t="e">
        <v>#REF!</v>
      </c>
      <c r="Q188" s="38">
        <v>0</v>
      </c>
      <c r="R188" s="38" t="e">
        <v>#REF!</v>
      </c>
      <c r="S188"/>
      <c r="T188"/>
      <c r="V188" s="57"/>
      <c r="W188" s="57"/>
      <c r="X188" s="57"/>
      <c r="Y188" s="57"/>
      <c r="Z188" s="57"/>
      <c r="AA188" s="57"/>
      <c r="AB188" s="57"/>
    </row>
    <row r="189" spans="1:28" s="29" customFormat="1" x14ac:dyDescent="0.25">
      <c r="A189" s="98" t="s">
        <v>25</v>
      </c>
      <c r="B189" s="76">
        <f>SUM(B184:B188)</f>
        <v>2811.7</v>
      </c>
      <c r="C189" s="76">
        <f>SUM(C184:C188)</f>
        <v>2633.7139999999999</v>
      </c>
      <c r="D189" s="76">
        <f t="shared" ref="D189:N189" si="70">SUM(D184:D188)</f>
        <v>2832.913</v>
      </c>
      <c r="E189" s="114">
        <f t="shared" si="70"/>
        <v>2640.4079999999999</v>
      </c>
      <c r="F189" s="76">
        <f t="shared" si="70"/>
        <v>2771.7429999999999</v>
      </c>
      <c r="G189" s="76">
        <f t="shared" si="70"/>
        <v>2662.98</v>
      </c>
      <c r="H189" s="76">
        <f t="shared" si="70"/>
        <v>2796.36</v>
      </c>
      <c r="I189" s="76">
        <f t="shared" si="70"/>
        <v>2772.355</v>
      </c>
      <c r="J189" s="76">
        <f t="shared" si="70"/>
        <v>2745.5819999999999</v>
      </c>
      <c r="K189" s="76">
        <f t="shared" si="70"/>
        <v>2785.5770000000002</v>
      </c>
      <c r="L189" s="76">
        <f t="shared" si="70"/>
        <v>2720.1636000000003</v>
      </c>
      <c r="M189" s="76">
        <f t="shared" si="70"/>
        <v>2917.0169999999998</v>
      </c>
      <c r="N189" s="76">
        <f t="shared" si="70"/>
        <v>33090.512599999995</v>
      </c>
      <c r="O189" s="63"/>
      <c r="P189" s="64"/>
      <c r="Q189" s="64"/>
      <c r="R189" s="50"/>
      <c r="S189"/>
      <c r="T189"/>
      <c r="U189" s="20"/>
      <c r="V189" s="8"/>
      <c r="W189" s="8"/>
      <c r="X189" s="8"/>
      <c r="Y189" s="8"/>
      <c r="Z189" s="8"/>
      <c r="AA189" s="8"/>
      <c r="AB189" s="8"/>
    </row>
    <row r="190" spans="1:28" ht="18" x14ac:dyDescent="0.25">
      <c r="A190" s="99"/>
      <c r="B190" s="17"/>
      <c r="C190" s="17"/>
      <c r="D190" s="17"/>
      <c r="E190" s="115"/>
      <c r="F190" s="17"/>
      <c r="G190" s="17"/>
      <c r="H190" s="17"/>
      <c r="I190" s="17"/>
      <c r="J190" s="17"/>
      <c r="K190" s="17"/>
      <c r="L190" s="17"/>
      <c r="M190" s="17"/>
      <c r="N190" s="17"/>
      <c r="O190" s="32"/>
      <c r="P190" s="47"/>
      <c r="Q190" s="47"/>
      <c r="R190" s="45"/>
      <c r="S190"/>
      <c r="T190"/>
      <c r="V190" s="57"/>
      <c r="W190" s="57"/>
      <c r="X190" s="57"/>
      <c r="Y190" s="57"/>
      <c r="Z190" s="57"/>
      <c r="AA190" s="57"/>
      <c r="AB190" s="57"/>
    </row>
    <row r="191" spans="1:28" x14ac:dyDescent="0.25">
      <c r="A191" s="98" t="s">
        <v>67</v>
      </c>
      <c r="B191" s="17"/>
      <c r="C191" s="17"/>
      <c r="D191" s="17"/>
      <c r="E191" s="115"/>
      <c r="F191" s="17"/>
      <c r="G191" s="17"/>
      <c r="H191" s="17"/>
      <c r="I191" s="17"/>
      <c r="J191" s="17"/>
      <c r="K191" s="17"/>
      <c r="L191" s="17"/>
      <c r="M191" s="17"/>
      <c r="N191" s="17"/>
      <c r="O191" s="32"/>
      <c r="P191" s="32"/>
      <c r="Q191" s="32"/>
      <c r="R191" s="45"/>
      <c r="S191"/>
      <c r="T191"/>
    </row>
    <row r="192" spans="1:28" ht="18" x14ac:dyDescent="0.25">
      <c r="A192" s="99" t="s">
        <v>21</v>
      </c>
      <c r="B192" s="116">
        <v>3916</v>
      </c>
      <c r="C192" s="116">
        <v>3566.2</v>
      </c>
      <c r="D192" s="116">
        <f>4498.541-D193</f>
        <v>3847.8410000000003</v>
      </c>
      <c r="E192" s="120">
        <f>4263.99-E193</f>
        <v>3633.99</v>
      </c>
      <c r="F192" s="116">
        <f>4524.432-F193</f>
        <v>3873.732</v>
      </c>
      <c r="G192" s="116">
        <f>4377.018-G193</f>
        <v>3747.018</v>
      </c>
      <c r="H192" s="116">
        <f>4785.131-H193</f>
        <v>4134.3910000000005</v>
      </c>
      <c r="I192" s="116">
        <f>4934.368-I193</f>
        <v>4283.6280000000006</v>
      </c>
      <c r="J192" s="116">
        <f>4770.863-J193</f>
        <v>4141.1149999999998</v>
      </c>
      <c r="K192" s="116">
        <f>4912.764-K193</f>
        <v>4262.0240000000003</v>
      </c>
      <c r="L192" s="116">
        <f>4213.8825-37.8+52.67</f>
        <v>4228.7524999999996</v>
      </c>
      <c r="M192" s="116">
        <f>4932.057-M193</f>
        <v>4281.317</v>
      </c>
      <c r="N192" s="20">
        <f>SUM(B192:M192)</f>
        <v>47916.008500000004</v>
      </c>
      <c r="O192" s="45" t="e">
        <v>#REF!</v>
      </c>
      <c r="P192" s="47" t="e">
        <v>#REF!</v>
      </c>
      <c r="Q192" s="47">
        <v>50683.795664999998</v>
      </c>
      <c r="R192" s="45" t="e">
        <v>#REF!</v>
      </c>
      <c r="S192"/>
      <c r="T192"/>
      <c r="V192" s="57"/>
      <c r="W192" s="57"/>
      <c r="X192" s="57"/>
      <c r="Y192" s="57"/>
      <c r="Z192" s="57"/>
      <c r="AA192" s="57"/>
      <c r="AB192" s="57"/>
    </row>
    <row r="193" spans="1:28" x14ac:dyDescent="0.25">
      <c r="A193" s="99" t="s">
        <v>75</v>
      </c>
      <c r="B193" s="116">
        <v>650.69000000000005</v>
      </c>
      <c r="C193" s="116">
        <v>589</v>
      </c>
      <c r="D193" s="116">
        <v>650.70000000000005</v>
      </c>
      <c r="E193" s="116">
        <v>630</v>
      </c>
      <c r="F193" s="116">
        <v>650.70000000000005</v>
      </c>
      <c r="G193" s="116">
        <v>630</v>
      </c>
      <c r="H193" s="116">
        <v>650.74</v>
      </c>
      <c r="I193" s="116">
        <v>650.74</v>
      </c>
      <c r="J193" s="116">
        <v>629.74800000000005</v>
      </c>
      <c r="K193" s="116">
        <v>650.74</v>
      </c>
      <c r="L193" s="116">
        <f>629.748+8.78</f>
        <v>638.52800000000002</v>
      </c>
      <c r="M193" s="116">
        <f>650.74</f>
        <v>650.74</v>
      </c>
      <c r="N193" s="20">
        <f>SUM(B193:M193)</f>
        <v>7672.3259999999991</v>
      </c>
      <c r="O193" s="45" t="e">
        <v>#REF!</v>
      </c>
      <c r="P193" s="47" t="e">
        <v>#REF!</v>
      </c>
      <c r="Q193" s="47">
        <v>7663.5459999999985</v>
      </c>
      <c r="R193" s="45" t="e">
        <v>#REF!</v>
      </c>
      <c r="S193"/>
      <c r="T193"/>
    </row>
    <row r="194" spans="1:28" ht="18" x14ac:dyDescent="0.25">
      <c r="A194" s="99" t="s">
        <v>48</v>
      </c>
      <c r="B194" s="116">
        <v>237.8</v>
      </c>
      <c r="C194" s="116">
        <v>217.36199999999999</v>
      </c>
      <c r="D194" s="116">
        <v>213.952</v>
      </c>
      <c r="E194" s="116">
        <v>180.631</v>
      </c>
      <c r="F194" s="116">
        <v>153.58600000000001</v>
      </c>
      <c r="G194" s="116">
        <v>284.30200000000002</v>
      </c>
      <c r="H194" s="116">
        <v>289.54399999999998</v>
      </c>
      <c r="I194" s="116">
        <v>320.596</v>
      </c>
      <c r="J194" s="116">
        <v>298.83100000000002</v>
      </c>
      <c r="K194" s="116">
        <v>320.68099999999998</v>
      </c>
      <c r="L194" s="116">
        <f>334.30060125-57.706-50.25</f>
        <v>226.34460124999998</v>
      </c>
      <c r="M194" s="116">
        <v>331.67899999999997</v>
      </c>
      <c r="N194" s="20">
        <f>SUM(B194:M194)</f>
        <v>3075.3086012500003</v>
      </c>
      <c r="O194" s="45" t="e">
        <v>#REF!</v>
      </c>
      <c r="P194" s="47" t="e">
        <v>#REF!</v>
      </c>
      <c r="Q194" s="47">
        <v>3944.7946012500006</v>
      </c>
      <c r="R194" s="45" t="e">
        <v>#REF!</v>
      </c>
      <c r="S194"/>
      <c r="T194"/>
      <c r="V194" s="57"/>
      <c r="W194" s="57"/>
      <c r="X194" s="57"/>
      <c r="Y194" s="57"/>
      <c r="Z194" s="57"/>
      <c r="AA194" s="57"/>
      <c r="AB194" s="57"/>
    </row>
    <row r="195" spans="1:28" x14ac:dyDescent="0.25">
      <c r="A195" s="99" t="s">
        <v>57</v>
      </c>
      <c r="B195" s="116">
        <v>7.2</v>
      </c>
      <c r="C195" s="116">
        <v>3.9820000000000002</v>
      </c>
      <c r="D195" s="116">
        <v>3.3220000000000001</v>
      </c>
      <c r="E195" s="116">
        <v>4.9210000000000003</v>
      </c>
      <c r="F195" s="116">
        <v>5.1310000000000002</v>
      </c>
      <c r="G195" s="116">
        <v>5.2510000000000003</v>
      </c>
      <c r="H195" s="116">
        <v>5.0789999999999997</v>
      </c>
      <c r="I195" s="116">
        <v>9.4220000000000006</v>
      </c>
      <c r="J195" s="116">
        <v>16.434000000000001</v>
      </c>
      <c r="K195" s="116">
        <v>13.821</v>
      </c>
      <c r="L195" s="116">
        <v>115</v>
      </c>
      <c r="M195" s="116">
        <v>9.7490000000000006</v>
      </c>
      <c r="N195" s="20">
        <f>SUM(B195:M195)</f>
        <v>199.31199999999998</v>
      </c>
      <c r="O195" s="45" t="e">
        <v>#REF!</v>
      </c>
      <c r="P195" s="47" t="e">
        <v>#REF!</v>
      </c>
      <c r="Q195" s="47">
        <v>0</v>
      </c>
      <c r="R195" s="45" t="e">
        <v>#REF!</v>
      </c>
      <c r="S195"/>
      <c r="T195"/>
    </row>
    <row r="196" spans="1:28" ht="18" x14ac:dyDescent="0.25">
      <c r="A196" s="99" t="s">
        <v>100</v>
      </c>
      <c r="B196" s="116"/>
      <c r="C196" s="116">
        <v>0</v>
      </c>
      <c r="D196" s="116">
        <v>13.038</v>
      </c>
      <c r="E196" s="116"/>
      <c r="F196" s="116"/>
      <c r="G196" s="116"/>
      <c r="H196" s="116"/>
      <c r="I196" s="116"/>
      <c r="J196" s="116"/>
      <c r="K196" s="116"/>
      <c r="L196" s="116"/>
      <c r="M196" s="116"/>
      <c r="N196" s="20"/>
      <c r="O196" s="45"/>
      <c r="P196" s="47"/>
      <c r="Q196" s="47"/>
      <c r="R196" s="45"/>
      <c r="S196"/>
      <c r="T196"/>
      <c r="V196" s="57"/>
      <c r="W196" s="57"/>
      <c r="X196" s="57"/>
      <c r="Y196" s="57"/>
      <c r="Z196" s="57"/>
      <c r="AA196" s="57"/>
      <c r="AB196" s="57"/>
    </row>
    <row r="197" spans="1:28" x14ac:dyDescent="0.25">
      <c r="A197" s="99" t="s">
        <v>49</v>
      </c>
      <c r="B197" s="117">
        <v>1</v>
      </c>
      <c r="C197" s="117">
        <v>2.3860000000000001</v>
      </c>
      <c r="D197" s="117">
        <v>1.319</v>
      </c>
      <c r="E197" s="117">
        <v>0.48699999999999999</v>
      </c>
      <c r="F197" s="117">
        <v>0.39400000000000002</v>
      </c>
      <c r="G197" s="117">
        <v>1.087</v>
      </c>
      <c r="H197" s="117">
        <v>1.0129999999999999</v>
      </c>
      <c r="I197" s="117">
        <v>16.149000000000001</v>
      </c>
      <c r="J197" s="117">
        <v>2.2669999999999999</v>
      </c>
      <c r="K197" s="117">
        <f>72.85-9.3-63.5</f>
        <v>4.9999999999997158E-2</v>
      </c>
      <c r="L197" s="117">
        <f>70.5-70.5</f>
        <v>0</v>
      </c>
      <c r="M197" s="117">
        <f>72.85-72.85</f>
        <v>0</v>
      </c>
      <c r="N197" s="71">
        <f>SUM(B197:M197)</f>
        <v>26.151999999999997</v>
      </c>
      <c r="O197" s="38" t="e">
        <v>#REF!</v>
      </c>
      <c r="P197" s="38" t="e">
        <v>#REF!</v>
      </c>
      <c r="Q197" s="38">
        <v>988.2</v>
      </c>
      <c r="R197" s="38" t="e">
        <v>#REF!</v>
      </c>
      <c r="S197"/>
      <c r="T197"/>
    </row>
    <row r="198" spans="1:28" ht="18" x14ac:dyDescent="0.25">
      <c r="A198" s="98" t="s">
        <v>28</v>
      </c>
      <c r="B198" s="76">
        <f>SUM(B192:B197)</f>
        <v>4812.6900000000005</v>
      </c>
      <c r="C198" s="76">
        <f>SUM(C192:C197)</f>
        <v>4378.93</v>
      </c>
      <c r="D198" s="76">
        <f t="shared" ref="D198:N198" si="71">SUM(D192:D197)</f>
        <v>4730.1720000000005</v>
      </c>
      <c r="E198" s="76">
        <f t="shared" si="71"/>
        <v>4450.0290000000005</v>
      </c>
      <c r="F198" s="76">
        <f t="shared" si="71"/>
        <v>4683.5430000000006</v>
      </c>
      <c r="G198" s="76">
        <f t="shared" si="71"/>
        <v>4667.6580000000004</v>
      </c>
      <c r="H198" s="76">
        <f t="shared" si="71"/>
        <v>5080.7669999999998</v>
      </c>
      <c r="I198" s="76">
        <f t="shared" si="71"/>
        <v>5280.5349999999999</v>
      </c>
      <c r="J198" s="76">
        <f t="shared" si="71"/>
        <v>5088.3949999999995</v>
      </c>
      <c r="K198" s="76">
        <f t="shared" si="71"/>
        <v>5247.3159999999998</v>
      </c>
      <c r="L198" s="76">
        <f t="shared" si="71"/>
        <v>5208.6251012499997</v>
      </c>
      <c r="M198" s="76">
        <f t="shared" si="71"/>
        <v>5273.4849999999997</v>
      </c>
      <c r="N198" s="76">
        <f t="shared" si="71"/>
        <v>58889.107101250003</v>
      </c>
      <c r="O198" s="63"/>
      <c r="P198" s="64"/>
      <c r="Q198" s="64"/>
      <c r="R198" s="50"/>
      <c r="S198"/>
      <c r="T198"/>
      <c r="V198" s="57"/>
      <c r="W198" s="57"/>
      <c r="X198" s="57"/>
      <c r="Y198" s="57"/>
      <c r="Z198" s="57"/>
      <c r="AA198" s="57"/>
      <c r="AB198" s="57"/>
    </row>
    <row r="199" spans="1:28" x14ac:dyDescent="0.25">
      <c r="A199" s="99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32"/>
      <c r="P199" s="47"/>
      <c r="Q199" s="47"/>
      <c r="R199" s="45"/>
      <c r="S199"/>
      <c r="T199"/>
    </row>
    <row r="200" spans="1:28" ht="18" x14ac:dyDescent="0.25">
      <c r="A200" s="98" t="s">
        <v>29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45"/>
      <c r="P200" s="47"/>
      <c r="Q200" s="47"/>
      <c r="R200" s="45"/>
      <c r="S200"/>
      <c r="T200"/>
      <c r="V200" s="57"/>
      <c r="W200" s="57"/>
      <c r="X200" s="57"/>
      <c r="Y200" s="57"/>
      <c r="Z200" s="57"/>
      <c r="AA200" s="57"/>
      <c r="AB200" s="57"/>
    </row>
    <row r="201" spans="1:28" x14ac:dyDescent="0.25">
      <c r="A201" s="99" t="s">
        <v>21</v>
      </c>
      <c r="B201" s="116">
        <v>291.7</v>
      </c>
      <c r="C201" s="116">
        <v>272.13600000000002</v>
      </c>
      <c r="D201" s="116">
        <v>290.93700000000001</v>
      </c>
      <c r="E201" s="116">
        <v>286.392</v>
      </c>
      <c r="F201" s="116">
        <v>291.18200000000002</v>
      </c>
      <c r="G201" s="116">
        <v>291.18200000000002</v>
      </c>
      <c r="H201" s="116">
        <v>290.63099999999997</v>
      </c>
      <c r="I201" s="116">
        <v>292.71199999999999</v>
      </c>
      <c r="J201" s="116">
        <v>285.58</v>
      </c>
      <c r="K201" s="116">
        <v>292.71199999999999</v>
      </c>
      <c r="L201" s="116">
        <v>242.613</v>
      </c>
      <c r="M201" s="116">
        <v>291.08499999999998</v>
      </c>
      <c r="N201" s="20">
        <f>SUM(B201:M201)</f>
        <v>3418.8619999999996</v>
      </c>
      <c r="O201" s="45"/>
      <c r="P201" s="47"/>
      <c r="Q201" s="47"/>
      <c r="R201" s="45" t="e">
        <v>#REF!</v>
      </c>
      <c r="S201"/>
      <c r="T201"/>
    </row>
    <row r="202" spans="1:28" ht="18" x14ac:dyDescent="0.25">
      <c r="A202" s="99" t="s">
        <v>48</v>
      </c>
      <c r="B202" s="116">
        <v>33.700000000000003</v>
      </c>
      <c r="C202" s="116">
        <v>32.363999999999997</v>
      </c>
      <c r="D202" s="116">
        <v>34.561999999999998</v>
      </c>
      <c r="E202" s="116">
        <v>28.606999999999999</v>
      </c>
      <c r="F202" s="116">
        <v>34.317</v>
      </c>
      <c r="G202" s="116">
        <v>34.317</v>
      </c>
      <c r="H202" s="116">
        <v>34.868000000000002</v>
      </c>
      <c r="I202" s="116">
        <v>32.786999999999999</v>
      </c>
      <c r="J202" s="116">
        <v>29.419</v>
      </c>
      <c r="K202" s="116">
        <v>32.786999999999999</v>
      </c>
      <c r="L202" s="116">
        <v>27.386999999999997</v>
      </c>
      <c r="M202" s="116">
        <v>34.414000000000001</v>
      </c>
      <c r="N202" s="20">
        <f>SUM(B202:M202)</f>
        <v>389.52899999999994</v>
      </c>
      <c r="O202" s="45"/>
      <c r="P202" s="47"/>
      <c r="Q202" s="47"/>
      <c r="R202" s="45"/>
      <c r="S202"/>
      <c r="T202"/>
      <c r="V202" s="57"/>
      <c r="W202" s="57"/>
      <c r="X202" s="57"/>
      <c r="Y202" s="57"/>
      <c r="Z202" s="57"/>
      <c r="AA202" s="57"/>
      <c r="AB202" s="57"/>
    </row>
    <row r="203" spans="1:28" x14ac:dyDescent="0.25">
      <c r="A203" s="122" t="s">
        <v>93</v>
      </c>
      <c r="B203" s="123"/>
      <c r="C203" s="116">
        <v>0</v>
      </c>
      <c r="D203" s="116">
        <v>0</v>
      </c>
      <c r="E203" s="116">
        <v>0</v>
      </c>
      <c r="F203" s="116">
        <v>0</v>
      </c>
      <c r="G203" s="116">
        <v>0</v>
      </c>
      <c r="H203" s="116">
        <v>0</v>
      </c>
      <c r="I203" s="116">
        <v>0</v>
      </c>
      <c r="J203" s="116">
        <v>0</v>
      </c>
      <c r="K203" s="116">
        <v>0</v>
      </c>
      <c r="L203" s="116">
        <f>33.7-33.7</f>
        <v>0</v>
      </c>
      <c r="M203" s="116">
        <f>34.6-34.6</f>
        <v>0</v>
      </c>
      <c r="N203" s="20">
        <f>SUM(B203:M203)</f>
        <v>0</v>
      </c>
      <c r="O203" s="45" t="e">
        <v>#REF!</v>
      </c>
      <c r="P203" s="47" t="e">
        <v>#REF!</v>
      </c>
      <c r="Q203" s="47" t="e">
        <v>#REF!</v>
      </c>
      <c r="R203" s="45" t="e">
        <v>#REF!</v>
      </c>
      <c r="S203"/>
      <c r="T203"/>
    </row>
    <row r="204" spans="1:28" ht="18" x14ac:dyDescent="0.25">
      <c r="A204" s="99" t="s">
        <v>49</v>
      </c>
      <c r="B204" s="117">
        <v>0</v>
      </c>
      <c r="C204" s="117">
        <v>0</v>
      </c>
      <c r="D204" s="117">
        <v>0</v>
      </c>
      <c r="E204" s="117">
        <v>0</v>
      </c>
      <c r="F204" s="117">
        <v>0</v>
      </c>
      <c r="G204" s="117">
        <v>0</v>
      </c>
      <c r="H204" s="117">
        <v>0</v>
      </c>
      <c r="I204" s="117">
        <v>0</v>
      </c>
      <c r="J204" s="117">
        <v>0</v>
      </c>
      <c r="K204" s="117">
        <v>0</v>
      </c>
      <c r="L204" s="117">
        <v>0</v>
      </c>
      <c r="M204" s="117">
        <v>0</v>
      </c>
      <c r="N204" s="71">
        <f>SUM(B204:M204)</f>
        <v>0</v>
      </c>
      <c r="O204" s="38" t="e">
        <v>#REF!</v>
      </c>
      <c r="P204" s="38" t="e">
        <v>#REF!</v>
      </c>
      <c r="Q204" s="38" t="e">
        <v>#REF!</v>
      </c>
      <c r="R204" s="38" t="e">
        <v>#REF!</v>
      </c>
      <c r="S204"/>
      <c r="T204"/>
      <c r="V204" s="57"/>
      <c r="W204" s="57"/>
      <c r="X204" s="57"/>
      <c r="Y204" s="57"/>
      <c r="Z204" s="57"/>
      <c r="AA204" s="57"/>
      <c r="AB204" s="57"/>
    </row>
    <row r="205" spans="1:28" x14ac:dyDescent="0.25">
      <c r="A205" s="98" t="s">
        <v>30</v>
      </c>
      <c r="B205" s="76">
        <f>SUM(B201:B204)</f>
        <v>325.39999999999998</v>
      </c>
      <c r="C205" s="76">
        <f>SUM(C201:C204)</f>
        <v>304.5</v>
      </c>
      <c r="D205" s="76">
        <f t="shared" ref="D205:N205" si="72">SUM(D201:D204)</f>
        <v>325.49900000000002</v>
      </c>
      <c r="E205" s="76">
        <f t="shared" si="72"/>
        <v>314.99900000000002</v>
      </c>
      <c r="F205" s="76">
        <f t="shared" si="72"/>
        <v>325.49900000000002</v>
      </c>
      <c r="G205" s="76">
        <f t="shared" si="72"/>
        <v>325.49900000000002</v>
      </c>
      <c r="H205" s="76">
        <f t="shared" si="72"/>
        <v>325.49899999999997</v>
      </c>
      <c r="I205" s="76">
        <f t="shared" si="72"/>
        <v>325.49899999999997</v>
      </c>
      <c r="J205" s="76">
        <f t="shared" si="72"/>
        <v>314.99899999999997</v>
      </c>
      <c r="K205" s="76">
        <f t="shared" si="72"/>
        <v>325.49899999999997</v>
      </c>
      <c r="L205" s="76">
        <f t="shared" si="72"/>
        <v>270</v>
      </c>
      <c r="M205" s="76">
        <f t="shared" si="72"/>
        <v>325.49899999999997</v>
      </c>
      <c r="N205" s="76">
        <f t="shared" si="72"/>
        <v>3808.3909999999996</v>
      </c>
      <c r="O205" s="63"/>
      <c r="P205" s="64"/>
      <c r="Q205" s="64"/>
      <c r="R205" s="50"/>
      <c r="S205"/>
      <c r="T205"/>
    </row>
    <row r="206" spans="1:28" ht="18" x14ac:dyDescent="0.25">
      <c r="A206" s="99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32"/>
      <c r="P206" s="47"/>
      <c r="Q206" s="45"/>
      <c r="R206" s="45"/>
      <c r="S206"/>
      <c r="T206"/>
      <c r="V206" s="57"/>
      <c r="W206" s="57"/>
      <c r="X206" s="57"/>
      <c r="Y206" s="57"/>
      <c r="Z206" s="57"/>
      <c r="AA206" s="57"/>
      <c r="AB206" s="57"/>
    </row>
    <row r="207" spans="1:28" x14ac:dyDescent="0.25">
      <c r="A207" s="98" t="s">
        <v>76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45" t="e">
        <f>CHOOSE(#REF!,SUM(B207,B207),SUM(B207:C207),SUM(B207:D207),SUM(B207:E207),SUM(B207:F207),SUM(B207:G207),SUM(B207:H207),SUM(B207:I207),SUM(B207:J207),SUM(B207:K207),SUM(B207:L207),SUM(B207:M207))</f>
        <v>#REF!</v>
      </c>
      <c r="P207" s="47" t="e">
        <f>N207-O207</f>
        <v>#REF!</v>
      </c>
      <c r="Q207" s="47">
        <f>N207</f>
        <v>0</v>
      </c>
      <c r="R207" s="45"/>
      <c r="S207"/>
      <c r="T207"/>
    </row>
    <row r="208" spans="1:28" ht="18" x14ac:dyDescent="0.25">
      <c r="A208" s="99" t="s">
        <v>21</v>
      </c>
      <c r="B208" s="116">
        <v>392.9</v>
      </c>
      <c r="C208" s="116">
        <v>363.97699999999998</v>
      </c>
      <c r="D208" s="116">
        <v>496.77800000000002</v>
      </c>
      <c r="E208" s="116">
        <v>627.221</v>
      </c>
      <c r="F208" s="116">
        <v>932.78800000000001</v>
      </c>
      <c r="G208" s="116">
        <v>977.40099999999995</v>
      </c>
      <c r="H208" s="116">
        <v>963.56500000000005</v>
      </c>
      <c r="I208" s="116">
        <v>956.20699999999999</v>
      </c>
      <c r="J208" s="116">
        <v>933.89300000000003</v>
      </c>
      <c r="K208" s="116">
        <v>960.94500000000005</v>
      </c>
      <c r="L208" s="116">
        <f>584.65752+5.1+100</f>
        <v>689.75752</v>
      </c>
      <c r="M208" s="116">
        <v>1258.335</v>
      </c>
      <c r="N208" s="20">
        <f>SUM(B208:M208)</f>
        <v>9553.7675199999976</v>
      </c>
      <c r="O208" s="45" t="e">
        <v>#REF!</v>
      </c>
      <c r="P208" s="47" t="e">
        <v>#REF!</v>
      </c>
      <c r="Q208" s="47">
        <v>6645.7807440000006</v>
      </c>
      <c r="R208" s="45" t="e">
        <v>#REF!</v>
      </c>
      <c r="S208"/>
      <c r="T208"/>
      <c r="V208" s="57"/>
      <c r="W208" s="57"/>
      <c r="X208" s="57"/>
      <c r="Y208" s="57"/>
      <c r="Z208" s="57"/>
      <c r="AA208" s="57"/>
      <c r="AB208" s="57"/>
    </row>
    <row r="209" spans="1:28" x14ac:dyDescent="0.25">
      <c r="A209" s="99" t="s">
        <v>48</v>
      </c>
      <c r="B209" s="116">
        <v>39.700000000000003</v>
      </c>
      <c r="C209" s="116">
        <v>37.542000000000002</v>
      </c>
      <c r="D209" s="116">
        <v>64.861999999999995</v>
      </c>
      <c r="E209" s="116">
        <v>66.17</v>
      </c>
      <c r="F209" s="116">
        <v>102.21299999999999</v>
      </c>
      <c r="G209" s="116">
        <v>96.450999999999993</v>
      </c>
      <c r="H209" s="116">
        <v>94.209000000000003</v>
      </c>
      <c r="I209" s="116">
        <v>101.566</v>
      </c>
      <c r="J209" s="116">
        <v>91.498000000000005</v>
      </c>
      <c r="K209" s="116">
        <v>96.828000000000003</v>
      </c>
      <c r="L209" s="116">
        <f>66.73248+2.4+33+25.17</f>
        <v>127.30248</v>
      </c>
      <c r="M209" s="116">
        <v>103.85899999999999</v>
      </c>
      <c r="N209" s="20">
        <f>SUM(B209:M209)</f>
        <v>1022.2004800000001</v>
      </c>
      <c r="O209" s="45" t="e">
        <v>#REF!</v>
      </c>
      <c r="P209" s="47" t="e">
        <v>#REF!</v>
      </c>
      <c r="Q209" s="47">
        <v>752.47725600000012</v>
      </c>
      <c r="R209" s="45" t="e">
        <v>#REF!</v>
      </c>
      <c r="S209"/>
      <c r="T209"/>
    </row>
    <row r="210" spans="1:28" ht="18" x14ac:dyDescent="0.25">
      <c r="A210" s="99" t="s">
        <v>57</v>
      </c>
      <c r="B210" s="116">
        <v>0</v>
      </c>
      <c r="C210" s="116">
        <v>0</v>
      </c>
      <c r="D210" s="116">
        <v>0</v>
      </c>
      <c r="E210" s="116">
        <v>0</v>
      </c>
      <c r="F210" s="120">
        <f>0</f>
        <v>0</v>
      </c>
      <c r="G210" s="116">
        <v>0</v>
      </c>
      <c r="H210" s="116">
        <v>0</v>
      </c>
      <c r="I210" s="116">
        <v>0</v>
      </c>
      <c r="J210" s="116">
        <v>0</v>
      </c>
      <c r="K210" s="120">
        <f>0</f>
        <v>0</v>
      </c>
      <c r="L210" s="116">
        <v>0</v>
      </c>
      <c r="M210" s="116">
        <v>0</v>
      </c>
      <c r="N210" s="20">
        <f>SUM(B210:M210)</f>
        <v>0</v>
      </c>
      <c r="O210" s="45"/>
      <c r="P210" s="47"/>
      <c r="Q210" s="47"/>
      <c r="R210" s="45"/>
      <c r="S210"/>
      <c r="T210"/>
      <c r="V210" s="57"/>
      <c r="W210" s="57"/>
      <c r="X210" s="57"/>
      <c r="Y210" s="57"/>
      <c r="Z210" s="57"/>
      <c r="AA210" s="57"/>
      <c r="AB210" s="57"/>
    </row>
    <row r="211" spans="1:28" x14ac:dyDescent="0.25">
      <c r="A211" s="99" t="s">
        <v>96</v>
      </c>
      <c r="B211" s="116">
        <v>8</v>
      </c>
      <c r="C211" s="116">
        <v>7.5510000000000002</v>
      </c>
      <c r="D211" s="116">
        <v>7.992</v>
      </c>
      <c r="E211" s="116">
        <v>4.5759999999999996</v>
      </c>
      <c r="F211" s="116"/>
      <c r="G211" s="116"/>
      <c r="H211" s="116"/>
      <c r="I211" s="116"/>
      <c r="J211" s="116"/>
      <c r="K211" s="116"/>
      <c r="L211" s="116"/>
      <c r="M211" s="116">
        <v>5.58</v>
      </c>
      <c r="N211" s="20">
        <f>SUM(B211:M211)</f>
        <v>33.698999999999998</v>
      </c>
      <c r="O211" s="45"/>
      <c r="P211" s="47"/>
      <c r="Q211" s="47"/>
      <c r="R211" s="45"/>
      <c r="S211"/>
      <c r="T211"/>
    </row>
    <row r="212" spans="1:28" ht="18" x14ac:dyDescent="0.25">
      <c r="A212" s="100" t="s">
        <v>49</v>
      </c>
      <c r="B212" s="117">
        <v>0</v>
      </c>
      <c r="C212" s="117">
        <v>1.9359999999999999</v>
      </c>
      <c r="D212" s="117">
        <v>0</v>
      </c>
      <c r="E212" s="117">
        <v>0</v>
      </c>
      <c r="F212" s="117">
        <v>9.7919999999999998</v>
      </c>
      <c r="G212" s="117">
        <f>-51.015</f>
        <v>-51.015000000000001</v>
      </c>
      <c r="H212" s="117">
        <v>0</v>
      </c>
      <c r="I212" s="117">
        <v>0</v>
      </c>
      <c r="J212" s="117">
        <v>0</v>
      </c>
      <c r="K212" s="117">
        <v>0</v>
      </c>
      <c r="L212" s="117">
        <v>37.841000000000001</v>
      </c>
      <c r="M212" s="117">
        <v>0</v>
      </c>
      <c r="N212" s="71">
        <f>SUM(B212:M212)</f>
        <v>-1.445999999999998</v>
      </c>
      <c r="O212" s="45" t="e">
        <v>#REF!</v>
      </c>
      <c r="P212" s="47" t="e">
        <v>#REF!</v>
      </c>
      <c r="Q212" s="47">
        <v>0</v>
      </c>
      <c r="R212" s="45" t="e">
        <v>#REF!</v>
      </c>
      <c r="S212"/>
      <c r="T212"/>
      <c r="V212" s="57"/>
      <c r="W212" s="57"/>
      <c r="X212" s="57"/>
      <c r="Y212" s="57"/>
      <c r="Z212" s="57"/>
      <c r="AA212" s="57"/>
      <c r="AB212" s="57"/>
    </row>
    <row r="213" spans="1:28" x14ac:dyDescent="0.25">
      <c r="A213" s="98" t="s">
        <v>32</v>
      </c>
      <c r="B213" s="77">
        <f>SUM(B208:B212)</f>
        <v>440.59999999999997</v>
      </c>
      <c r="C213" s="77">
        <f>SUM(C208:C212)</f>
        <v>411.00599999999997</v>
      </c>
      <c r="D213" s="77">
        <f t="shared" ref="D213:N213" si="73">SUM(D208:D212)</f>
        <v>569.63199999999995</v>
      </c>
      <c r="E213" s="77">
        <f t="shared" si="73"/>
        <v>697.96699999999998</v>
      </c>
      <c r="F213" s="77">
        <f t="shared" si="73"/>
        <v>1044.7929999999999</v>
      </c>
      <c r="G213" s="77">
        <f t="shared" si="73"/>
        <v>1022.8369999999999</v>
      </c>
      <c r="H213" s="77">
        <f t="shared" si="73"/>
        <v>1057.7740000000001</v>
      </c>
      <c r="I213" s="77">
        <f t="shared" si="73"/>
        <v>1057.7729999999999</v>
      </c>
      <c r="J213" s="77">
        <f t="shared" si="73"/>
        <v>1025.3910000000001</v>
      </c>
      <c r="K213" s="77">
        <f t="shared" si="73"/>
        <v>1057.7730000000001</v>
      </c>
      <c r="L213" s="77">
        <f t="shared" si="73"/>
        <v>854.90099999999995</v>
      </c>
      <c r="M213" s="77">
        <f t="shared" si="73"/>
        <v>1367.7739999999999</v>
      </c>
      <c r="N213" s="90">
        <f t="shared" si="73"/>
        <v>10608.220999999998</v>
      </c>
      <c r="O213" s="45"/>
      <c r="P213" s="47"/>
      <c r="Q213" s="47"/>
      <c r="R213" s="45"/>
      <c r="S213"/>
      <c r="T213"/>
    </row>
    <row r="214" spans="1:28" ht="18" x14ac:dyDescent="0.25">
      <c r="A214" s="101" t="s">
        <v>77</v>
      </c>
      <c r="B214" s="76">
        <f>+B184+B192+B201+B208+B185+B193</f>
        <v>7726.2899999999991</v>
      </c>
      <c r="C214" s="76">
        <f>+C184+C192+C201+C208+C185+C193</f>
        <v>7111.9129999999996</v>
      </c>
      <c r="D214" s="76">
        <f t="shared" ref="D214:M214" si="74">+D184+D192+D201+D208+D185+D193</f>
        <v>7766.4620000000004</v>
      </c>
      <c r="E214" s="76">
        <f t="shared" si="74"/>
        <v>7571.4069999999992</v>
      </c>
      <c r="F214" s="76">
        <f t="shared" si="74"/>
        <v>8209.7400000000016</v>
      </c>
      <c r="G214" s="76">
        <f t="shared" si="74"/>
        <v>8011.0209999999997</v>
      </c>
      <c r="H214" s="76">
        <f t="shared" si="74"/>
        <v>8518.4410000000007</v>
      </c>
      <c r="I214" s="76">
        <f t="shared" si="74"/>
        <v>8635.2010000000009</v>
      </c>
      <c r="J214" s="76">
        <f t="shared" si="74"/>
        <v>8363.366</v>
      </c>
      <c r="K214" s="76">
        <f t="shared" si="74"/>
        <v>8625.7129999999997</v>
      </c>
      <c r="L214" s="76">
        <f t="shared" si="74"/>
        <v>8308.6360199999999</v>
      </c>
      <c r="M214" s="76">
        <f t="shared" si="74"/>
        <v>8996.3670000000002</v>
      </c>
      <c r="N214" s="90">
        <f>SUM(B214:M214)</f>
        <v>97844.557020000007</v>
      </c>
      <c r="O214" s="48" t="e">
        <f>O184+O185+O192+O193+O201+O208+#REF!+#REF!</f>
        <v>#REF!</v>
      </c>
      <c r="P214" s="48" t="e">
        <f>P184+P185+P192+P193+P201+P208+#REF!+#REF!</f>
        <v>#REF!</v>
      </c>
      <c r="Q214" s="48" t="e">
        <f>Q184+Q185+Q192+Q193+Q201+Q208+#REF!+#REF!</f>
        <v>#REF!</v>
      </c>
      <c r="R214" s="48" t="e">
        <f>R184+R185+#REF!+R192+R193+#REF!+R201+R208+#REF!+#REF!+#REF!</f>
        <v>#REF!</v>
      </c>
      <c r="S214"/>
      <c r="T214"/>
      <c r="V214" s="57"/>
      <c r="W214" s="57"/>
      <c r="X214" s="57"/>
      <c r="Y214" s="57"/>
      <c r="Z214" s="57"/>
      <c r="AA214" s="57"/>
      <c r="AB214" s="57"/>
    </row>
    <row r="215" spans="1:28" x14ac:dyDescent="0.25">
      <c r="A215" s="101" t="s">
        <v>78</v>
      </c>
      <c r="B215" s="78">
        <f>B186+B188+B194+B195+B197+B202+B204+B209+B210+B211+B212</f>
        <v>664.10000000000014</v>
      </c>
      <c r="C215" s="78">
        <f>C186+C187+C188+C194+C195+C196+C197+C202+C203+C204+C209+C210+C211+C212</f>
        <v>616.23700000000008</v>
      </c>
      <c r="D215" s="78">
        <f t="shared" ref="D215:M215" si="75">+D189+D198+D205+D213-D214</f>
        <v>691.75399999999991</v>
      </c>
      <c r="E215" s="78">
        <f t="shared" si="75"/>
        <v>531.99600000000009</v>
      </c>
      <c r="F215" s="78">
        <f t="shared" si="75"/>
        <v>615.83799999999792</v>
      </c>
      <c r="G215" s="78">
        <f t="shared" si="75"/>
        <v>667.95300000000043</v>
      </c>
      <c r="H215" s="78">
        <f t="shared" si="75"/>
        <v>741.95899999999892</v>
      </c>
      <c r="I215" s="78">
        <f t="shared" si="75"/>
        <v>800.96099999999751</v>
      </c>
      <c r="J215" s="78">
        <f t="shared" si="75"/>
        <v>811.00099999999838</v>
      </c>
      <c r="K215" s="78">
        <f t="shared" si="75"/>
        <v>790.45200000000114</v>
      </c>
      <c r="L215" s="78">
        <f t="shared" si="75"/>
        <v>745.0536812499995</v>
      </c>
      <c r="M215" s="78">
        <f t="shared" si="75"/>
        <v>887.40799999999945</v>
      </c>
      <c r="N215" s="90">
        <f>SUM(B215:M215)</f>
        <v>8564.7126812499937</v>
      </c>
      <c r="O215" s="48"/>
      <c r="P215" s="48"/>
      <c r="Q215" s="48"/>
      <c r="R215" s="48" t="e">
        <f>R216-R214</f>
        <v>#REF!</v>
      </c>
      <c r="S215"/>
      <c r="T215"/>
    </row>
    <row r="216" spans="1:28" ht="18" x14ac:dyDescent="0.25">
      <c r="A216" s="109" t="s">
        <v>79</v>
      </c>
      <c r="B216" s="78">
        <f>SUM(B214:B215)</f>
        <v>8390.39</v>
      </c>
      <c r="C216" s="78">
        <f>SUM(C214:C215)</f>
        <v>7728.15</v>
      </c>
      <c r="D216" s="78">
        <f t="shared" ref="D216:N216" si="76">SUM(D214:D215)</f>
        <v>8458.2160000000003</v>
      </c>
      <c r="E216" s="78">
        <f t="shared" si="76"/>
        <v>8103.4029999999993</v>
      </c>
      <c r="F216" s="78">
        <f t="shared" si="76"/>
        <v>8825.5779999999995</v>
      </c>
      <c r="G216" s="78">
        <f t="shared" si="76"/>
        <v>8678.9740000000002</v>
      </c>
      <c r="H216" s="78">
        <f t="shared" si="76"/>
        <v>9260.4</v>
      </c>
      <c r="I216" s="78">
        <f t="shared" si="76"/>
        <v>9436.1619999999984</v>
      </c>
      <c r="J216" s="78">
        <f t="shared" si="76"/>
        <v>9174.3669999999984</v>
      </c>
      <c r="K216" s="78">
        <f t="shared" si="76"/>
        <v>9416.1650000000009</v>
      </c>
      <c r="L216" s="78">
        <f t="shared" si="76"/>
        <v>9053.6897012499994</v>
      </c>
      <c r="M216" s="78">
        <f t="shared" si="76"/>
        <v>9883.7749999999996</v>
      </c>
      <c r="N216" s="90">
        <f t="shared" si="76"/>
        <v>106409.26970125</v>
      </c>
      <c r="O216" s="48" t="e">
        <f>SUM(O184:O212)</f>
        <v>#REF!</v>
      </c>
      <c r="P216" s="48" t="e">
        <f>SUM(P184:P212)</f>
        <v>#REF!</v>
      </c>
      <c r="Q216" s="48" t="e">
        <f>SUM(Q184:Q212)</f>
        <v>#REF!</v>
      </c>
      <c r="R216" s="48" t="e">
        <f>SUM(R184:R212)</f>
        <v>#REF!</v>
      </c>
      <c r="S216"/>
      <c r="T216"/>
      <c r="V216" s="57"/>
      <c r="W216" s="57"/>
      <c r="X216" s="57"/>
      <c r="Y216" s="57"/>
      <c r="Z216" s="57"/>
      <c r="AA216" s="57"/>
      <c r="AB216" s="57"/>
    </row>
    <row r="217" spans="1:28" x14ac:dyDescent="0.25">
      <c r="A217" s="102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2"/>
      <c r="O217" s="65"/>
      <c r="P217" s="65"/>
      <c r="Q217" s="65"/>
      <c r="R217" s="65"/>
      <c r="S217"/>
      <c r="T217"/>
    </row>
    <row r="218" spans="1:28" ht="18" x14ac:dyDescent="0.25">
      <c r="A218" s="97" t="s">
        <v>35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79"/>
      <c r="O218" s="65"/>
      <c r="P218" s="65"/>
      <c r="Q218" s="65"/>
      <c r="R218" s="65"/>
      <c r="S218"/>
      <c r="T218"/>
      <c r="V218" s="57"/>
      <c r="W218" s="57"/>
      <c r="X218" s="57"/>
      <c r="Y218" s="57"/>
      <c r="Z218" s="57"/>
      <c r="AA218" s="57"/>
      <c r="AB218" s="57"/>
    </row>
    <row r="219" spans="1:28" x14ac:dyDescent="0.25">
      <c r="A219" s="98" t="s">
        <v>91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20"/>
      <c r="O219" s="34"/>
      <c r="P219" s="34"/>
      <c r="Q219" s="34"/>
      <c r="R219" s="34"/>
      <c r="S219"/>
      <c r="T219"/>
    </row>
    <row r="220" spans="1:28" ht="18" x14ac:dyDescent="0.25">
      <c r="A220" s="99" t="s">
        <v>21</v>
      </c>
      <c r="B220" s="116">
        <v>41.85</v>
      </c>
      <c r="C220" s="116">
        <f>39.15+25.235</f>
        <v>64.384999999999991</v>
      </c>
      <c r="D220" s="116">
        <v>0</v>
      </c>
      <c r="E220" s="116">
        <v>1.92</v>
      </c>
      <c r="F220" s="116">
        <v>11.4</v>
      </c>
      <c r="G220" s="116">
        <v>19.920000000000002</v>
      </c>
      <c r="H220" s="116">
        <v>19.344000000000001</v>
      </c>
      <c r="I220" s="116">
        <f>18.6-2.306</f>
        <v>16.294</v>
      </c>
      <c r="J220" s="116">
        <f>18+2.306</f>
        <v>20.306000000000001</v>
      </c>
      <c r="K220" s="116">
        <v>22.015999999999998</v>
      </c>
      <c r="L220" s="116">
        <v>0</v>
      </c>
      <c r="M220" s="116">
        <f>20.088</f>
        <v>20.088000000000001</v>
      </c>
      <c r="N220" s="20">
        <f>SUM(B220:M220)</f>
        <v>237.523</v>
      </c>
      <c r="O220" s="45" t="e">
        <v>#REF!</v>
      </c>
      <c r="P220" s="47" t="e">
        <v>#REF!</v>
      </c>
      <c r="Q220" s="47">
        <v>81</v>
      </c>
      <c r="R220" s="45" t="e">
        <v>#REF!</v>
      </c>
      <c r="S220"/>
      <c r="T220"/>
      <c r="V220" s="57"/>
      <c r="W220" s="57"/>
      <c r="X220" s="57"/>
      <c r="Y220" s="57"/>
      <c r="Z220" s="57"/>
      <c r="AA220" s="57"/>
      <c r="AB220" s="57"/>
    </row>
    <row r="221" spans="1:28" x14ac:dyDescent="0.25">
      <c r="A221" s="99" t="s">
        <v>48</v>
      </c>
      <c r="B221" s="116">
        <v>0</v>
      </c>
      <c r="C221" s="116">
        <v>4.2370000000000001</v>
      </c>
      <c r="D221" s="116">
        <v>4.274</v>
      </c>
      <c r="E221" s="116">
        <v>8.3420000000000005</v>
      </c>
      <c r="F221" s="116">
        <f>4.142+10.386</f>
        <v>14.527999999999999</v>
      </c>
      <c r="G221" s="116">
        <f>7.484</f>
        <v>7.484</v>
      </c>
      <c r="H221" s="116">
        <v>9.48</v>
      </c>
      <c r="I221" s="116">
        <f>7.72</f>
        <v>7.72</v>
      </c>
      <c r="J221" s="116">
        <v>5.976</v>
      </c>
      <c r="K221" s="116">
        <v>5.2069999999999999</v>
      </c>
      <c r="L221" s="116">
        <v>0</v>
      </c>
      <c r="M221" s="116">
        <v>2.645</v>
      </c>
      <c r="N221" s="20">
        <f>SUM(B221:M221)</f>
        <v>69.892999999999986</v>
      </c>
      <c r="O221" s="45" t="e">
        <v>#REF!</v>
      </c>
      <c r="P221" s="47" t="e">
        <v>#REF!</v>
      </c>
      <c r="Q221" s="47" t="e">
        <v>#REF!</v>
      </c>
      <c r="R221" s="45" t="e">
        <v>#REF!</v>
      </c>
      <c r="S221"/>
      <c r="T221"/>
    </row>
    <row r="222" spans="1:28" ht="18" x14ac:dyDescent="0.25">
      <c r="A222" s="99" t="s">
        <v>57</v>
      </c>
      <c r="B222" s="116">
        <v>0</v>
      </c>
      <c r="C222" s="116">
        <v>0</v>
      </c>
      <c r="D222" s="116">
        <v>0</v>
      </c>
      <c r="E222" s="116">
        <v>0</v>
      </c>
      <c r="F222" s="116">
        <v>0</v>
      </c>
      <c r="G222" s="116">
        <v>0</v>
      </c>
      <c r="H222" s="116">
        <v>0</v>
      </c>
      <c r="I222" s="116">
        <v>0</v>
      </c>
      <c r="J222" s="116">
        <v>0</v>
      </c>
      <c r="K222" s="116">
        <v>0</v>
      </c>
      <c r="L222" s="116">
        <v>0</v>
      </c>
      <c r="M222" s="116">
        <v>0</v>
      </c>
      <c r="N222" s="20">
        <f>SUM(B222:M222)</f>
        <v>0</v>
      </c>
      <c r="O222" s="45" t="e">
        <v>#REF!</v>
      </c>
      <c r="P222" s="47" t="e">
        <v>#REF!</v>
      </c>
      <c r="Q222" s="47" t="e">
        <v>#REF!</v>
      </c>
      <c r="R222" s="45" t="e">
        <v>#REF!</v>
      </c>
      <c r="S222"/>
      <c r="T222"/>
      <c r="V222" s="57"/>
      <c r="W222" s="57"/>
      <c r="X222" s="57"/>
      <c r="Y222" s="57"/>
      <c r="Z222" s="57"/>
      <c r="AA222" s="57"/>
      <c r="AB222" s="57"/>
    </row>
    <row r="223" spans="1:28" x14ac:dyDescent="0.25">
      <c r="A223" s="100" t="s">
        <v>49</v>
      </c>
      <c r="B223" s="117">
        <v>4.1559999999999997</v>
      </c>
      <c r="C223" s="117">
        <v>0</v>
      </c>
      <c r="D223" s="117">
        <v>0</v>
      </c>
      <c r="E223" s="117">
        <v>1.595</v>
      </c>
      <c r="F223" s="117">
        <v>4.0430000000000001</v>
      </c>
      <c r="G223" s="117">
        <f>1.963</f>
        <v>1.9630000000000001</v>
      </c>
      <c r="H223" s="117">
        <v>3.605</v>
      </c>
      <c r="I223" s="117">
        <v>93.82</v>
      </c>
      <c r="J223" s="117">
        <v>0</v>
      </c>
      <c r="K223" s="117">
        <v>0</v>
      </c>
      <c r="L223" s="117">
        <v>0</v>
      </c>
      <c r="M223" s="117">
        <v>4.1970000000000001</v>
      </c>
      <c r="N223" s="71">
        <f>SUM(B223:M223)</f>
        <v>113.37899999999999</v>
      </c>
      <c r="O223" s="38" t="e">
        <v>#REF!</v>
      </c>
      <c r="P223" s="38" t="e">
        <v>#REF!</v>
      </c>
      <c r="Q223" s="38" t="e">
        <v>#REF!</v>
      </c>
      <c r="R223" s="38" t="e">
        <v>#REF!</v>
      </c>
      <c r="S223"/>
      <c r="T223"/>
    </row>
    <row r="224" spans="1:28" s="29" customFormat="1" ht="18" x14ac:dyDescent="0.25">
      <c r="A224" s="98" t="s">
        <v>36</v>
      </c>
      <c r="B224" s="76">
        <f>SUM(B220:B223)</f>
        <v>46.006</v>
      </c>
      <c r="C224" s="76">
        <f>SUM(C220:C223)</f>
        <v>68.621999999999986</v>
      </c>
      <c r="D224" s="76">
        <f t="shared" ref="D224:N224" si="77">SUM(D220:D223)</f>
        <v>4.274</v>
      </c>
      <c r="E224" s="76">
        <f t="shared" si="77"/>
        <v>11.857000000000001</v>
      </c>
      <c r="F224" s="76">
        <f t="shared" si="77"/>
        <v>29.970999999999997</v>
      </c>
      <c r="G224" s="76">
        <f t="shared" si="77"/>
        <v>29.367000000000004</v>
      </c>
      <c r="H224" s="76">
        <f t="shared" si="77"/>
        <v>32.429000000000002</v>
      </c>
      <c r="I224" s="76">
        <f t="shared" si="77"/>
        <v>117.83399999999999</v>
      </c>
      <c r="J224" s="76">
        <f t="shared" si="77"/>
        <v>26.282</v>
      </c>
      <c r="K224" s="76">
        <f t="shared" si="77"/>
        <v>27.222999999999999</v>
      </c>
      <c r="L224" s="76">
        <f t="shared" si="77"/>
        <v>0</v>
      </c>
      <c r="M224" s="76">
        <f t="shared" si="77"/>
        <v>26.93</v>
      </c>
      <c r="N224" s="76">
        <f t="shared" si="77"/>
        <v>420.79499999999996</v>
      </c>
      <c r="O224" s="63"/>
      <c r="P224" s="64"/>
      <c r="Q224" s="64"/>
      <c r="R224" s="50"/>
      <c r="S224"/>
      <c r="T224"/>
      <c r="U224" s="20"/>
      <c r="V224" s="57"/>
      <c r="W224" s="57"/>
      <c r="X224" s="57"/>
      <c r="Y224" s="57"/>
      <c r="Z224" s="57"/>
      <c r="AA224" s="57"/>
      <c r="AB224" s="57"/>
    </row>
    <row r="225" spans="1:28" x14ac:dyDescent="0.25">
      <c r="A225" s="99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79"/>
      <c r="O225" s="65"/>
      <c r="P225" s="65"/>
      <c r="Q225" s="65"/>
      <c r="R225" s="65"/>
      <c r="S225"/>
      <c r="T225"/>
    </row>
    <row r="226" spans="1:28" ht="18" x14ac:dyDescent="0.25">
      <c r="A226" s="98" t="s">
        <v>37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20"/>
      <c r="O226" s="34" t="e">
        <f>CHOOSE(#REF!,SUM(B226,B226),SUM(B226:C226),SUM(B226:D226),SUM(B226:E226),SUM(B226:F226),SUM(B226:G226),SUM(B226:H226),SUM(B226:I226),SUM(B226:J226),SUM(B226:K226),SUM(B226:L226),SUM(B226:M226))</f>
        <v>#REF!</v>
      </c>
      <c r="P226" s="34" t="e">
        <f>N226-O226</f>
        <v>#REF!</v>
      </c>
      <c r="Q226" s="34">
        <f>N226</f>
        <v>0</v>
      </c>
      <c r="R226" s="34"/>
      <c r="S226"/>
      <c r="T226"/>
      <c r="V226" s="57"/>
      <c r="W226" s="57"/>
      <c r="X226" s="57"/>
      <c r="Y226" s="57"/>
      <c r="Z226" s="57"/>
      <c r="AA226" s="57"/>
      <c r="AB226" s="57"/>
    </row>
    <row r="227" spans="1:28" x14ac:dyDescent="0.25">
      <c r="A227" s="99" t="s">
        <v>21</v>
      </c>
      <c r="B227" s="116">
        <v>400.94900000000001</v>
      </c>
      <c r="C227" s="116">
        <v>374.78199999999998</v>
      </c>
      <c r="D227" s="116">
        <v>343.18900000000002</v>
      </c>
      <c r="E227" s="120">
        <v>393.52699999999999</v>
      </c>
      <c r="F227" s="116">
        <v>338.92500000000001</v>
      </c>
      <c r="G227" s="116">
        <v>369.08499999999998</v>
      </c>
      <c r="H227" s="116">
        <v>296.05099999999999</v>
      </c>
      <c r="I227" s="116">
        <v>263.61099999999999</v>
      </c>
      <c r="J227" s="116">
        <v>424.44799999999998</v>
      </c>
      <c r="K227" s="116">
        <v>383.18900000000002</v>
      </c>
      <c r="L227" s="116">
        <f>327.2907-32.06+90-30+12-107.1</f>
        <v>260.13070000000005</v>
      </c>
      <c r="M227" s="116">
        <v>481.52199999999999</v>
      </c>
      <c r="N227" s="20">
        <f>SUM(B227:M227)</f>
        <v>4329.4087</v>
      </c>
      <c r="O227" s="45" t="e">
        <v>#REF!</v>
      </c>
      <c r="P227" s="47" t="e">
        <v>#REF!</v>
      </c>
      <c r="Q227" s="47">
        <v>3534.6840400000006</v>
      </c>
      <c r="R227" s="45" t="e">
        <v>#REF!</v>
      </c>
      <c r="S227"/>
      <c r="T227"/>
    </row>
    <row r="228" spans="1:28" ht="18" x14ac:dyDescent="0.25">
      <c r="A228" s="99" t="s">
        <v>48</v>
      </c>
      <c r="B228" s="116">
        <v>61.383000000000003</v>
      </c>
      <c r="C228" s="116">
        <v>56.558999999999997</v>
      </c>
      <c r="D228" s="116">
        <v>63.954999999999998</v>
      </c>
      <c r="E228" s="116">
        <v>89.233999999999995</v>
      </c>
      <c r="F228" s="116">
        <v>96.429000000000002</v>
      </c>
      <c r="G228" s="116">
        <v>46.081000000000003</v>
      </c>
      <c r="H228" s="116">
        <v>64.066999999999993</v>
      </c>
      <c r="I228" s="116">
        <v>59.505000000000003</v>
      </c>
      <c r="J228" s="116">
        <v>75.501000000000005</v>
      </c>
      <c r="K228" s="116">
        <v>48.930999999999997</v>
      </c>
      <c r="L228" s="116">
        <f>55.740789-5.44+27.9-11.82</f>
        <v>66.380788999999993</v>
      </c>
      <c r="M228" s="116">
        <v>45.07</v>
      </c>
      <c r="N228" s="20">
        <f>SUM(B228:M228)</f>
        <v>773.09578900000008</v>
      </c>
      <c r="O228" s="45" t="e">
        <v>#REF!</v>
      </c>
      <c r="P228" s="47" t="e">
        <v>#REF!</v>
      </c>
      <c r="Q228" s="47">
        <v>607.95392579999998</v>
      </c>
      <c r="R228" s="45" t="e">
        <v>#REF!</v>
      </c>
      <c r="S228"/>
      <c r="T228"/>
      <c r="V228" s="57"/>
      <c r="W228" s="57"/>
      <c r="X228" s="57"/>
      <c r="Y228" s="57"/>
      <c r="Z228" s="57"/>
      <c r="AA228" s="57"/>
      <c r="AB228" s="57"/>
    </row>
    <row r="229" spans="1:28" x14ac:dyDescent="0.25">
      <c r="A229" s="99" t="s">
        <v>57</v>
      </c>
      <c r="B229" s="116">
        <v>0</v>
      </c>
      <c r="C229" s="116">
        <v>0</v>
      </c>
      <c r="D229" s="116">
        <v>0</v>
      </c>
      <c r="E229" s="116">
        <v>0</v>
      </c>
      <c r="F229" s="116">
        <v>0</v>
      </c>
      <c r="G229" s="116">
        <v>0</v>
      </c>
      <c r="H229" s="116">
        <f>0</f>
        <v>0</v>
      </c>
      <c r="I229" s="116">
        <v>0</v>
      </c>
      <c r="J229" s="116">
        <v>0</v>
      </c>
      <c r="K229" s="116">
        <v>0</v>
      </c>
      <c r="L229" s="116">
        <v>107</v>
      </c>
      <c r="M229" s="116">
        <f>0</f>
        <v>0</v>
      </c>
      <c r="N229" s="20">
        <f>SUM(B229:M229)</f>
        <v>107</v>
      </c>
      <c r="O229" s="45" t="e">
        <v>#REF!</v>
      </c>
      <c r="P229" s="47" t="e">
        <v>#REF!</v>
      </c>
      <c r="Q229" s="47">
        <v>0</v>
      </c>
      <c r="R229" s="45" t="e">
        <v>#REF!</v>
      </c>
      <c r="S229"/>
      <c r="T229"/>
    </row>
    <row r="230" spans="1:28" ht="18" x14ac:dyDescent="0.25">
      <c r="A230" s="99" t="s">
        <v>97</v>
      </c>
      <c r="B230" s="116">
        <v>35.671999999999997</v>
      </c>
      <c r="C230" s="116">
        <v>5.6950000000000003</v>
      </c>
      <c r="D230" s="116">
        <f>5.996</f>
        <v>5.9960000000000004</v>
      </c>
      <c r="E230" s="116">
        <v>12.734</v>
      </c>
      <c r="F230" s="116">
        <v>21.585999999999999</v>
      </c>
      <c r="G230" s="116">
        <v>5.2089999999999996</v>
      </c>
      <c r="H230" s="116">
        <v>10.676</v>
      </c>
      <c r="I230" s="116">
        <v>12.986000000000001</v>
      </c>
      <c r="J230" s="116">
        <v>0.6</v>
      </c>
      <c r="K230" s="116">
        <v>14.532999999999999</v>
      </c>
      <c r="L230" s="116"/>
      <c r="M230" s="116">
        <v>293.00599999999997</v>
      </c>
      <c r="N230" s="20">
        <f>SUM(B230:M230)</f>
        <v>418.69299999999998</v>
      </c>
      <c r="O230" s="45"/>
      <c r="P230" s="47"/>
      <c r="Q230" s="47"/>
      <c r="R230" s="45"/>
      <c r="S230"/>
      <c r="T230"/>
      <c r="V230" s="57"/>
      <c r="W230" s="57"/>
      <c r="X230" s="57"/>
      <c r="Y230" s="57"/>
      <c r="Z230" s="57"/>
      <c r="AA230" s="57"/>
      <c r="AB230" s="57"/>
    </row>
    <row r="231" spans="1:28" x14ac:dyDescent="0.25">
      <c r="A231" s="99" t="s">
        <v>49</v>
      </c>
      <c r="B231" s="117">
        <v>57.68</v>
      </c>
      <c r="C231" s="117">
        <v>25.981000000000002</v>
      </c>
      <c r="D231" s="117">
        <v>40.698999999999998</v>
      </c>
      <c r="E231" s="117">
        <v>27.538</v>
      </c>
      <c r="F231" s="117">
        <v>27.56</v>
      </c>
      <c r="G231" s="117">
        <f>28.453</f>
        <v>28.452999999999999</v>
      </c>
      <c r="H231" s="117">
        <v>60.191000000000003</v>
      </c>
      <c r="I231" s="117">
        <v>40.996000000000002</v>
      </c>
      <c r="J231" s="117">
        <v>17.378</v>
      </c>
      <c r="K231" s="117">
        <v>22.806000000000001</v>
      </c>
      <c r="L231" s="117">
        <v>42</v>
      </c>
      <c r="M231" s="117">
        <v>37.805</v>
      </c>
      <c r="N231" s="71">
        <f>SUM(B231:M231)</f>
        <v>429.08699999999993</v>
      </c>
      <c r="O231" s="45" t="e">
        <v>#REF!</v>
      </c>
      <c r="P231" s="45" t="e">
        <v>#REF!</v>
      </c>
      <c r="Q231" s="45" t="e">
        <v>#REF!</v>
      </c>
      <c r="R231" s="45" t="e">
        <v>#REF!</v>
      </c>
      <c r="S231"/>
      <c r="T231"/>
    </row>
    <row r="232" spans="1:28" ht="18" x14ac:dyDescent="0.25">
      <c r="A232" s="98" t="s">
        <v>38</v>
      </c>
      <c r="B232" s="76">
        <f>SUM(B227:B231)</f>
        <v>555.68399999999997</v>
      </c>
      <c r="C232" s="76">
        <f>SUM(C227:C231)</f>
        <v>463.017</v>
      </c>
      <c r="D232" s="76">
        <f t="shared" ref="D232:N232" si="78">SUM(D227:D231)</f>
        <v>453.839</v>
      </c>
      <c r="E232" s="76">
        <f t="shared" si="78"/>
        <v>523.0329999999999</v>
      </c>
      <c r="F232" s="76">
        <f t="shared" si="78"/>
        <v>484.50000000000006</v>
      </c>
      <c r="G232" s="76">
        <f t="shared" si="78"/>
        <v>448.82799999999997</v>
      </c>
      <c r="H232" s="76">
        <f t="shared" si="78"/>
        <v>430.98500000000001</v>
      </c>
      <c r="I232" s="76">
        <f t="shared" si="78"/>
        <v>377.09799999999996</v>
      </c>
      <c r="J232" s="76">
        <f t="shared" si="78"/>
        <v>517.92700000000002</v>
      </c>
      <c r="K232" s="76">
        <f t="shared" si="78"/>
        <v>469.459</v>
      </c>
      <c r="L232" s="76">
        <f t="shared" si="78"/>
        <v>475.51148900000004</v>
      </c>
      <c r="M232" s="76">
        <f t="shared" si="78"/>
        <v>857.40299999999991</v>
      </c>
      <c r="N232" s="76">
        <f t="shared" si="78"/>
        <v>6057.2844889999997</v>
      </c>
      <c r="O232" s="45"/>
      <c r="P232" s="47"/>
      <c r="Q232" s="47"/>
      <c r="R232" s="45"/>
      <c r="S232"/>
      <c r="T232"/>
      <c r="V232" s="57"/>
      <c r="W232" s="57"/>
      <c r="X232" s="57"/>
      <c r="Y232" s="57"/>
      <c r="Z232" s="57"/>
      <c r="AA232" s="57"/>
      <c r="AB232" s="57"/>
    </row>
    <row r="233" spans="1:28" x14ac:dyDescent="0.25">
      <c r="A233" s="98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79"/>
      <c r="O233" s="45"/>
      <c r="P233" s="47"/>
      <c r="Q233" s="47"/>
      <c r="R233" s="45"/>
      <c r="S233"/>
      <c r="T233"/>
    </row>
    <row r="234" spans="1:28" ht="18" x14ac:dyDescent="0.25">
      <c r="A234" s="98" t="s">
        <v>39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20"/>
      <c r="O234" s="45"/>
      <c r="P234" s="47"/>
      <c r="Q234" s="47"/>
      <c r="R234" s="45"/>
      <c r="S234"/>
      <c r="T234"/>
      <c r="V234" s="57"/>
      <c r="W234" s="57"/>
      <c r="X234" s="57"/>
      <c r="Y234" s="57"/>
      <c r="Z234" s="57"/>
      <c r="AA234" s="57"/>
      <c r="AB234" s="57"/>
    </row>
    <row r="235" spans="1:28" x14ac:dyDescent="0.25">
      <c r="A235" s="99" t="s">
        <v>21</v>
      </c>
      <c r="B235" s="116">
        <v>257.16300000000001</v>
      </c>
      <c r="C235" s="116">
        <v>240.90799999999999</v>
      </c>
      <c r="D235" s="116">
        <v>252.96</v>
      </c>
      <c r="E235" s="116">
        <v>249.6</v>
      </c>
      <c r="F235" s="116">
        <v>257.52300000000002</v>
      </c>
      <c r="G235" s="116">
        <v>249.40799999999999</v>
      </c>
      <c r="H235" s="116">
        <v>255.626</v>
      </c>
      <c r="I235" s="116">
        <v>257.42</v>
      </c>
      <c r="J235" s="116">
        <v>248.959</v>
      </c>
      <c r="K235" s="116">
        <v>257.10500000000002</v>
      </c>
      <c r="L235" s="116">
        <v>253.92</v>
      </c>
      <c r="M235" s="116">
        <v>257.13099999999997</v>
      </c>
      <c r="N235" s="20">
        <f>SUM(B235:M235)</f>
        <v>3037.723</v>
      </c>
      <c r="O235" s="45" t="e">
        <v>#REF!</v>
      </c>
      <c r="P235" s="45" t="e">
        <v>#REF!</v>
      </c>
      <c r="Q235" s="45" t="e">
        <v>#REF!</v>
      </c>
      <c r="R235" s="45" t="e">
        <v>#REF!</v>
      </c>
      <c r="S235"/>
      <c r="T235"/>
    </row>
    <row r="236" spans="1:28" ht="18" x14ac:dyDescent="0.25">
      <c r="A236" s="99" t="s">
        <v>48</v>
      </c>
      <c r="B236" s="116">
        <v>9.4749999999999996</v>
      </c>
      <c r="C236" s="116">
        <v>8.7100000000000009</v>
      </c>
      <c r="D236" s="116">
        <v>13.084</v>
      </c>
      <c r="E236" s="116">
        <v>7.7889999999999997</v>
      </c>
      <c r="F236" s="116">
        <v>9.0960000000000001</v>
      </c>
      <c r="G236" s="116">
        <v>11.491</v>
      </c>
      <c r="H236" s="116">
        <v>8.5090000000000003</v>
      </c>
      <c r="I236" s="116">
        <v>7.5259999999999998</v>
      </c>
      <c r="J236" s="116">
        <v>7.242</v>
      </c>
      <c r="K236" s="116">
        <v>8.0299999999999994</v>
      </c>
      <c r="L236" s="116">
        <v>9.0227999999999984</v>
      </c>
      <c r="M236" s="116">
        <v>10.813000000000001</v>
      </c>
      <c r="N236" s="20">
        <f>SUM(B236:M236)</f>
        <v>110.7878</v>
      </c>
      <c r="O236" s="45" t="e">
        <v>#REF!</v>
      </c>
      <c r="P236" s="45" t="e">
        <v>#REF!</v>
      </c>
      <c r="Q236" s="45" t="e">
        <v>#REF!</v>
      </c>
      <c r="R236" s="45" t="e">
        <v>#REF!</v>
      </c>
      <c r="S236"/>
      <c r="T236"/>
      <c r="V236" s="57"/>
      <c r="W236" s="57"/>
      <c r="X236" s="57"/>
      <c r="Y236" s="57"/>
      <c r="Z236" s="57"/>
      <c r="AA236" s="57"/>
      <c r="AB236" s="57"/>
    </row>
    <row r="237" spans="1:28" x14ac:dyDescent="0.25">
      <c r="A237" s="99" t="s">
        <v>57</v>
      </c>
      <c r="B237" s="116">
        <v>0</v>
      </c>
      <c r="C237" s="116">
        <v>0</v>
      </c>
      <c r="D237" s="116">
        <v>0</v>
      </c>
      <c r="E237" s="116">
        <v>0</v>
      </c>
      <c r="F237" s="116">
        <v>0</v>
      </c>
      <c r="G237" s="116">
        <v>0</v>
      </c>
      <c r="H237" s="116">
        <v>0</v>
      </c>
      <c r="I237" s="116">
        <v>0</v>
      </c>
      <c r="J237" s="116">
        <v>0</v>
      </c>
      <c r="K237" s="116">
        <v>0</v>
      </c>
      <c r="L237" s="116">
        <v>0</v>
      </c>
      <c r="M237" s="116">
        <v>0</v>
      </c>
      <c r="N237" s="20">
        <f>SUM(B237:M237)</f>
        <v>0</v>
      </c>
      <c r="O237" s="45" t="e">
        <v>#REF!</v>
      </c>
      <c r="P237" s="45" t="e">
        <v>#REF!</v>
      </c>
      <c r="Q237" s="45" t="e">
        <v>#REF!</v>
      </c>
      <c r="R237" s="45" t="e">
        <v>#REF!</v>
      </c>
      <c r="S237"/>
      <c r="T237"/>
    </row>
    <row r="238" spans="1:28" ht="18" x14ac:dyDescent="0.25">
      <c r="A238" s="99" t="s">
        <v>49</v>
      </c>
      <c r="B238" s="117">
        <v>10.973000000000001</v>
      </c>
      <c r="C238" s="117">
        <v>-5.617</v>
      </c>
      <c r="D238" s="117">
        <v>0</v>
      </c>
      <c r="E238" s="117">
        <v>0</v>
      </c>
      <c r="F238" s="117">
        <v>0.92</v>
      </c>
      <c r="G238" s="117">
        <v>0</v>
      </c>
      <c r="H238" s="117">
        <v>0</v>
      </c>
      <c r="I238" s="117">
        <v>0</v>
      </c>
      <c r="J238" s="117">
        <v>22.238</v>
      </c>
      <c r="K238" s="117">
        <v>23.167000000000002</v>
      </c>
      <c r="L238" s="117">
        <v>0</v>
      </c>
      <c r="M238" s="117">
        <v>19.922000000000001</v>
      </c>
      <c r="N238" s="71">
        <f>SUM(B238:M238)</f>
        <v>71.602999999999994</v>
      </c>
      <c r="O238" s="45" t="e">
        <v>#REF!</v>
      </c>
      <c r="P238" s="45" t="e">
        <v>#REF!</v>
      </c>
      <c r="Q238" s="45" t="e">
        <v>#REF!</v>
      </c>
      <c r="R238" s="45" t="e">
        <v>#REF!</v>
      </c>
      <c r="S238"/>
      <c r="T238"/>
      <c r="V238" s="57"/>
      <c r="W238" s="57"/>
      <c r="X238" s="57"/>
      <c r="Y238" s="57"/>
      <c r="Z238" s="57"/>
      <c r="AA238" s="57"/>
      <c r="AB238" s="57"/>
    </row>
    <row r="239" spans="1:28" x14ac:dyDescent="0.25">
      <c r="A239" s="98" t="s">
        <v>40</v>
      </c>
      <c r="B239" s="76">
        <f>SUM(B235:B238)</f>
        <v>277.61100000000005</v>
      </c>
      <c r="C239" s="76">
        <f>SUM(C235:C238)</f>
        <v>244.001</v>
      </c>
      <c r="D239" s="76">
        <f t="shared" ref="D239:N239" si="79">SUM(D235:D238)</f>
        <v>266.04399999999998</v>
      </c>
      <c r="E239" s="76">
        <f t="shared" si="79"/>
        <v>257.38900000000001</v>
      </c>
      <c r="F239" s="76">
        <f t="shared" si="79"/>
        <v>267.53900000000004</v>
      </c>
      <c r="G239" s="76">
        <f t="shared" si="79"/>
        <v>260.899</v>
      </c>
      <c r="H239" s="76">
        <f t="shared" si="79"/>
        <v>264.13499999999999</v>
      </c>
      <c r="I239" s="76">
        <f t="shared" si="79"/>
        <v>264.94600000000003</v>
      </c>
      <c r="J239" s="76">
        <f t="shared" si="79"/>
        <v>278.43900000000002</v>
      </c>
      <c r="K239" s="76">
        <f t="shared" si="79"/>
        <v>288.30200000000002</v>
      </c>
      <c r="L239" s="76">
        <f t="shared" si="79"/>
        <v>262.94279999999998</v>
      </c>
      <c r="M239" s="76">
        <f t="shared" si="79"/>
        <v>287.86599999999999</v>
      </c>
      <c r="N239" s="76">
        <f t="shared" si="79"/>
        <v>3220.1138000000001</v>
      </c>
      <c r="O239" s="45"/>
      <c r="P239" s="45"/>
      <c r="Q239" s="45"/>
      <c r="R239" s="45"/>
      <c r="S239"/>
      <c r="T239"/>
    </row>
    <row r="240" spans="1:28" ht="18" x14ac:dyDescent="0.25">
      <c r="A240" s="99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79"/>
      <c r="O240" s="45"/>
      <c r="P240" s="45"/>
      <c r="Q240" s="45"/>
      <c r="R240" s="45"/>
      <c r="S240"/>
      <c r="T240"/>
      <c r="V240" s="57"/>
      <c r="W240" s="57"/>
      <c r="X240" s="57"/>
      <c r="Y240" s="57"/>
      <c r="Z240" s="57"/>
      <c r="AA240" s="57"/>
      <c r="AB240" s="57"/>
    </row>
    <row r="241" spans="1:28" x14ac:dyDescent="0.25">
      <c r="A241" s="98" t="s">
        <v>41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20"/>
      <c r="O241" s="45" t="e">
        <f>CHOOSE(#REF!,SUM(B241,B241),SUM(B241:C241),SUM(B241:D241),SUM(B241:E241),SUM(B241:F241),SUM(B241:G241),SUM(B241:H241),SUM(B241:I241),SUM(B241:J241),SUM(B241:K241),SUM(B241:L241),SUM(B241:M241))</f>
        <v>#REF!</v>
      </c>
      <c r="P241" s="47" t="e">
        <f>N241-O241</f>
        <v>#REF!</v>
      </c>
      <c r="Q241" s="47">
        <f>N241</f>
        <v>0</v>
      </c>
      <c r="R241" s="45"/>
      <c r="S241"/>
      <c r="T241"/>
    </row>
    <row r="242" spans="1:28" ht="18" x14ac:dyDescent="0.25">
      <c r="A242" s="99" t="s">
        <v>21</v>
      </c>
      <c r="B242" s="116">
        <v>674.04899999999998</v>
      </c>
      <c r="C242" s="116">
        <v>796.86900000000003</v>
      </c>
      <c r="D242" s="116">
        <v>477.88200000000001</v>
      </c>
      <c r="E242" s="116">
        <v>440.46800000000002</v>
      </c>
      <c r="F242" s="116">
        <v>512.60199999999998</v>
      </c>
      <c r="G242" s="116">
        <v>437.50099999999998</v>
      </c>
      <c r="H242" s="116">
        <v>451.78899999999999</v>
      </c>
      <c r="I242" s="116">
        <v>451.97399999999999</v>
      </c>
      <c r="J242" s="116">
        <v>438.59</v>
      </c>
      <c r="K242" s="116">
        <v>453.964</v>
      </c>
      <c r="L242" s="116">
        <v>507.96</v>
      </c>
      <c r="M242" s="116">
        <v>467.38200000000001</v>
      </c>
      <c r="N242" s="20">
        <f>SUM(B242:M242)</f>
        <v>6111.03</v>
      </c>
      <c r="O242" s="45" t="e">
        <v>#REF!</v>
      </c>
      <c r="P242" s="47" t="e">
        <v>#REF!</v>
      </c>
      <c r="Q242" s="47">
        <v>6580.134399999999</v>
      </c>
      <c r="R242" s="45" t="e">
        <v>#REF!</v>
      </c>
      <c r="S242"/>
      <c r="T242"/>
      <c r="V242" s="57"/>
      <c r="W242" s="57"/>
      <c r="X242" s="57"/>
      <c r="Y242" s="57"/>
      <c r="Z242" s="57"/>
      <c r="AA242" s="57"/>
      <c r="AB242" s="57"/>
    </row>
    <row r="243" spans="1:28" x14ac:dyDescent="0.25">
      <c r="A243" s="99" t="s">
        <v>48</v>
      </c>
      <c r="B243" s="116">
        <v>37.587000000000003</v>
      </c>
      <c r="C243" s="116">
        <v>51.06</v>
      </c>
      <c r="D243" s="116">
        <v>35.213999999999999</v>
      </c>
      <c r="E243" s="116">
        <v>30.526</v>
      </c>
      <c r="F243" s="116">
        <v>38.841999999999999</v>
      </c>
      <c r="G243" s="116">
        <v>34.268000000000001</v>
      </c>
      <c r="H243" s="116">
        <v>36.402999999999999</v>
      </c>
      <c r="I243" s="116">
        <v>35.619999999999997</v>
      </c>
      <c r="J243" s="116">
        <v>31.375</v>
      </c>
      <c r="K243" s="116">
        <v>37.372</v>
      </c>
      <c r="L243" s="116">
        <f>58.6845-4.16</f>
        <v>54.524500000000003</v>
      </c>
      <c r="M243" s="116">
        <v>28.245000000000001</v>
      </c>
      <c r="N243" s="20">
        <f>SUM(B243:M243)</f>
        <v>451.03649999999999</v>
      </c>
      <c r="O243" s="45" t="e">
        <v>#REF!</v>
      </c>
      <c r="P243" s="45" t="e">
        <v>#REF!</v>
      </c>
      <c r="Q243" s="45" t="e">
        <v>#REF!</v>
      </c>
      <c r="R243" s="45" t="e">
        <v>#REF!</v>
      </c>
      <c r="S243"/>
      <c r="T243"/>
    </row>
    <row r="244" spans="1:28" ht="18" x14ac:dyDescent="0.25">
      <c r="A244" s="99" t="s">
        <v>57</v>
      </c>
      <c r="B244" s="116">
        <v>0.39</v>
      </c>
      <c r="C244" s="116">
        <v>0</v>
      </c>
      <c r="D244" s="116">
        <v>0</v>
      </c>
      <c r="E244" s="116">
        <v>0</v>
      </c>
      <c r="F244" s="116">
        <v>0</v>
      </c>
      <c r="G244" s="116">
        <v>0</v>
      </c>
      <c r="H244" s="116">
        <v>0</v>
      </c>
      <c r="I244" s="116">
        <v>0</v>
      </c>
      <c r="J244" s="116">
        <v>0</v>
      </c>
      <c r="K244" s="120">
        <f>0</f>
        <v>0</v>
      </c>
      <c r="L244" s="116">
        <v>0</v>
      </c>
      <c r="M244" s="116">
        <v>0</v>
      </c>
      <c r="N244" s="20">
        <f>SUM(B244:M244)</f>
        <v>0.39</v>
      </c>
      <c r="O244" s="45" t="e">
        <v>#REF!</v>
      </c>
      <c r="P244" s="47" t="e">
        <v>#REF!</v>
      </c>
      <c r="Q244" s="47">
        <v>0</v>
      </c>
      <c r="R244" s="45" t="e">
        <v>#REF!</v>
      </c>
      <c r="S244"/>
      <c r="T244"/>
      <c r="V244" s="57"/>
      <c r="W244" s="57"/>
      <c r="X244" s="57"/>
      <c r="Y244" s="57"/>
      <c r="Z244" s="57"/>
      <c r="AA244" s="57"/>
      <c r="AB244" s="57"/>
    </row>
    <row r="245" spans="1:28" x14ac:dyDescent="0.25">
      <c r="A245" s="100" t="s">
        <v>49</v>
      </c>
      <c r="B245" s="117">
        <v>1.8</v>
      </c>
      <c r="C245" s="117">
        <v>2.5990000000000002</v>
      </c>
      <c r="D245" s="117">
        <v>3.9220000000000002</v>
      </c>
      <c r="E245" s="117">
        <v>12.058999999999999</v>
      </c>
      <c r="F245" s="117">
        <v>10.433999999999999</v>
      </c>
      <c r="G245" s="117">
        <v>32.871000000000002</v>
      </c>
      <c r="H245" s="117">
        <v>101.086</v>
      </c>
      <c r="I245" s="117">
        <v>76.653000000000006</v>
      </c>
      <c r="J245" s="117">
        <v>49.771999999999998</v>
      </c>
      <c r="K245" s="117">
        <v>31.597999999999999</v>
      </c>
      <c r="L245" s="117">
        <v>0</v>
      </c>
      <c r="M245" s="117">
        <v>33.581000000000003</v>
      </c>
      <c r="N245" s="71">
        <f>SUM(B245:M245)</f>
        <v>356.37500000000006</v>
      </c>
      <c r="O245" s="45" t="e">
        <v>#REF!</v>
      </c>
      <c r="P245" s="47" t="e">
        <v>#REF!</v>
      </c>
      <c r="Q245" s="47">
        <v>0</v>
      </c>
      <c r="R245" s="45" t="e">
        <v>#REF!</v>
      </c>
      <c r="S245"/>
      <c r="T245"/>
    </row>
    <row r="246" spans="1:28" ht="18" x14ac:dyDescent="0.25">
      <c r="A246" s="98" t="s">
        <v>42</v>
      </c>
      <c r="B246" s="77">
        <f>SUM(B242:B245)</f>
        <v>713.82599999999991</v>
      </c>
      <c r="C246" s="77">
        <f>SUM(C242:C245)</f>
        <v>850.52800000000013</v>
      </c>
      <c r="D246" s="77">
        <f t="shared" ref="D246:N246" si="80">SUM(D242:D245)</f>
        <v>517.01800000000003</v>
      </c>
      <c r="E246" s="77">
        <f t="shared" si="80"/>
        <v>483.05300000000005</v>
      </c>
      <c r="F246" s="77">
        <f t="shared" si="80"/>
        <v>561.87799999999993</v>
      </c>
      <c r="G246" s="77">
        <f t="shared" si="80"/>
        <v>504.64</v>
      </c>
      <c r="H246" s="77">
        <f t="shared" si="80"/>
        <v>589.27800000000002</v>
      </c>
      <c r="I246" s="77">
        <f t="shared" si="80"/>
        <v>564.24699999999996</v>
      </c>
      <c r="J246" s="77">
        <f t="shared" si="80"/>
        <v>519.73699999999997</v>
      </c>
      <c r="K246" s="77">
        <f t="shared" si="80"/>
        <v>522.93399999999997</v>
      </c>
      <c r="L246" s="77">
        <f t="shared" si="80"/>
        <v>562.48450000000003</v>
      </c>
      <c r="M246" s="77">
        <f t="shared" si="80"/>
        <v>529.20799999999997</v>
      </c>
      <c r="N246" s="90">
        <f t="shared" si="80"/>
        <v>6918.8315000000002</v>
      </c>
      <c r="O246" s="45"/>
      <c r="P246" s="47"/>
      <c r="Q246" s="47"/>
      <c r="R246" s="45"/>
      <c r="S246"/>
      <c r="T246"/>
      <c r="V246" s="57"/>
      <c r="W246" s="57"/>
      <c r="X246" s="57"/>
      <c r="Y246" s="57"/>
      <c r="Z246" s="57"/>
      <c r="AA246" s="57"/>
      <c r="AB246" s="57"/>
    </row>
    <row r="247" spans="1:28" x14ac:dyDescent="0.25">
      <c r="A247" s="101" t="s">
        <v>80</v>
      </c>
      <c r="B247" s="76">
        <f>+B220+B227+B235+B242</f>
        <v>1374.011</v>
      </c>
      <c r="C247" s="76">
        <f>+C220+C227+C235+C242</f>
        <v>1476.944</v>
      </c>
      <c r="D247" s="76">
        <f t="shared" ref="D247:N247" si="81">+D220+D227+D235+D242</f>
        <v>1074.0309999999999</v>
      </c>
      <c r="E247" s="76">
        <f t="shared" si="81"/>
        <v>1085.5150000000001</v>
      </c>
      <c r="F247" s="76">
        <f t="shared" si="81"/>
        <v>1120.4499999999998</v>
      </c>
      <c r="G247" s="76">
        <f t="shared" si="81"/>
        <v>1075.914</v>
      </c>
      <c r="H247" s="76">
        <f t="shared" si="81"/>
        <v>1022.81</v>
      </c>
      <c r="I247" s="76">
        <f t="shared" si="81"/>
        <v>989.29899999999998</v>
      </c>
      <c r="J247" s="76">
        <f t="shared" si="81"/>
        <v>1132.3029999999999</v>
      </c>
      <c r="K247" s="76">
        <f t="shared" si="81"/>
        <v>1116.2740000000001</v>
      </c>
      <c r="L247" s="76">
        <f t="shared" si="81"/>
        <v>1022.0107</v>
      </c>
      <c r="M247" s="76">
        <f t="shared" si="81"/>
        <v>1226.123</v>
      </c>
      <c r="N247" s="90">
        <f t="shared" si="81"/>
        <v>13715.6847</v>
      </c>
      <c r="O247" s="48" t="e">
        <f>O242+#REF!+#REF!+O235+#REF!+O220+O221+O227+#REF!</f>
        <v>#REF!</v>
      </c>
      <c r="P247" s="48" t="e">
        <f>P242+#REF!+#REF!+P235+#REF!+P220+P221+P227+#REF!</f>
        <v>#REF!</v>
      </c>
      <c r="Q247" s="48" t="e">
        <f>Q242+#REF!+#REF!+Q235+#REF!+Q220+Q221+Q227+#REF!</f>
        <v>#REF!</v>
      </c>
      <c r="R247" s="48" t="e">
        <f>R242+#REF!+R235+#REF!+R220+#REF!+R227+#REF!</f>
        <v>#REF!</v>
      </c>
      <c r="S247"/>
      <c r="T247"/>
    </row>
    <row r="248" spans="1:28" ht="18" x14ac:dyDescent="0.25">
      <c r="A248" s="101" t="s">
        <v>81</v>
      </c>
      <c r="B248" s="78">
        <f>B221+B222+B223+B228+B229+B230+B231+B236+B237+B238+B243+B244+B245</f>
        <v>219.11599999999999</v>
      </c>
      <c r="C248" s="78">
        <f>+C224+C232+C239+C246-C247</f>
        <v>149.22400000000016</v>
      </c>
      <c r="D248" s="78">
        <f t="shared" ref="D248:M248" si="82">+D224+D232+D239+D246-D247</f>
        <v>167.14400000000001</v>
      </c>
      <c r="E248" s="78">
        <f t="shared" si="82"/>
        <v>189.81699999999978</v>
      </c>
      <c r="F248" s="78">
        <f t="shared" si="82"/>
        <v>223.4380000000001</v>
      </c>
      <c r="G248" s="78">
        <f t="shared" si="82"/>
        <v>167.81999999999994</v>
      </c>
      <c r="H248" s="78">
        <f t="shared" si="82"/>
        <v>294.01700000000005</v>
      </c>
      <c r="I248" s="78">
        <f t="shared" si="82"/>
        <v>334.82600000000002</v>
      </c>
      <c r="J248" s="78">
        <f t="shared" si="82"/>
        <v>210.08200000000033</v>
      </c>
      <c r="K248" s="78">
        <f t="shared" si="82"/>
        <v>191.64400000000001</v>
      </c>
      <c r="L248" s="78">
        <f t="shared" si="82"/>
        <v>278.928089</v>
      </c>
      <c r="M248" s="78">
        <f t="shared" si="82"/>
        <v>475.28399999999965</v>
      </c>
      <c r="N248" s="90">
        <f>SUM(B248:M248)</f>
        <v>2901.3400890000003</v>
      </c>
      <c r="O248" s="48" t="e">
        <f>O249-O247</f>
        <v>#REF!</v>
      </c>
      <c r="P248" s="48" t="e">
        <f>P249-P247</f>
        <v>#REF!</v>
      </c>
      <c r="Q248" s="48" t="e">
        <f>Q249-Q247</f>
        <v>#REF!</v>
      </c>
      <c r="R248" s="48" t="e">
        <f>R249-R247</f>
        <v>#REF!</v>
      </c>
      <c r="S248"/>
      <c r="T248"/>
      <c r="V248" s="57"/>
      <c r="W248" s="57"/>
      <c r="X248" s="57"/>
      <c r="Y248" s="57"/>
      <c r="Z248" s="57"/>
      <c r="AA248" s="57"/>
      <c r="AB248" s="57"/>
    </row>
    <row r="249" spans="1:28" x14ac:dyDescent="0.25">
      <c r="A249" s="109" t="s">
        <v>82</v>
      </c>
      <c r="B249" s="78">
        <f>SUM(B247:B248)</f>
        <v>1593.127</v>
      </c>
      <c r="C249" s="78">
        <f>SUM(C247:C248)</f>
        <v>1626.1680000000001</v>
      </c>
      <c r="D249" s="78">
        <f t="shared" ref="D249:N249" si="83">SUM(D247:D248)</f>
        <v>1241.175</v>
      </c>
      <c r="E249" s="78">
        <f t="shared" si="83"/>
        <v>1275.3319999999999</v>
      </c>
      <c r="F249" s="78">
        <f t="shared" si="83"/>
        <v>1343.8879999999999</v>
      </c>
      <c r="G249" s="78">
        <f t="shared" si="83"/>
        <v>1243.7339999999999</v>
      </c>
      <c r="H249" s="78">
        <f t="shared" si="83"/>
        <v>1316.827</v>
      </c>
      <c r="I249" s="78">
        <f t="shared" si="83"/>
        <v>1324.125</v>
      </c>
      <c r="J249" s="78">
        <f t="shared" si="83"/>
        <v>1342.3850000000002</v>
      </c>
      <c r="K249" s="78">
        <f t="shared" si="83"/>
        <v>1307.9180000000001</v>
      </c>
      <c r="L249" s="78">
        <f t="shared" si="83"/>
        <v>1300.938789</v>
      </c>
      <c r="M249" s="78">
        <f t="shared" si="83"/>
        <v>1701.4069999999997</v>
      </c>
      <c r="N249" s="90">
        <f t="shared" si="83"/>
        <v>16617.024788999999</v>
      </c>
      <c r="O249" s="48" t="e">
        <f>SUM(O220:O245)</f>
        <v>#REF!</v>
      </c>
      <c r="P249" s="48" t="e">
        <f>SUM(P220:P245)</f>
        <v>#REF!</v>
      </c>
      <c r="Q249" s="48" t="e">
        <f>SUM(Q220:Q245)</f>
        <v>#REF!</v>
      </c>
      <c r="R249" s="48" t="e">
        <f>SUM(R220:R245)</f>
        <v>#REF!</v>
      </c>
      <c r="S249"/>
      <c r="T249"/>
    </row>
    <row r="250" spans="1:28" ht="18" x14ac:dyDescent="0.25">
      <c r="A250" s="102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82"/>
      <c r="O250" s="65"/>
      <c r="P250" s="65"/>
      <c r="Q250" s="65"/>
      <c r="R250" s="65"/>
      <c r="S250"/>
      <c r="T250"/>
      <c r="V250" s="57"/>
      <c r="W250" s="57"/>
      <c r="X250" s="57"/>
      <c r="Y250" s="57"/>
      <c r="Z250" s="57"/>
      <c r="AA250" s="57"/>
      <c r="AB250" s="57"/>
    </row>
    <row r="251" spans="1:28" ht="15.6" x14ac:dyDescent="0.25">
      <c r="A251" s="97" t="s">
        <v>45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65"/>
      <c r="P251" s="65"/>
      <c r="Q251" s="65"/>
      <c r="R251" s="65"/>
      <c r="S251"/>
      <c r="T251"/>
    </row>
    <row r="252" spans="1:28" ht="18" x14ac:dyDescent="0.25">
      <c r="A252" s="98" t="s">
        <v>46</v>
      </c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2"/>
      <c r="O252" s="45"/>
      <c r="P252" s="47"/>
      <c r="Q252" s="47"/>
      <c r="R252" s="45"/>
      <c r="S252"/>
      <c r="T252"/>
      <c r="V252" s="57"/>
      <c r="W252" s="57"/>
      <c r="X252" s="57"/>
      <c r="Y252" s="57"/>
      <c r="Z252" s="57"/>
      <c r="AA252" s="57"/>
      <c r="AB252" s="57"/>
    </row>
    <row r="253" spans="1:28" x14ac:dyDescent="0.25">
      <c r="A253" s="99" t="s">
        <v>21</v>
      </c>
      <c r="B253" s="120">
        <v>502.084</v>
      </c>
      <c r="C253" s="120">
        <v>380.63900000000001</v>
      </c>
      <c r="D253" s="120">
        <v>399.50400000000002</v>
      </c>
      <c r="E253" s="116">
        <v>390.14600000000002</v>
      </c>
      <c r="F253" s="116">
        <v>404.38499999999999</v>
      </c>
      <c r="G253" s="116">
        <v>398.48899999999998</v>
      </c>
      <c r="H253" s="116">
        <v>404.01900000000001</v>
      </c>
      <c r="I253" s="116">
        <v>402.01900000000001</v>
      </c>
      <c r="J253" s="116">
        <v>391.75700000000001</v>
      </c>
      <c r="K253" s="116">
        <v>405.52600000000001</v>
      </c>
      <c r="L253" s="116">
        <f>383.85</f>
        <v>383.85</v>
      </c>
      <c r="M253" s="116">
        <v>392.09399999999999</v>
      </c>
      <c r="N253" s="20">
        <f>SUM(B253:M253)</f>
        <v>4854.5119999999997</v>
      </c>
      <c r="O253" s="45" t="e">
        <v>#REF!</v>
      </c>
      <c r="P253" s="45" t="e">
        <v>#REF!</v>
      </c>
      <c r="Q253" s="45" t="e">
        <v>#REF!</v>
      </c>
      <c r="R253" s="45" t="e">
        <v>#REF!</v>
      </c>
      <c r="S253"/>
      <c r="T253"/>
    </row>
    <row r="254" spans="1:28" ht="18" x14ac:dyDescent="0.25">
      <c r="A254" s="99" t="s">
        <v>48</v>
      </c>
      <c r="B254" s="116">
        <v>7.7750000000000004</v>
      </c>
      <c r="C254" s="116">
        <v>6.6630000000000003</v>
      </c>
      <c r="D254" s="116">
        <v>7.5679999999999996</v>
      </c>
      <c r="E254" s="116">
        <v>8.4320000000000004</v>
      </c>
      <c r="F254" s="116">
        <v>8.141</v>
      </c>
      <c r="G254" s="116">
        <v>8.4060000000000006</v>
      </c>
      <c r="H254" s="116">
        <v>8.7449999999999992</v>
      </c>
      <c r="I254" s="116">
        <v>9.4640000000000004</v>
      </c>
      <c r="J254" s="116">
        <v>6.9569999999999999</v>
      </c>
      <c r="K254" s="116">
        <v>9.1020000000000003</v>
      </c>
      <c r="L254" s="116">
        <v>9.8111999999999995</v>
      </c>
      <c r="M254" s="116">
        <v>12.976000000000001</v>
      </c>
      <c r="N254" s="20">
        <f>SUM(B254:M254)</f>
        <v>104.0402</v>
      </c>
      <c r="O254" s="45" t="e">
        <v>#REF!</v>
      </c>
      <c r="P254" s="45" t="e">
        <v>#REF!</v>
      </c>
      <c r="Q254" s="45" t="e">
        <v>#REF!</v>
      </c>
      <c r="R254" s="45" t="e">
        <v>#REF!</v>
      </c>
      <c r="S254"/>
      <c r="T254"/>
      <c r="V254" s="57"/>
      <c r="W254" s="57"/>
      <c r="X254" s="57"/>
      <c r="Y254" s="57"/>
      <c r="Z254" s="57"/>
      <c r="AA254" s="57"/>
      <c r="AB254" s="57"/>
    </row>
    <row r="255" spans="1:28" x14ac:dyDescent="0.25">
      <c r="A255" s="99" t="s">
        <v>57</v>
      </c>
      <c r="B255" s="116">
        <v>0.51100000000000001</v>
      </c>
      <c r="C255" s="116">
        <v>0.47799999999999998</v>
      </c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0.51100000000000001</v>
      </c>
      <c r="N255" s="20">
        <f>SUM(B255:M255)</f>
        <v>1.5</v>
      </c>
      <c r="O255" s="45"/>
      <c r="P255" s="45"/>
      <c r="Q255" s="45"/>
      <c r="R255" s="45"/>
      <c r="S255"/>
      <c r="T255"/>
    </row>
    <row r="256" spans="1:28" ht="18" x14ac:dyDescent="0.25">
      <c r="A256" s="99" t="s">
        <v>49</v>
      </c>
      <c r="B256" s="117">
        <v>8.0969999999999995</v>
      </c>
      <c r="C256" s="117">
        <v>5.8330000000000002</v>
      </c>
      <c r="D256" s="117">
        <v>13.147</v>
      </c>
      <c r="E256" s="117">
        <v>11.51</v>
      </c>
      <c r="F256" s="117">
        <v>27.352</v>
      </c>
      <c r="G256" s="117">
        <v>42.664000000000001</v>
      </c>
      <c r="H256" s="117">
        <v>10.35</v>
      </c>
      <c r="I256" s="117">
        <v>101.81699999999999</v>
      </c>
      <c r="J256" s="117">
        <v>44.203000000000003</v>
      </c>
      <c r="K256" s="117">
        <v>44.33</v>
      </c>
      <c r="L256" s="117">
        <v>0</v>
      </c>
      <c r="M256" s="117">
        <v>21.170999999999999</v>
      </c>
      <c r="N256" s="71">
        <f>SUM(B256:M256)</f>
        <v>330.47399999999993</v>
      </c>
      <c r="O256" s="45" t="e">
        <v>#REF!</v>
      </c>
      <c r="P256" s="45" t="e">
        <v>#REF!</v>
      </c>
      <c r="Q256" s="45" t="e">
        <v>#REF!</v>
      </c>
      <c r="R256" s="45" t="e">
        <v>#REF!</v>
      </c>
      <c r="S256"/>
      <c r="T256"/>
      <c r="V256" s="57"/>
      <c r="W256" s="57"/>
      <c r="X256" s="57"/>
      <c r="Y256" s="57"/>
      <c r="Z256" s="57"/>
      <c r="AA256" s="57"/>
      <c r="AB256" s="57"/>
    </row>
    <row r="257" spans="1:28" x14ac:dyDescent="0.25">
      <c r="A257" s="98" t="s">
        <v>50</v>
      </c>
      <c r="B257" s="83">
        <f>SUM(B253:B256)</f>
        <v>518.46699999999998</v>
      </c>
      <c r="C257" s="83">
        <f>SUM(C253:C256)</f>
        <v>393.61300000000006</v>
      </c>
      <c r="D257" s="83">
        <f t="shared" ref="D257:N257" si="84">SUM(D253:D256)</f>
        <v>420.21899999999999</v>
      </c>
      <c r="E257" s="83">
        <f t="shared" si="84"/>
        <v>410.08800000000002</v>
      </c>
      <c r="F257" s="83">
        <f t="shared" si="84"/>
        <v>439.87799999999999</v>
      </c>
      <c r="G257" s="83">
        <f t="shared" si="84"/>
        <v>449.55899999999997</v>
      </c>
      <c r="H257" s="83">
        <f t="shared" si="84"/>
        <v>423.11400000000003</v>
      </c>
      <c r="I257" s="83">
        <f t="shared" si="84"/>
        <v>513.29999999999995</v>
      </c>
      <c r="J257" s="83">
        <f t="shared" si="84"/>
        <v>442.91700000000003</v>
      </c>
      <c r="K257" s="83">
        <f t="shared" si="84"/>
        <v>458.95799999999997</v>
      </c>
      <c r="L257" s="83">
        <f t="shared" si="84"/>
        <v>393.66120000000001</v>
      </c>
      <c r="M257" s="83">
        <f t="shared" si="84"/>
        <v>426.75200000000001</v>
      </c>
      <c r="N257" s="76">
        <f t="shared" si="84"/>
        <v>5290.5262000000002</v>
      </c>
      <c r="O257" s="45"/>
      <c r="P257" s="45"/>
      <c r="Q257" s="45"/>
      <c r="R257" s="45"/>
      <c r="S257"/>
      <c r="T257"/>
    </row>
    <row r="258" spans="1:28" ht="18" x14ac:dyDescent="0.25">
      <c r="A258" s="9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65"/>
      <c r="P258" s="65"/>
      <c r="Q258" s="65"/>
      <c r="R258" s="65"/>
      <c r="S258"/>
      <c r="T258"/>
      <c r="V258" s="57"/>
      <c r="W258" s="57"/>
      <c r="X258" s="57"/>
      <c r="Y258" s="57"/>
      <c r="Z258" s="57"/>
      <c r="AA258" s="57"/>
      <c r="AB258" s="57"/>
    </row>
    <row r="259" spans="1:28" x14ac:dyDescent="0.25">
      <c r="A259" s="98" t="s">
        <v>51</v>
      </c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2"/>
      <c r="O259" s="45"/>
      <c r="P259" s="47"/>
      <c r="Q259" s="47"/>
      <c r="R259" s="45"/>
      <c r="S259"/>
      <c r="T259"/>
    </row>
    <row r="260" spans="1:28" ht="18" x14ac:dyDescent="0.25">
      <c r="A260" s="99" t="s">
        <v>21</v>
      </c>
      <c r="B260" s="116">
        <v>254.14699999999999</v>
      </c>
      <c r="C260" s="116">
        <v>236.24199999999999</v>
      </c>
      <c r="D260" s="116">
        <v>249.89400000000001</v>
      </c>
      <c r="E260" s="116">
        <v>244.352</v>
      </c>
      <c r="F260" s="116">
        <v>276.07299999999998</v>
      </c>
      <c r="G260" s="116">
        <v>235.465</v>
      </c>
      <c r="H260" s="116">
        <v>259.10300000000001</v>
      </c>
      <c r="I260" s="116">
        <v>262.02100000000002</v>
      </c>
      <c r="J260" s="116">
        <v>252.08500000000001</v>
      </c>
      <c r="K260" s="116">
        <v>277.07799999999997</v>
      </c>
      <c r="L260" s="116">
        <f>259.2+25.92</f>
        <v>285.12</v>
      </c>
      <c r="M260" s="116">
        <v>264.34399999999999</v>
      </c>
      <c r="N260" s="20">
        <f>SUM(B260:M260)</f>
        <v>3095.924</v>
      </c>
      <c r="O260" s="45" t="e">
        <v>#REF!</v>
      </c>
      <c r="P260" s="47" t="e">
        <v>#REF!</v>
      </c>
      <c r="Q260" s="47">
        <v>2979.24</v>
      </c>
      <c r="R260" s="45" t="e">
        <v>#REF!</v>
      </c>
      <c r="S260"/>
      <c r="T260"/>
      <c r="V260" s="57"/>
      <c r="W260" s="57"/>
      <c r="X260" s="57"/>
      <c r="Y260" s="57"/>
      <c r="Z260" s="57"/>
      <c r="AA260" s="57"/>
      <c r="AB260" s="57"/>
    </row>
    <row r="261" spans="1:28" x14ac:dyDescent="0.25">
      <c r="A261" s="99" t="s">
        <v>48</v>
      </c>
      <c r="B261" s="116">
        <v>16.759</v>
      </c>
      <c r="C261" s="116">
        <v>24.923999999999999</v>
      </c>
      <c r="D261" s="116">
        <v>18.617999999999999</v>
      </c>
      <c r="E261" s="116">
        <v>14.346</v>
      </c>
      <c r="F261" s="116">
        <v>23.212</v>
      </c>
      <c r="G261" s="116">
        <v>18.045000000000002</v>
      </c>
      <c r="H261" s="116">
        <v>17.632000000000001</v>
      </c>
      <c r="I261" s="116">
        <v>16.175000000000001</v>
      </c>
      <c r="J261" s="116">
        <v>21.991</v>
      </c>
      <c r="K261" s="116">
        <v>17.943999999999999</v>
      </c>
      <c r="L261" s="116">
        <f>6.83937+1.08-0.578</f>
        <v>7.3413699999999995</v>
      </c>
      <c r="M261" s="116">
        <v>27.600999999999999</v>
      </c>
      <c r="N261" s="20">
        <f>SUM(B261:M261)</f>
        <v>224.58837</v>
      </c>
      <c r="O261" s="45" t="e">
        <v>#REF!</v>
      </c>
      <c r="P261" s="47" t="e">
        <v>#REF!</v>
      </c>
      <c r="Q261" s="47">
        <v>71.417214000000001</v>
      </c>
      <c r="R261" s="45" t="e">
        <v>#REF!</v>
      </c>
      <c r="S261"/>
      <c r="T261"/>
    </row>
    <row r="262" spans="1:28" ht="18" x14ac:dyDescent="0.25">
      <c r="A262" s="99" t="s">
        <v>57</v>
      </c>
      <c r="B262" s="116">
        <v>0</v>
      </c>
      <c r="C262" s="120">
        <v>0</v>
      </c>
      <c r="D262" s="120">
        <f>0</f>
        <v>0</v>
      </c>
      <c r="E262" s="116">
        <v>0</v>
      </c>
      <c r="F262" s="120">
        <f>0</f>
        <v>0</v>
      </c>
      <c r="G262" s="116">
        <v>0</v>
      </c>
      <c r="H262" s="116">
        <v>0</v>
      </c>
      <c r="I262" s="116">
        <v>0</v>
      </c>
      <c r="J262" s="116">
        <f>0</f>
        <v>0</v>
      </c>
      <c r="K262" s="120">
        <f>0</f>
        <v>0</v>
      </c>
      <c r="L262" s="120">
        <f>-29</f>
        <v>-29</v>
      </c>
      <c r="M262" s="116">
        <v>0</v>
      </c>
      <c r="N262" s="20">
        <f>SUM(B262:M262)</f>
        <v>-29</v>
      </c>
      <c r="O262" s="45"/>
      <c r="P262" s="47"/>
      <c r="Q262" s="47"/>
      <c r="R262" s="45"/>
      <c r="S262"/>
      <c r="T262"/>
      <c r="V262" s="57"/>
      <c r="W262" s="57"/>
      <c r="X262" s="57"/>
      <c r="Y262" s="57"/>
      <c r="Z262" s="57"/>
      <c r="AA262" s="57"/>
      <c r="AB262" s="57"/>
    </row>
    <row r="263" spans="1:28" x14ac:dyDescent="0.25">
      <c r="A263" s="100" t="s">
        <v>49</v>
      </c>
      <c r="B263" s="117">
        <v>71.388000000000005</v>
      </c>
      <c r="C263" s="117">
        <v>23.728999999999999</v>
      </c>
      <c r="D263" s="117">
        <v>42.703000000000003</v>
      </c>
      <c r="E263" s="117">
        <v>50.57</v>
      </c>
      <c r="F263" s="117">
        <v>54.637</v>
      </c>
      <c r="G263" s="117">
        <v>84.597999999999999</v>
      </c>
      <c r="H263" s="117">
        <v>96.356999999999999</v>
      </c>
      <c r="I263" s="117">
        <v>92.802999999999997</v>
      </c>
      <c r="J263" s="117">
        <v>119.349</v>
      </c>
      <c r="K263" s="117">
        <v>140.548</v>
      </c>
      <c r="L263" s="117">
        <f>41.7+100</f>
        <v>141.69999999999999</v>
      </c>
      <c r="M263" s="117">
        <v>110.895</v>
      </c>
      <c r="N263" s="71">
        <f>SUM(B263:M263)</f>
        <v>1029.277</v>
      </c>
      <c r="O263" s="45" t="e">
        <v>#REF!</v>
      </c>
      <c r="P263" s="47" t="e">
        <v>#REF!</v>
      </c>
      <c r="Q263" s="47">
        <v>0</v>
      </c>
      <c r="R263" s="45" t="e">
        <v>#REF!</v>
      </c>
      <c r="S263"/>
      <c r="T263"/>
    </row>
    <row r="264" spans="1:28" ht="18" x14ac:dyDescent="0.25">
      <c r="A264" s="98" t="s">
        <v>83</v>
      </c>
      <c r="B264" s="84">
        <f>SUM(B260:B263)</f>
        <v>342.29399999999998</v>
      </c>
      <c r="C264" s="84">
        <f>SUM(C260:C263)</f>
        <v>284.89499999999998</v>
      </c>
      <c r="D264" s="84">
        <f t="shared" ref="D264:N264" si="85">SUM(D260:D263)</f>
        <v>311.21500000000003</v>
      </c>
      <c r="E264" s="84">
        <f t="shared" si="85"/>
        <v>309.26799999999997</v>
      </c>
      <c r="F264" s="84">
        <f t="shared" si="85"/>
        <v>353.92199999999997</v>
      </c>
      <c r="G264" s="84">
        <f t="shared" si="85"/>
        <v>338.108</v>
      </c>
      <c r="H264" s="84">
        <f t="shared" si="85"/>
        <v>373.09199999999998</v>
      </c>
      <c r="I264" s="84">
        <f t="shared" si="85"/>
        <v>370.99900000000002</v>
      </c>
      <c r="J264" s="84">
        <f t="shared" si="85"/>
        <v>393.42500000000001</v>
      </c>
      <c r="K264" s="84">
        <f t="shared" si="85"/>
        <v>435.57</v>
      </c>
      <c r="L264" s="84">
        <f t="shared" si="85"/>
        <v>405.16136999999998</v>
      </c>
      <c r="M264" s="84">
        <f t="shared" si="85"/>
        <v>402.84</v>
      </c>
      <c r="N264" s="90">
        <f t="shared" si="85"/>
        <v>4320.7893700000004</v>
      </c>
      <c r="O264" s="65"/>
      <c r="P264" s="65"/>
      <c r="Q264" s="65"/>
      <c r="R264" s="65"/>
      <c r="S264"/>
      <c r="T264"/>
      <c r="V264" s="57"/>
      <c r="W264" s="57"/>
      <c r="X264" s="57"/>
      <c r="Y264" s="57"/>
      <c r="Z264" s="57"/>
      <c r="AA264" s="57"/>
      <c r="AB264" s="57"/>
    </row>
    <row r="265" spans="1:28" x14ac:dyDescent="0.25">
      <c r="A265" s="101" t="s">
        <v>84</v>
      </c>
      <c r="B265" s="84">
        <f>+B253+B260</f>
        <v>756.23099999999999</v>
      </c>
      <c r="C265" s="84">
        <f>+C253+C260</f>
        <v>616.88099999999997</v>
      </c>
      <c r="D265" s="84">
        <f t="shared" ref="D265:N265" si="86">+D253+D260</f>
        <v>649.39800000000002</v>
      </c>
      <c r="E265" s="84">
        <f t="shared" si="86"/>
        <v>634.49800000000005</v>
      </c>
      <c r="F265" s="84">
        <f t="shared" si="86"/>
        <v>680.45799999999997</v>
      </c>
      <c r="G265" s="84">
        <f t="shared" si="86"/>
        <v>633.95399999999995</v>
      </c>
      <c r="H265" s="84">
        <f t="shared" si="86"/>
        <v>663.12200000000007</v>
      </c>
      <c r="I265" s="84">
        <f t="shared" si="86"/>
        <v>664.04</v>
      </c>
      <c r="J265" s="84">
        <f t="shared" si="86"/>
        <v>643.84199999999998</v>
      </c>
      <c r="K265" s="84">
        <f t="shared" si="86"/>
        <v>682.60400000000004</v>
      </c>
      <c r="L265" s="84">
        <f t="shared" si="86"/>
        <v>668.97</v>
      </c>
      <c r="M265" s="84">
        <f t="shared" si="86"/>
        <v>656.43799999999999</v>
      </c>
      <c r="N265" s="90">
        <f t="shared" si="86"/>
        <v>7950.4359999999997</v>
      </c>
      <c r="O265" s="48" t="e">
        <f>O253+O260+#REF!+#REF!+#REF!</f>
        <v>#REF!</v>
      </c>
      <c r="P265" s="48" t="e">
        <f>P253+P260+#REF!+#REF!+#REF!</f>
        <v>#REF!</v>
      </c>
      <c r="Q265" s="48" t="e">
        <f>Q253+Q260+#REF!+#REF!+#REF!</f>
        <v>#REF!</v>
      </c>
      <c r="R265" s="48" t="e">
        <f>R253+R260+#REF!+#REF!+#REF!</f>
        <v>#REF!</v>
      </c>
      <c r="S265"/>
      <c r="T265"/>
    </row>
    <row r="266" spans="1:28" ht="18" x14ac:dyDescent="0.25">
      <c r="A266" s="101" t="s">
        <v>85</v>
      </c>
      <c r="B266" s="79">
        <f>+B257+B264-B265</f>
        <v>104.52999999999997</v>
      </c>
      <c r="C266" s="79">
        <f>+C257+C264-C265</f>
        <v>61.627000000000066</v>
      </c>
      <c r="D266" s="79">
        <f t="shared" ref="D266:N266" si="87">+D257+D264-D265</f>
        <v>82.035999999999945</v>
      </c>
      <c r="E266" s="79">
        <f t="shared" si="87"/>
        <v>84.857999999999947</v>
      </c>
      <c r="F266" s="79">
        <f t="shared" si="87"/>
        <v>113.34199999999998</v>
      </c>
      <c r="G266" s="79">
        <f t="shared" si="87"/>
        <v>153.71299999999997</v>
      </c>
      <c r="H266" s="79">
        <f t="shared" si="87"/>
        <v>133.08399999999995</v>
      </c>
      <c r="I266" s="79">
        <f t="shared" si="87"/>
        <v>220.25900000000001</v>
      </c>
      <c r="J266" s="79">
        <f t="shared" si="87"/>
        <v>192.50000000000011</v>
      </c>
      <c r="K266" s="79">
        <f t="shared" si="87"/>
        <v>211.92399999999998</v>
      </c>
      <c r="L266" s="79">
        <f t="shared" si="87"/>
        <v>129.85257000000001</v>
      </c>
      <c r="M266" s="79">
        <f t="shared" si="87"/>
        <v>173.154</v>
      </c>
      <c r="N266" s="90">
        <f t="shared" si="87"/>
        <v>1660.879570000001</v>
      </c>
      <c r="O266" s="48" t="e">
        <f>O267-O265</f>
        <v>#REF!</v>
      </c>
      <c r="P266" s="48" t="e">
        <f>P267-P265</f>
        <v>#REF!</v>
      </c>
      <c r="Q266" s="48" t="e">
        <f>Q267-Q265</f>
        <v>#REF!</v>
      </c>
      <c r="R266" s="48" t="e">
        <f>R267-R265</f>
        <v>#REF!</v>
      </c>
      <c r="S266"/>
      <c r="T266"/>
      <c r="V266" s="57"/>
      <c r="W266" s="57"/>
      <c r="X266" s="57"/>
      <c r="Y266" s="57"/>
      <c r="Z266" s="57"/>
      <c r="AA266" s="57"/>
      <c r="AB266" s="57"/>
    </row>
    <row r="267" spans="1:28" s="29" customFormat="1" x14ac:dyDescent="0.25">
      <c r="A267" s="109" t="s">
        <v>86</v>
      </c>
      <c r="B267" s="78">
        <f>SUM(B265:B266)</f>
        <v>860.76099999999997</v>
      </c>
      <c r="C267" s="78">
        <f>SUM(C265:C266)</f>
        <v>678.50800000000004</v>
      </c>
      <c r="D267" s="78">
        <f t="shared" ref="D267:N267" si="88">SUM(D265:D266)</f>
        <v>731.43399999999997</v>
      </c>
      <c r="E267" s="78">
        <f t="shared" si="88"/>
        <v>719.35599999999999</v>
      </c>
      <c r="F267" s="78">
        <f t="shared" si="88"/>
        <v>793.8</v>
      </c>
      <c r="G267" s="78">
        <f t="shared" si="88"/>
        <v>787.66699999999992</v>
      </c>
      <c r="H267" s="78">
        <f t="shared" si="88"/>
        <v>796.20600000000002</v>
      </c>
      <c r="I267" s="78">
        <f t="shared" si="88"/>
        <v>884.29899999999998</v>
      </c>
      <c r="J267" s="78">
        <f t="shared" si="88"/>
        <v>836.3420000000001</v>
      </c>
      <c r="K267" s="78">
        <f t="shared" si="88"/>
        <v>894.52800000000002</v>
      </c>
      <c r="L267" s="78">
        <f t="shared" si="88"/>
        <v>798.82257000000004</v>
      </c>
      <c r="M267" s="78">
        <f t="shared" si="88"/>
        <v>829.59199999999998</v>
      </c>
      <c r="N267" s="90">
        <f t="shared" si="88"/>
        <v>9611.3155700000007</v>
      </c>
      <c r="O267" s="49" t="e">
        <f>SUM(O253:O263)</f>
        <v>#REF!</v>
      </c>
      <c r="P267" s="49" t="e">
        <f>SUM(P253:P263)</f>
        <v>#REF!</v>
      </c>
      <c r="Q267" s="49" t="e">
        <f>SUM(Q253:Q263)</f>
        <v>#REF!</v>
      </c>
      <c r="R267" s="49" t="e">
        <f>SUM(R253:R263)</f>
        <v>#REF!</v>
      </c>
      <c r="S267"/>
      <c r="T267"/>
      <c r="U267" s="20"/>
      <c r="V267" s="8"/>
      <c r="W267" s="8"/>
      <c r="X267" s="8"/>
      <c r="Y267" s="8"/>
      <c r="Z267" s="8"/>
      <c r="AA267" s="8"/>
      <c r="AB267" s="8"/>
    </row>
    <row r="268" spans="1:28" s="29" customFormat="1" ht="18" x14ac:dyDescent="0.25">
      <c r="A268" s="102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82"/>
      <c r="O268" s="66"/>
      <c r="P268" s="66"/>
      <c r="Q268" s="66"/>
      <c r="R268" s="66"/>
      <c r="S268"/>
      <c r="T268"/>
      <c r="U268" s="20"/>
      <c r="V268" s="57"/>
      <c r="W268" s="57"/>
      <c r="X268" s="57"/>
      <c r="Y268" s="57"/>
      <c r="Z268" s="57"/>
      <c r="AA268" s="57"/>
      <c r="AB268" s="57"/>
    </row>
    <row r="269" spans="1:28" s="29" customFormat="1" ht="15.6" x14ac:dyDescent="0.25">
      <c r="A269" s="97" t="s">
        <v>55</v>
      </c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66"/>
      <c r="P269" s="66"/>
      <c r="Q269" s="66"/>
      <c r="R269" s="66"/>
      <c r="S269"/>
      <c r="T269"/>
      <c r="U269" s="20"/>
      <c r="V269" s="8"/>
      <c r="W269" s="8"/>
      <c r="X269" s="8"/>
      <c r="Y269" s="8"/>
      <c r="Z269" s="8"/>
      <c r="AA269" s="8"/>
      <c r="AB269" s="8"/>
    </row>
    <row r="270" spans="1:28" ht="18" x14ac:dyDescent="0.25">
      <c r="A270" s="98" t="s">
        <v>72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2"/>
      <c r="O270" s="45" t="e">
        <f>CHOOSE(#REF!,SUM(B270,B270),SUM(B270:C270),SUM(B270:D270),SUM(B270:E270),SUM(B270:F270),SUM(B270:G270),SUM(B270:H270),SUM(B270:I270),SUM(B270:J270),SUM(B270:K270),SUM(B270:L270),SUM(B270:M270))</f>
        <v>#REF!</v>
      </c>
      <c r="P270" s="47" t="e">
        <f>N270-O270</f>
        <v>#REF!</v>
      </c>
      <c r="Q270" s="47">
        <f>N270</f>
        <v>0</v>
      </c>
      <c r="R270" s="45"/>
      <c r="S270"/>
      <c r="T270"/>
      <c r="V270" s="57"/>
      <c r="W270" s="57"/>
      <c r="X270" s="57"/>
      <c r="Y270" s="57"/>
      <c r="Z270" s="57"/>
      <c r="AA270" s="57"/>
      <c r="AB270" s="57"/>
    </row>
    <row r="271" spans="1:28" x14ac:dyDescent="0.25">
      <c r="A271" s="99" t="s">
        <v>21</v>
      </c>
      <c r="B271" s="116">
        <v>1486.2</v>
      </c>
      <c r="C271" s="116">
        <v>1390.3030000000001</v>
      </c>
      <c r="D271" s="116">
        <v>1504.1859999999999</v>
      </c>
      <c r="E271" s="116">
        <v>1438.2449999999999</v>
      </c>
      <c r="F271" s="116">
        <v>1486.1859999999999</v>
      </c>
      <c r="G271" s="116">
        <v>1438.2449999999999</v>
      </c>
      <c r="H271" s="116">
        <v>1486.1859999999999</v>
      </c>
      <c r="I271" s="116">
        <v>1486.1859999999999</v>
      </c>
      <c r="J271" s="116">
        <v>1438.2449999999999</v>
      </c>
      <c r="K271" s="116">
        <v>1486.1859999999999</v>
      </c>
      <c r="L271" s="116">
        <v>1448.7180000000001</v>
      </c>
      <c r="M271" s="116">
        <v>1477.703</v>
      </c>
      <c r="N271" s="20">
        <f>SUM(B271:M271)</f>
        <v>17566.589</v>
      </c>
      <c r="O271" s="45" t="e">
        <v>#REF!</v>
      </c>
      <c r="P271" s="47" t="e">
        <v>#REF!</v>
      </c>
      <c r="Q271" s="47">
        <v>17726.798500000001</v>
      </c>
      <c r="R271" s="45" t="e">
        <v>#REF!</v>
      </c>
      <c r="S271"/>
      <c r="T271"/>
    </row>
    <row r="272" spans="1:28" ht="18" x14ac:dyDescent="0.25">
      <c r="A272" s="99" t="s">
        <v>48</v>
      </c>
      <c r="B272" s="116">
        <v>14.193</v>
      </c>
      <c r="C272" s="116">
        <v>14.422000000000001</v>
      </c>
      <c r="D272" s="116">
        <f>16.029+0.127</f>
        <v>16.155999999999999</v>
      </c>
      <c r="E272" s="116">
        <f>11.678+0.148</f>
        <v>11.826000000000001</v>
      </c>
      <c r="F272" s="116">
        <f>12.913+0.087</f>
        <v>13</v>
      </c>
      <c r="G272" s="116">
        <f>9.243+0.051</f>
        <v>9.2940000000000005</v>
      </c>
      <c r="H272" s="116">
        <v>9.5579999999999998</v>
      </c>
      <c r="I272" s="116">
        <v>9.6059999999999999</v>
      </c>
      <c r="J272" s="116">
        <v>8.9700000000000006</v>
      </c>
      <c r="K272" s="116">
        <v>9.3010000000000002</v>
      </c>
      <c r="L272" s="116">
        <f>38.60808-0.66</f>
        <v>37.948080000000004</v>
      </c>
      <c r="M272" s="116">
        <v>15.28</v>
      </c>
      <c r="N272" s="20">
        <f>SUM(B272:M272)</f>
        <v>169.55408000000003</v>
      </c>
      <c r="O272" s="45" t="e">
        <v>#REF!</v>
      </c>
      <c r="P272" s="47" t="e">
        <v>#REF!</v>
      </c>
      <c r="Q272" s="47">
        <v>471.018576</v>
      </c>
      <c r="R272" s="45" t="e">
        <v>#REF!</v>
      </c>
      <c r="S272"/>
      <c r="T272"/>
      <c r="V272" s="57"/>
      <c r="W272" s="57"/>
      <c r="X272" s="57"/>
      <c r="Y272" s="57"/>
      <c r="Z272" s="57"/>
      <c r="AA272" s="57"/>
      <c r="AB272" s="57"/>
    </row>
    <row r="273" spans="1:28" x14ac:dyDescent="0.25">
      <c r="A273" s="112" t="s">
        <v>94</v>
      </c>
      <c r="B273" s="120">
        <v>1.6259999999999999</v>
      </c>
      <c r="C273" s="120">
        <v>0.72977999999999998</v>
      </c>
      <c r="D273" s="120">
        <v>0.77100000000000002</v>
      </c>
      <c r="E273" s="120">
        <v>0.72499999999999998</v>
      </c>
      <c r="F273" s="116">
        <v>2.7120000000000002</v>
      </c>
      <c r="G273" s="116">
        <v>4.9909999999999997</v>
      </c>
      <c r="H273" s="116">
        <v>5.8869999999999996</v>
      </c>
      <c r="I273" s="116">
        <v>8.8209999999999997</v>
      </c>
      <c r="J273" s="116">
        <v>5.4080000000000004</v>
      </c>
      <c r="K273" s="116">
        <v>5.8920000000000003</v>
      </c>
      <c r="L273" s="116">
        <v>0</v>
      </c>
      <c r="M273" s="116">
        <v>0.82299999999999995</v>
      </c>
      <c r="N273" s="20">
        <f>SUM(B273:M273)</f>
        <v>38.385780000000004</v>
      </c>
      <c r="O273" s="45" t="e">
        <v>#REF!</v>
      </c>
      <c r="P273" s="47" t="e">
        <v>#REF!</v>
      </c>
      <c r="Q273" s="47">
        <v>0</v>
      </c>
      <c r="R273" s="45" t="e">
        <v>#REF!</v>
      </c>
      <c r="S273"/>
      <c r="T273"/>
    </row>
    <row r="274" spans="1:28" ht="18" x14ac:dyDescent="0.25">
      <c r="A274" s="100" t="s">
        <v>49</v>
      </c>
      <c r="B274" s="117">
        <v>0</v>
      </c>
      <c r="C274" s="117">
        <v>0</v>
      </c>
      <c r="D274" s="117">
        <v>1</v>
      </c>
      <c r="E274" s="117">
        <v>0</v>
      </c>
      <c r="F274" s="117">
        <v>0</v>
      </c>
      <c r="G274" s="117">
        <f>4.217+2.195</f>
        <v>6.411999999999999</v>
      </c>
      <c r="H274" s="117">
        <v>2.4649999999999999</v>
      </c>
      <c r="I274" s="117">
        <v>0</v>
      </c>
      <c r="J274" s="117">
        <v>213.37899999999999</v>
      </c>
      <c r="K274" s="117">
        <v>0</v>
      </c>
      <c r="L274" s="117">
        <v>0</v>
      </c>
      <c r="M274" s="117">
        <v>0</v>
      </c>
      <c r="N274" s="71">
        <f>SUM(B274:M274)</f>
        <v>223.256</v>
      </c>
      <c r="O274" s="51" t="e">
        <v>#REF!</v>
      </c>
      <c r="P274" s="52" t="e">
        <v>#REF!</v>
      </c>
      <c r="Q274" s="52">
        <v>257.60000000000002</v>
      </c>
      <c r="R274" s="51" t="e">
        <v>#REF!</v>
      </c>
      <c r="S274"/>
      <c r="T274"/>
      <c r="V274" s="57"/>
      <c r="W274" s="57"/>
      <c r="X274" s="57"/>
      <c r="Y274" s="57"/>
      <c r="Z274" s="57"/>
      <c r="AA274" s="57"/>
      <c r="AB274" s="57"/>
    </row>
    <row r="275" spans="1:28" x14ac:dyDescent="0.25">
      <c r="A275" s="101" t="s">
        <v>87</v>
      </c>
      <c r="B275" s="84">
        <f>+B271</f>
        <v>1486.2</v>
      </c>
      <c r="C275" s="84">
        <f>+C271</f>
        <v>1390.3030000000001</v>
      </c>
      <c r="D275" s="84">
        <f t="shared" ref="D275:N275" si="89">+D271</f>
        <v>1504.1859999999999</v>
      </c>
      <c r="E275" s="84">
        <f t="shared" si="89"/>
        <v>1438.2449999999999</v>
      </c>
      <c r="F275" s="84">
        <f t="shared" si="89"/>
        <v>1486.1859999999999</v>
      </c>
      <c r="G275" s="84">
        <f t="shared" si="89"/>
        <v>1438.2449999999999</v>
      </c>
      <c r="H275" s="84">
        <f t="shared" si="89"/>
        <v>1486.1859999999999</v>
      </c>
      <c r="I275" s="84">
        <f t="shared" si="89"/>
        <v>1486.1859999999999</v>
      </c>
      <c r="J275" s="84">
        <f>J271</f>
        <v>1438.2449999999999</v>
      </c>
      <c r="K275" s="84">
        <f t="shared" si="89"/>
        <v>1486.1859999999999</v>
      </c>
      <c r="L275" s="84">
        <f t="shared" si="89"/>
        <v>1448.7180000000001</v>
      </c>
      <c r="M275" s="84">
        <f t="shared" si="89"/>
        <v>1477.703</v>
      </c>
      <c r="N275" s="90">
        <f t="shared" si="89"/>
        <v>17566.589</v>
      </c>
      <c r="O275" s="51"/>
      <c r="P275" s="51"/>
      <c r="Q275" s="51"/>
      <c r="R275" s="51"/>
      <c r="S275"/>
      <c r="T275"/>
    </row>
    <row r="276" spans="1:28" ht="18" x14ac:dyDescent="0.25">
      <c r="A276" s="101" t="s">
        <v>88</v>
      </c>
      <c r="B276" s="84">
        <f>SUM(B272:B274)</f>
        <v>15.818999999999999</v>
      </c>
      <c r="C276" s="84">
        <f>SUM(C272:C274)</f>
        <v>15.15178</v>
      </c>
      <c r="D276" s="84">
        <f t="shared" ref="D276:N276" si="90">SUM(D272:D274)</f>
        <v>17.927</v>
      </c>
      <c r="E276" s="84">
        <f t="shared" si="90"/>
        <v>12.551</v>
      </c>
      <c r="F276" s="84">
        <f t="shared" si="90"/>
        <v>15.712</v>
      </c>
      <c r="G276" s="84">
        <f t="shared" si="90"/>
        <v>20.696999999999999</v>
      </c>
      <c r="H276" s="84">
        <f t="shared" si="90"/>
        <v>17.91</v>
      </c>
      <c r="I276" s="84">
        <f t="shared" si="90"/>
        <v>18.427</v>
      </c>
      <c r="J276" s="84">
        <f t="shared" si="90"/>
        <v>227.75700000000001</v>
      </c>
      <c r="K276" s="84">
        <f t="shared" si="90"/>
        <v>15.193000000000001</v>
      </c>
      <c r="L276" s="84">
        <f t="shared" si="90"/>
        <v>37.948080000000004</v>
      </c>
      <c r="M276" s="84">
        <f t="shared" si="90"/>
        <v>16.102999999999998</v>
      </c>
      <c r="N276" s="90">
        <f t="shared" si="90"/>
        <v>431.19586000000004</v>
      </c>
      <c r="O276" s="51"/>
      <c r="P276" s="51"/>
      <c r="Q276" s="51"/>
      <c r="R276" s="51"/>
      <c r="S276"/>
      <c r="T276"/>
      <c r="V276" s="57"/>
      <c r="W276" s="57"/>
      <c r="X276" s="57"/>
      <c r="Y276" s="57"/>
      <c r="Z276" s="57"/>
      <c r="AA276" s="57"/>
      <c r="AB276" s="57"/>
    </row>
    <row r="277" spans="1:28" x14ac:dyDescent="0.25">
      <c r="A277" s="109" t="s">
        <v>89</v>
      </c>
      <c r="B277" s="85">
        <f>SUM(B271:B274)</f>
        <v>1502.019</v>
      </c>
      <c r="C277" s="85">
        <f>SUM(C271:C274)</f>
        <v>1405.45478</v>
      </c>
      <c r="D277" s="85">
        <f t="shared" ref="D277:N277" si="91">SUM(D271:D274)</f>
        <v>1522.1129999999998</v>
      </c>
      <c r="E277" s="85">
        <f t="shared" si="91"/>
        <v>1450.7959999999998</v>
      </c>
      <c r="F277" s="85">
        <f t="shared" si="91"/>
        <v>1501.8979999999999</v>
      </c>
      <c r="G277" s="85">
        <f t="shared" si="91"/>
        <v>1458.942</v>
      </c>
      <c r="H277" s="85">
        <f t="shared" si="91"/>
        <v>1504.0959999999998</v>
      </c>
      <c r="I277" s="85">
        <f t="shared" si="91"/>
        <v>1504.6129999999998</v>
      </c>
      <c r="J277" s="85">
        <f t="shared" si="91"/>
        <v>1666.0019999999997</v>
      </c>
      <c r="K277" s="85">
        <f t="shared" si="91"/>
        <v>1501.3789999999999</v>
      </c>
      <c r="L277" s="85">
        <f t="shared" si="91"/>
        <v>1486.66608</v>
      </c>
      <c r="M277" s="85">
        <f t="shared" si="91"/>
        <v>1493.806</v>
      </c>
      <c r="N277" s="90">
        <f t="shared" si="91"/>
        <v>17997.784860000003</v>
      </c>
      <c r="O277" s="53" t="e">
        <f>O216+O249+O267+#REF!</f>
        <v>#REF!</v>
      </c>
      <c r="P277" s="53" t="e">
        <f>P216+P249+P267+#REF!</f>
        <v>#REF!</v>
      </c>
      <c r="Q277" s="53" t="e">
        <f>Q216+Q249+Q267+#REF!</f>
        <v>#REF!</v>
      </c>
      <c r="R277" s="53" t="e">
        <f>R216+R249+R267+#REF!</f>
        <v>#REF!</v>
      </c>
      <c r="S277"/>
      <c r="T277"/>
    </row>
    <row r="278" spans="1:28" ht="18" x14ac:dyDescent="0.25">
      <c r="A278" s="102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66"/>
      <c r="P278" s="66"/>
      <c r="Q278" s="66"/>
      <c r="R278" s="66"/>
      <c r="S278"/>
      <c r="T278"/>
      <c r="V278" s="57"/>
      <c r="W278" s="57"/>
      <c r="X278" s="57"/>
      <c r="Y278" s="57"/>
      <c r="Z278" s="57"/>
      <c r="AA278" s="57"/>
      <c r="AB278" s="57"/>
    </row>
    <row r="279" spans="1:28" x14ac:dyDescent="0.25">
      <c r="A279" s="13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2"/>
      <c r="O279" s="45"/>
      <c r="P279" s="45"/>
      <c r="Q279" s="47">
        <f>N279-O279</f>
        <v>0</v>
      </c>
      <c r="R279" s="45" t="e">
        <f>IF(#REF!=1,SUM(B277:D277),IF(#REF!=2,SUM(E277:G277),IF(#REF!=3,SUM(H277:J277),IF(#REF!=4,SUM(K277:M277),"    WRONG  "))))</f>
        <v>#REF!</v>
      </c>
      <c r="S279"/>
      <c r="T279"/>
    </row>
    <row r="280" spans="1:28" ht="18" x14ac:dyDescent="0.25">
      <c r="A280" s="105" t="s">
        <v>61</v>
      </c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7"/>
      <c r="O280" s="34"/>
      <c r="P280" s="34"/>
      <c r="Q280" s="34"/>
      <c r="R280" s="34"/>
      <c r="S280"/>
      <c r="T280"/>
      <c r="V280" s="57"/>
      <c r="W280" s="57"/>
      <c r="X280" s="57"/>
      <c r="Y280" s="57"/>
      <c r="Z280" s="57"/>
      <c r="AA280" s="57"/>
      <c r="AB280" s="57"/>
    </row>
    <row r="281" spans="1:28" x14ac:dyDescent="0.25">
      <c r="A281" s="106" t="s">
        <v>21</v>
      </c>
      <c r="B281" s="118">
        <f>+B214+B247+B265+B275</f>
        <v>11342.732</v>
      </c>
      <c r="C281" s="118">
        <f>+C214+C247+C265+C275</f>
        <v>10596.040999999999</v>
      </c>
      <c r="D281" s="118">
        <f t="shared" ref="D281:M281" si="92">+D214+D247+D265+D275</f>
        <v>10994.076999999999</v>
      </c>
      <c r="E281" s="118">
        <f t="shared" si="92"/>
        <v>10729.664999999997</v>
      </c>
      <c r="F281" s="118">
        <f t="shared" si="92"/>
        <v>11496.834000000003</v>
      </c>
      <c r="G281" s="118">
        <f t="shared" si="92"/>
        <v>11159.133999999998</v>
      </c>
      <c r="H281" s="118">
        <f t="shared" si="92"/>
        <v>11690.558999999999</v>
      </c>
      <c r="I281" s="118">
        <f t="shared" si="92"/>
        <v>11774.726000000001</v>
      </c>
      <c r="J281" s="118">
        <f t="shared" si="92"/>
        <v>11577.756000000001</v>
      </c>
      <c r="K281" s="118">
        <f t="shared" si="92"/>
        <v>11910.776999999998</v>
      </c>
      <c r="L281" s="118">
        <f t="shared" si="92"/>
        <v>11448.334720000001</v>
      </c>
      <c r="M281" s="118">
        <f t="shared" si="92"/>
        <v>12356.630999999999</v>
      </c>
      <c r="N281" s="88">
        <f t="shared" ref="N281:N286" si="93">SUM(B281:M281)</f>
        <v>137077.26672000001</v>
      </c>
      <c r="O281" s="36" t="e">
        <f>#REF!/O$1</f>
        <v>#REF!</v>
      </c>
      <c r="P281" s="36" t="e">
        <f>#REF!/P$1</f>
        <v>#REF!</v>
      </c>
      <c r="Q281" s="36" t="e">
        <f>#REF!/Q$1</f>
        <v>#REF!</v>
      </c>
      <c r="R281" s="36" t="e">
        <f>#REF!/R$1</f>
        <v>#REF!</v>
      </c>
      <c r="S281"/>
      <c r="T281"/>
    </row>
    <row r="282" spans="1:28" ht="18" x14ac:dyDescent="0.25">
      <c r="A282" s="106" t="s">
        <v>48</v>
      </c>
      <c r="B282" s="118">
        <f>B272+B261+B254+B243+B236+B228+B221+B209+B202+B194+B186</f>
        <v>795.072</v>
      </c>
      <c r="C282" s="118">
        <f>C272+C261+C254+C243+C236+C228+C221+C209+C202+C194+C186</f>
        <v>758.04299999999989</v>
      </c>
      <c r="D282" s="118">
        <f>D272+D261+D254+D243+D236+D228+D221+D209+D202+D194+D186</f>
        <v>815.024</v>
      </c>
      <c r="E282" s="118">
        <f t="shared" ref="E282:M282" si="94">+E186+E194+E202+E209+E221+E228+E236+E243+E254+E261+E272</f>
        <v>686.39099999999996</v>
      </c>
      <c r="F282" s="118">
        <f t="shared" si="94"/>
        <v>753.77199999999993</v>
      </c>
      <c r="G282" s="118">
        <f t="shared" si="94"/>
        <v>728.59400000000005</v>
      </c>
      <c r="H282" s="118">
        <f t="shared" si="94"/>
        <v>768.94700000000012</v>
      </c>
      <c r="I282" s="118">
        <f t="shared" si="94"/>
        <v>796.05799999999999</v>
      </c>
      <c r="J282" s="118">
        <f t="shared" si="94"/>
        <v>767.52300000000002</v>
      </c>
      <c r="K282" s="118">
        <f t="shared" si="94"/>
        <v>783.05399999999997</v>
      </c>
      <c r="L282" s="118">
        <f t="shared" si="94"/>
        <v>763.61642024999981</v>
      </c>
      <c r="M282" s="118">
        <f t="shared" si="94"/>
        <v>941.19</v>
      </c>
      <c r="N282" s="88">
        <f t="shared" si="93"/>
        <v>9357.28442025</v>
      </c>
      <c r="O282" s="36" t="e">
        <f>#REF!/O$1</f>
        <v>#REF!</v>
      </c>
      <c r="P282" s="36" t="e">
        <f>#REF!/P$1</f>
        <v>#REF!</v>
      </c>
      <c r="Q282" s="36" t="e">
        <f>#REF!/Q$1</f>
        <v>#REF!</v>
      </c>
      <c r="R282" s="36" t="e">
        <f>#REF!/R$1</f>
        <v>#REF!</v>
      </c>
      <c r="S282"/>
      <c r="T282"/>
      <c r="V282" s="57"/>
      <c r="W282" s="57"/>
      <c r="X282" s="57"/>
      <c r="Y282" s="57"/>
      <c r="Z282" s="57"/>
      <c r="AA282" s="57"/>
      <c r="AB282" s="57"/>
    </row>
    <row r="283" spans="1:28" x14ac:dyDescent="0.25">
      <c r="A283" s="106" t="s">
        <v>57</v>
      </c>
      <c r="B283" s="118">
        <f>+B187+B195+B203+B210+B222+B229+B237+B244+B255+B262+B273</f>
        <v>9.7269999999999985</v>
      </c>
      <c r="C283" s="118">
        <f>C273+C262+C255+C244+C237+C229+C222+C210+C195+C187</f>
        <v>14.10378</v>
      </c>
      <c r="D283" s="118">
        <f>D273+D262+D255+D244+D237+D229+D222+D210+D195+D187</f>
        <v>13.475999999999999</v>
      </c>
      <c r="E283" s="118">
        <f t="shared" ref="E283:M283" si="95">+E187+E195+E203+E210+E222+E229+E237+E244+E255+E262+E273</f>
        <v>11.761999999999999</v>
      </c>
      <c r="F283" s="118">
        <f t="shared" si="95"/>
        <v>57.84</v>
      </c>
      <c r="G283" s="118">
        <f t="shared" si="95"/>
        <v>117.99300000000001</v>
      </c>
      <c r="H283" s="118">
        <f t="shared" si="95"/>
        <v>125.99199999999999</v>
      </c>
      <c r="I283" s="118">
        <f t="shared" si="95"/>
        <v>134.32499999999999</v>
      </c>
      <c r="J283" s="118">
        <f t="shared" si="95"/>
        <v>128.61099999999999</v>
      </c>
      <c r="K283" s="118">
        <f t="shared" si="95"/>
        <v>137.238</v>
      </c>
      <c r="L283" s="118">
        <f t="shared" si="95"/>
        <v>206.625</v>
      </c>
      <c r="M283" s="118">
        <f t="shared" si="95"/>
        <v>23.080000000000002</v>
      </c>
      <c r="N283" s="88">
        <f t="shared" si="93"/>
        <v>980.77278000000013</v>
      </c>
      <c r="O283" s="36" t="e">
        <f>#REF!/O$1</f>
        <v>#REF!</v>
      </c>
      <c r="P283" s="36" t="e">
        <f>#REF!/P$1</f>
        <v>#REF!</v>
      </c>
      <c r="Q283" s="36" t="e">
        <f>#REF!/Q$1</f>
        <v>#REF!</v>
      </c>
      <c r="R283" s="36" t="e">
        <f>#REF!/R$1</f>
        <v>#REF!</v>
      </c>
      <c r="S283"/>
      <c r="T283"/>
    </row>
    <row r="284" spans="1:28" ht="18" x14ac:dyDescent="0.25">
      <c r="A284" s="106" t="s">
        <v>98</v>
      </c>
      <c r="B284" s="118">
        <f>B230</f>
        <v>35.671999999999997</v>
      </c>
      <c r="C284" s="118">
        <f>C230</f>
        <v>5.6950000000000003</v>
      </c>
      <c r="D284" s="118">
        <f t="shared" ref="D284:M284" si="96">D230</f>
        <v>5.9960000000000004</v>
      </c>
      <c r="E284" s="118">
        <f t="shared" si="96"/>
        <v>12.734</v>
      </c>
      <c r="F284" s="118">
        <f t="shared" si="96"/>
        <v>21.585999999999999</v>
      </c>
      <c r="G284" s="118">
        <f t="shared" si="96"/>
        <v>5.2089999999999996</v>
      </c>
      <c r="H284" s="118">
        <f t="shared" si="96"/>
        <v>10.676</v>
      </c>
      <c r="I284" s="118">
        <f t="shared" si="96"/>
        <v>12.986000000000001</v>
      </c>
      <c r="J284" s="118">
        <f t="shared" si="96"/>
        <v>0.6</v>
      </c>
      <c r="K284" s="118">
        <f t="shared" si="96"/>
        <v>14.532999999999999</v>
      </c>
      <c r="L284" s="118">
        <f t="shared" si="96"/>
        <v>0</v>
      </c>
      <c r="M284" s="118">
        <f t="shared" si="96"/>
        <v>293.00599999999997</v>
      </c>
      <c r="N284" s="88">
        <f t="shared" si="93"/>
        <v>418.69299999999998</v>
      </c>
      <c r="O284" s="36"/>
      <c r="P284" s="36"/>
      <c r="Q284" s="36"/>
      <c r="R284" s="36"/>
      <c r="S284"/>
      <c r="T284"/>
      <c r="V284" s="57"/>
      <c r="W284" s="57"/>
      <c r="X284" s="57"/>
      <c r="Y284" s="57"/>
      <c r="Z284" s="57"/>
      <c r="AA284" s="57"/>
      <c r="AB284" s="57"/>
    </row>
    <row r="285" spans="1:28" x14ac:dyDescent="0.25">
      <c r="A285" s="106" t="s">
        <v>99</v>
      </c>
      <c r="B285" s="118">
        <f>B211</f>
        <v>8</v>
      </c>
      <c r="C285" s="118">
        <f>C211</f>
        <v>7.5510000000000002</v>
      </c>
      <c r="D285" s="118">
        <f>D211+D196</f>
        <v>21.03</v>
      </c>
      <c r="E285" s="118">
        <f t="shared" ref="E285:M285" si="97">E211+E196</f>
        <v>4.5759999999999996</v>
      </c>
      <c r="F285" s="118">
        <f t="shared" si="97"/>
        <v>0</v>
      </c>
      <c r="G285" s="118">
        <f t="shared" si="97"/>
        <v>0</v>
      </c>
      <c r="H285" s="118">
        <f t="shared" si="97"/>
        <v>0</v>
      </c>
      <c r="I285" s="118">
        <f t="shared" si="97"/>
        <v>0</v>
      </c>
      <c r="J285" s="118">
        <f t="shared" si="97"/>
        <v>0</v>
      </c>
      <c r="K285" s="118">
        <f t="shared" si="97"/>
        <v>0</v>
      </c>
      <c r="L285" s="118">
        <f t="shared" si="97"/>
        <v>0</v>
      </c>
      <c r="M285" s="118">
        <f t="shared" si="97"/>
        <v>5.58</v>
      </c>
      <c r="N285" s="88">
        <f t="shared" si="93"/>
        <v>46.737000000000002</v>
      </c>
      <c r="O285" s="36"/>
      <c r="P285" s="36"/>
      <c r="Q285" s="36"/>
      <c r="R285" s="36"/>
      <c r="S285"/>
      <c r="T285"/>
    </row>
    <row r="286" spans="1:28" ht="18" x14ac:dyDescent="0.25">
      <c r="A286" s="110" t="s">
        <v>49</v>
      </c>
      <c r="B286" s="117">
        <f t="shared" ref="B286:M286" si="98">+B188+B197+B204+B212+B223+B231+B238+B245+B256+B263+B274</f>
        <v>155.09399999999999</v>
      </c>
      <c r="C286" s="117">
        <f t="shared" si="98"/>
        <v>56.847000000000001</v>
      </c>
      <c r="D286" s="117">
        <f t="shared" si="98"/>
        <v>103.33499999999999</v>
      </c>
      <c r="E286" s="117">
        <f t="shared" si="98"/>
        <v>103.759</v>
      </c>
      <c r="F286" s="117">
        <f t="shared" si="98"/>
        <v>135.13200000000001</v>
      </c>
      <c r="G286" s="117">
        <f t="shared" si="98"/>
        <v>158.38700000000003</v>
      </c>
      <c r="H286" s="117">
        <f t="shared" si="98"/>
        <v>281.35499999999996</v>
      </c>
      <c r="I286" s="117">
        <f t="shared" si="98"/>
        <v>431.10399999999998</v>
      </c>
      <c r="J286" s="117">
        <f t="shared" si="98"/>
        <v>544.60599999999999</v>
      </c>
      <c r="K286" s="117">
        <f t="shared" si="98"/>
        <v>274.38799999999998</v>
      </c>
      <c r="L286" s="117">
        <f t="shared" si="98"/>
        <v>221.541</v>
      </c>
      <c r="M286" s="117">
        <f t="shared" si="98"/>
        <v>289.09299999999996</v>
      </c>
      <c r="N286" s="89">
        <f t="shared" si="93"/>
        <v>2754.6410000000001</v>
      </c>
      <c r="O286" s="38" t="e">
        <f>#REF!/O$1</f>
        <v>#REF!</v>
      </c>
      <c r="P286" s="38" t="e">
        <f>#REF!/P$1</f>
        <v>#REF!</v>
      </c>
      <c r="Q286" s="38" t="e">
        <f>#REF!/Q$1</f>
        <v>#REF!</v>
      </c>
      <c r="R286" s="38" t="e">
        <f>#REF!/R$1</f>
        <v>#REF!</v>
      </c>
      <c r="S286"/>
      <c r="T286"/>
      <c r="V286" s="57"/>
      <c r="W286" s="57"/>
      <c r="X286" s="57"/>
      <c r="Y286" s="57"/>
      <c r="Z286" s="57"/>
      <c r="AA286" s="57"/>
      <c r="AB286" s="57"/>
    </row>
    <row r="287" spans="1:28" x14ac:dyDescent="0.25">
      <c r="A287" s="101" t="s">
        <v>63</v>
      </c>
      <c r="B287" s="68">
        <f t="shared" ref="B287:N287" si="99">+B281</f>
        <v>11342.732</v>
      </c>
      <c r="C287" s="68">
        <f t="shared" si="99"/>
        <v>10596.040999999999</v>
      </c>
      <c r="D287" s="68">
        <f t="shared" si="99"/>
        <v>10994.076999999999</v>
      </c>
      <c r="E287" s="68">
        <f t="shared" si="99"/>
        <v>10729.664999999997</v>
      </c>
      <c r="F287" s="68">
        <f t="shared" si="99"/>
        <v>11496.834000000003</v>
      </c>
      <c r="G287" s="68">
        <f t="shared" si="99"/>
        <v>11159.133999999998</v>
      </c>
      <c r="H287" s="68">
        <f t="shared" si="99"/>
        <v>11690.558999999999</v>
      </c>
      <c r="I287" s="68">
        <f t="shared" si="99"/>
        <v>11774.726000000001</v>
      </c>
      <c r="J287" s="68">
        <f t="shared" si="99"/>
        <v>11577.756000000001</v>
      </c>
      <c r="K287" s="68">
        <f t="shared" si="99"/>
        <v>11910.776999999998</v>
      </c>
      <c r="L287" s="68">
        <f t="shared" si="99"/>
        <v>11448.334720000001</v>
      </c>
      <c r="M287" s="68">
        <f t="shared" si="99"/>
        <v>12356.630999999999</v>
      </c>
      <c r="N287" s="89">
        <f t="shared" si="99"/>
        <v>137077.26672000001</v>
      </c>
      <c r="O287" s="37" t="e">
        <f>#REF!/O$1</f>
        <v>#REF!</v>
      </c>
      <c r="P287" s="37" t="e">
        <f>#REF!/P$1</f>
        <v>#REF!</v>
      </c>
      <c r="Q287" s="37" t="e">
        <f>#REF!/Q$1</f>
        <v>#REF!</v>
      </c>
      <c r="R287" s="37" t="e">
        <f>#REF!/R$1</f>
        <v>#REF!</v>
      </c>
      <c r="S287"/>
      <c r="T287"/>
    </row>
    <row r="288" spans="1:28" ht="18" x14ac:dyDescent="0.25">
      <c r="A288" s="101" t="s">
        <v>62</v>
      </c>
      <c r="B288" s="68">
        <f t="shared" ref="B288:M288" si="100">SUM(B282:B286)</f>
        <v>1003.5650000000001</v>
      </c>
      <c r="C288" s="68">
        <f t="shared" si="100"/>
        <v>842.23978</v>
      </c>
      <c r="D288" s="68">
        <f t="shared" si="100"/>
        <v>958.86099999999999</v>
      </c>
      <c r="E288" s="68">
        <f t="shared" si="100"/>
        <v>819.22199999999998</v>
      </c>
      <c r="F288" s="68">
        <f t="shared" si="100"/>
        <v>968.32999999999993</v>
      </c>
      <c r="G288" s="68">
        <f t="shared" si="100"/>
        <v>1010.1830000000001</v>
      </c>
      <c r="H288" s="68">
        <f t="shared" si="100"/>
        <v>1186.97</v>
      </c>
      <c r="I288" s="68">
        <f t="shared" si="100"/>
        <v>1374.473</v>
      </c>
      <c r="J288" s="68">
        <f t="shared" si="100"/>
        <v>1441.3400000000001</v>
      </c>
      <c r="K288" s="68">
        <f t="shared" si="100"/>
        <v>1209.213</v>
      </c>
      <c r="L288" s="68">
        <f t="shared" si="100"/>
        <v>1191.7824202499999</v>
      </c>
      <c r="M288" s="68">
        <f t="shared" si="100"/>
        <v>1551.9490000000001</v>
      </c>
      <c r="N288" s="89">
        <f>SUM(N282:N286)</f>
        <v>13558.128200249997</v>
      </c>
      <c r="O288" s="35" t="e">
        <f>#REF!/O$1</f>
        <v>#REF!</v>
      </c>
      <c r="P288" s="35" t="e">
        <f>#REF!/P$1</f>
        <v>#REF!</v>
      </c>
      <c r="Q288" s="35" t="e">
        <f>#REF!/Q$1</f>
        <v>#REF!</v>
      </c>
      <c r="R288" s="35" t="e">
        <f>#REF!/R$1</f>
        <v>#REF!</v>
      </c>
      <c r="S288"/>
      <c r="T288"/>
      <c r="V288" s="57"/>
      <c r="W288" s="57"/>
      <c r="X288" s="57"/>
      <c r="Y288" s="57"/>
      <c r="Z288" s="57"/>
      <c r="AA288" s="57"/>
      <c r="AB288" s="57"/>
    </row>
    <row r="289" spans="1:30" ht="14.4" thickBot="1" x14ac:dyDescent="0.3">
      <c r="A289" s="111" t="s">
        <v>90</v>
      </c>
      <c r="B289" s="71">
        <f>SUM(B287:B288)</f>
        <v>12346.297</v>
      </c>
      <c r="C289" s="71">
        <f>SUM(C287:C288)</f>
        <v>11438.280779999999</v>
      </c>
      <c r="D289" s="71">
        <f t="shared" ref="D289:N289" si="101">SUM(D287:D288)</f>
        <v>11952.938</v>
      </c>
      <c r="E289" s="71">
        <f t="shared" si="101"/>
        <v>11548.886999999997</v>
      </c>
      <c r="F289" s="71">
        <f t="shared" si="101"/>
        <v>12465.164000000002</v>
      </c>
      <c r="G289" s="71">
        <f t="shared" si="101"/>
        <v>12169.316999999999</v>
      </c>
      <c r="H289" s="71">
        <f t="shared" si="101"/>
        <v>12877.528999999999</v>
      </c>
      <c r="I289" s="71">
        <f t="shared" si="101"/>
        <v>13149.199000000001</v>
      </c>
      <c r="J289" s="71">
        <f t="shared" si="101"/>
        <v>13019.096000000001</v>
      </c>
      <c r="K289" s="71">
        <f t="shared" si="101"/>
        <v>13119.989999999998</v>
      </c>
      <c r="L289" s="71">
        <f t="shared" si="101"/>
        <v>12640.11714025</v>
      </c>
      <c r="M289" s="71">
        <f t="shared" si="101"/>
        <v>13908.58</v>
      </c>
      <c r="N289" s="90">
        <f t="shared" si="101"/>
        <v>150635.39492025002</v>
      </c>
      <c r="O289" s="41" t="e">
        <f>O217+#REF!+O266</f>
        <v>#REF!</v>
      </c>
      <c r="P289" s="41" t="e">
        <f>P217+#REF!+P266</f>
        <v>#REF!</v>
      </c>
      <c r="Q289" s="41" t="e">
        <f>Q217+#REF!+Q266</f>
        <v>#REF!</v>
      </c>
      <c r="R289" s="41" t="e">
        <f>R217+#REF!+R265</f>
        <v>#REF!</v>
      </c>
      <c r="S289"/>
      <c r="T289"/>
      <c r="AD289" s="27"/>
    </row>
    <row r="290" spans="1:30" ht="18.600000000000001" thickTop="1" x14ac:dyDescent="0.25">
      <c r="A290" s="102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45"/>
      <c r="P290" s="45"/>
      <c r="Q290" s="47"/>
      <c r="R290" s="45"/>
      <c r="S290"/>
      <c r="T290"/>
      <c r="V290" s="57"/>
      <c r="W290" s="57"/>
      <c r="X290" s="57"/>
      <c r="Y290" s="57"/>
      <c r="Z290" s="57"/>
      <c r="AA290" s="57"/>
      <c r="AB290" s="57"/>
    </row>
    <row r="291" spans="1:30" x14ac:dyDescent="0.25">
      <c r="S291"/>
      <c r="T291"/>
    </row>
    <row r="292" spans="1:30" ht="18" x14ac:dyDescent="0.25">
      <c r="S292"/>
      <c r="T292"/>
      <c r="V292" s="57"/>
      <c r="W292" s="57"/>
      <c r="X292" s="57"/>
      <c r="Y292" s="57"/>
      <c r="Z292" s="57"/>
      <c r="AA292" s="57"/>
      <c r="AB292" s="57"/>
    </row>
    <row r="293" spans="1:30" x14ac:dyDescent="0.25">
      <c r="S293"/>
      <c r="T293"/>
    </row>
    <row r="294" spans="1:30" ht="18" x14ac:dyDescent="0.25">
      <c r="S294"/>
      <c r="T294"/>
      <c r="V294" s="57"/>
      <c r="W294" s="57"/>
      <c r="X294" s="57"/>
      <c r="Y294" s="57"/>
      <c r="Z294" s="57"/>
      <c r="AA294" s="57"/>
      <c r="AB294" s="57"/>
    </row>
    <row r="295" spans="1:30" x14ac:dyDescent="0.25">
      <c r="S295"/>
      <c r="T295"/>
    </row>
    <row r="296" spans="1:30" ht="18" x14ac:dyDescent="0.25">
      <c r="S296"/>
      <c r="T296"/>
      <c r="V296" s="57"/>
      <c r="W296" s="57"/>
      <c r="X296" s="57"/>
      <c r="Y296" s="57"/>
      <c r="Z296" s="57"/>
      <c r="AA296" s="57"/>
      <c r="AB296" s="57"/>
    </row>
    <row r="297" spans="1:30" x14ac:dyDescent="0.25">
      <c r="S297"/>
      <c r="T297"/>
    </row>
    <row r="298" spans="1:30" ht="18" x14ac:dyDescent="0.25">
      <c r="S298"/>
      <c r="T298"/>
      <c r="V298" s="57"/>
      <c r="W298" s="57"/>
      <c r="X298" s="57"/>
      <c r="Y298" s="57"/>
      <c r="Z298" s="57"/>
      <c r="AA298" s="57"/>
      <c r="AB298" s="57"/>
    </row>
    <row r="299" spans="1:30" x14ac:dyDescent="0.25">
      <c r="S299"/>
      <c r="T299"/>
    </row>
    <row r="300" spans="1:30" ht="18" x14ac:dyDescent="0.25">
      <c r="S300"/>
      <c r="T300"/>
      <c r="V300" s="57"/>
      <c r="W300" s="57"/>
      <c r="X300" s="57"/>
      <c r="Y300" s="57"/>
      <c r="Z300" s="57"/>
      <c r="AA300" s="57"/>
      <c r="AB300" s="57"/>
    </row>
    <row r="301" spans="1:30" x14ac:dyDescent="0.25">
      <c r="S301"/>
      <c r="T301"/>
    </row>
    <row r="302" spans="1:30" ht="18" x14ac:dyDescent="0.25">
      <c r="S302"/>
      <c r="T302"/>
      <c r="V302" s="57"/>
      <c r="W302" s="57"/>
      <c r="X302" s="57"/>
      <c r="Y302" s="57"/>
      <c r="Z302" s="57"/>
      <c r="AA302" s="57"/>
      <c r="AB302" s="57"/>
    </row>
    <row r="303" spans="1:30" x14ac:dyDescent="0.25">
      <c r="S303"/>
      <c r="T303"/>
    </row>
    <row r="304" spans="1:30" ht="18" x14ac:dyDescent="0.25">
      <c r="S304"/>
      <c r="T304"/>
      <c r="V304" s="57"/>
      <c r="W304" s="57"/>
      <c r="X304" s="57"/>
      <c r="Y304" s="57"/>
      <c r="Z304" s="57"/>
      <c r="AA304" s="57"/>
      <c r="AB304" s="57"/>
    </row>
    <row r="305" spans="19:28" x14ac:dyDescent="0.25">
      <c r="S305"/>
      <c r="T305"/>
    </row>
    <row r="306" spans="19:28" ht="18" x14ac:dyDescent="0.25">
      <c r="S306"/>
      <c r="T306"/>
      <c r="V306" s="57"/>
      <c r="W306" s="57"/>
      <c r="X306" s="57"/>
      <c r="Y306" s="57"/>
      <c r="Z306" s="57"/>
      <c r="AA306" s="57"/>
      <c r="AB306" s="57"/>
    </row>
    <row r="307" spans="19:28" x14ac:dyDescent="0.25">
      <c r="S307"/>
      <c r="T307"/>
    </row>
    <row r="308" spans="19:28" ht="18" x14ac:dyDescent="0.25">
      <c r="S308"/>
      <c r="T308"/>
      <c r="V308" s="57"/>
      <c r="W308" s="57"/>
      <c r="X308" s="57"/>
      <c r="Y308" s="57"/>
      <c r="Z308" s="57"/>
      <c r="AA308" s="57"/>
      <c r="AB308" s="57"/>
    </row>
    <row r="309" spans="19:28" x14ac:dyDescent="0.25">
      <c r="S309"/>
      <c r="T309"/>
    </row>
    <row r="310" spans="19:28" ht="18" x14ac:dyDescent="0.25">
      <c r="S310"/>
      <c r="T310"/>
      <c r="V310" s="57"/>
      <c r="W310" s="57"/>
      <c r="X310" s="57"/>
      <c r="Y310" s="57"/>
      <c r="Z310" s="57"/>
      <c r="AA310" s="57"/>
      <c r="AB310" s="57"/>
    </row>
    <row r="311" spans="19:28" x14ac:dyDescent="0.25">
      <c r="S311"/>
      <c r="T311"/>
    </row>
    <row r="312" spans="19:28" ht="18" x14ac:dyDescent="0.25">
      <c r="S312"/>
      <c r="T312"/>
      <c r="V312" s="57"/>
      <c r="W312" s="57"/>
      <c r="X312" s="57"/>
      <c r="Y312" s="57"/>
      <c r="Z312" s="57"/>
      <c r="AA312" s="57"/>
      <c r="AB312" s="57"/>
    </row>
    <row r="313" spans="19:28" x14ac:dyDescent="0.25">
      <c r="S313"/>
      <c r="T313"/>
    </row>
    <row r="314" spans="19:28" ht="18" x14ac:dyDescent="0.25">
      <c r="S314"/>
      <c r="T314"/>
      <c r="V314" s="57"/>
      <c r="W314" s="57"/>
      <c r="X314" s="57"/>
      <c r="Y314" s="57"/>
      <c r="Z314" s="57"/>
      <c r="AA314" s="57"/>
      <c r="AB314" s="57"/>
    </row>
    <row r="315" spans="19:28" x14ac:dyDescent="0.25">
      <c r="S315"/>
      <c r="T315"/>
    </row>
    <row r="316" spans="19:28" ht="18" x14ac:dyDescent="0.25">
      <c r="S316"/>
      <c r="T316"/>
      <c r="V316" s="57"/>
      <c r="W316" s="57"/>
      <c r="X316" s="57"/>
      <c r="Y316" s="57"/>
      <c r="Z316" s="57"/>
      <c r="AA316" s="57"/>
      <c r="AB316" s="57"/>
    </row>
    <row r="317" spans="19:28" x14ac:dyDescent="0.25">
      <c r="S317"/>
      <c r="T317"/>
    </row>
    <row r="318" spans="19:28" x14ac:dyDescent="0.25">
      <c r="S318"/>
      <c r="T318"/>
    </row>
    <row r="319" spans="19:28" x14ac:dyDescent="0.25">
      <c r="S319"/>
      <c r="T319"/>
    </row>
  </sheetData>
  <phoneticPr fontId="0" type="noConversion"/>
  <printOptions horizontalCentered="1" headings="1"/>
  <pageMargins left="0.5" right="0.5" top="0.5" bottom="1" header="0.5" footer="0.5"/>
  <pageSetup scale="85" fitToHeight="11" orientation="landscape" horizontalDpi="300" verticalDpi="300" r:id="rId1"/>
  <headerFooter alignWithMargins="0">
    <oddFooter>Page &amp;P of &amp;N</oddFooter>
  </headerFooter>
  <rowBreaks count="12" manualBreakCount="12">
    <brk id="75" max="17" man="1"/>
    <brk id="113" max="17" man="1"/>
    <brk id="180" max="17" man="1"/>
    <brk id="25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PLAN00</vt:lpstr>
      <vt:lpstr>MARGIN_PLAN97_A</vt:lpstr>
      <vt:lpstr>PLAN00!Print_Area</vt:lpstr>
      <vt:lpstr>PLAN00!Print_Titles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Havlíček Jan</cp:lastModifiedBy>
  <cp:lastPrinted>2001-04-17T18:38:11Z</cp:lastPrinted>
  <dcterms:created xsi:type="dcterms:W3CDTF">1999-02-17T17:05:42Z</dcterms:created>
  <dcterms:modified xsi:type="dcterms:W3CDTF">2023-09-10T15:38:08Z</dcterms:modified>
</cp:coreProperties>
</file>