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360" yWindow="96" windowWidth="5280" windowHeight="5388"/>
  </bookViews>
  <sheets>
    <sheet name="Overview" sheetId="5" r:id="rId1"/>
    <sheet name="Graphs" sheetId="4" r:id="rId2"/>
    <sheet name="CPA" sheetId="7" r:id="rId3"/>
    <sheet name="CTA" sheetId="6" r:id="rId4"/>
    <sheet name="DCF" sheetId="3" r:id="rId5"/>
    <sheet name="CPA Companies" sheetId="1" r:id="rId6"/>
    <sheet name="PNV" sheetId="2" r:id="rId7"/>
    <sheet name="9-2001 Value" sheetId="11" r:id="rId8"/>
    <sheet name="12-2000 Value" sheetId="9" r:id="rId9"/>
    <sheet name="3-2001 Value" sheetId="10" r:id="rId10"/>
    <sheet name="2-2001 Value" sheetId="8" r:id="rId11"/>
  </sheets>
  <externalReferences>
    <externalReference r:id="rId12"/>
  </externalReferences>
  <definedNames>
    <definedName name="_xlnm.Print_Area" localSheetId="5">'CPA Companies'!$A$1:$R$238</definedName>
    <definedName name="_xlnm.Print_Area" localSheetId="1">Graphs!$A$1:$K$22</definedName>
    <definedName name="_xlnm.Print_Titles" localSheetId="5">'CPA Companies'!$1:$4</definedName>
    <definedName name="_xlnm.Print_Titles" localSheetId="4">DCF!$1:$3</definedName>
  </definedNames>
  <calcPr calcId="101716" fullCalcOnLoad="1"/>
</workbook>
</file>

<file path=xl/calcChain.xml><?xml version="1.0" encoding="utf-8"?>
<calcChain xmlns="http://schemas.openxmlformats.org/spreadsheetml/2006/main">
  <c r="T29" i="7" l="1"/>
  <c r="N29" i="7"/>
  <c r="O23" i="5"/>
  <c r="M23" i="5"/>
  <c r="K23" i="5"/>
  <c r="I23" i="5"/>
  <c r="G23" i="5"/>
  <c r="O24" i="5"/>
  <c r="M24" i="5"/>
  <c r="K24" i="5"/>
  <c r="I24" i="5"/>
  <c r="G24" i="5"/>
  <c r="O43" i="5"/>
  <c r="M43" i="5"/>
  <c r="K43" i="5"/>
  <c r="I43" i="5"/>
  <c r="G43" i="5"/>
  <c r="O9" i="5"/>
  <c r="M9" i="5"/>
  <c r="K9" i="5"/>
  <c r="I9" i="5"/>
  <c r="G9" i="5"/>
  <c r="O11" i="5"/>
  <c r="M11" i="5"/>
  <c r="K11" i="5"/>
  <c r="I11" i="5"/>
  <c r="G11" i="5"/>
  <c r="E11" i="5"/>
  <c r="O19" i="5"/>
  <c r="O15" i="5"/>
  <c r="M19" i="5"/>
  <c r="M15" i="5"/>
  <c r="K19" i="5"/>
  <c r="K15" i="5"/>
  <c r="I19" i="5"/>
  <c r="I15" i="5"/>
  <c r="G15" i="5"/>
  <c r="O17" i="5"/>
  <c r="M17" i="5"/>
  <c r="K17" i="5"/>
  <c r="I17" i="5"/>
  <c r="G17" i="5"/>
  <c r="E17" i="5"/>
  <c r="G19" i="5"/>
  <c r="E19" i="5"/>
  <c r="C13" i="11"/>
  <c r="F13" i="11"/>
  <c r="F16" i="11"/>
  <c r="F17" i="11"/>
  <c r="F18" i="11"/>
  <c r="F19" i="11"/>
  <c r="C22" i="11"/>
  <c r="C24" i="11"/>
  <c r="C25" i="11"/>
  <c r="C26" i="11"/>
  <c r="F20" i="11"/>
  <c r="F22" i="11"/>
  <c r="F24" i="11"/>
  <c r="F25" i="11"/>
  <c r="F26" i="11"/>
  <c r="G25" i="11"/>
  <c r="D25" i="11"/>
  <c r="G24" i="11"/>
  <c r="D24" i="11"/>
  <c r="G23" i="11"/>
  <c r="D23" i="11"/>
  <c r="G22" i="11"/>
  <c r="D22" i="11"/>
  <c r="G21" i="11"/>
  <c r="D21" i="11"/>
  <c r="G20" i="11"/>
  <c r="D20" i="11"/>
  <c r="G19" i="11"/>
  <c r="D19" i="11"/>
  <c r="G18" i="11"/>
  <c r="D18" i="11"/>
  <c r="G17" i="11"/>
  <c r="D17" i="11"/>
  <c r="G16" i="11"/>
  <c r="D16" i="11"/>
  <c r="H18" i="3"/>
  <c r="H30" i="3"/>
  <c r="H36" i="3"/>
  <c r="J30" i="3"/>
  <c r="J36" i="3"/>
  <c r="L30" i="3"/>
  <c r="L36" i="3"/>
  <c r="N30" i="3"/>
  <c r="N36" i="3"/>
  <c r="P30" i="3"/>
  <c r="P36" i="3"/>
  <c r="R36" i="3"/>
  <c r="F44" i="3"/>
  <c r="E36" i="5"/>
  <c r="F48" i="3"/>
  <c r="E38" i="5"/>
  <c r="C6" i="11"/>
  <c r="Y32" i="4"/>
  <c r="X32" i="4"/>
  <c r="W32" i="4"/>
  <c r="V32" i="4"/>
  <c r="U32" i="4"/>
  <c r="T32" i="4"/>
  <c r="S32" i="4"/>
  <c r="R32" i="4"/>
  <c r="Q32" i="4"/>
  <c r="P32" i="4"/>
  <c r="O32" i="4"/>
  <c r="N32" i="4"/>
  <c r="M32" i="4"/>
  <c r="L32" i="4"/>
  <c r="K32" i="4"/>
  <c r="J32" i="4"/>
  <c r="I32" i="4"/>
  <c r="H32" i="4"/>
  <c r="G32" i="4"/>
  <c r="F32" i="4"/>
  <c r="E32" i="4"/>
  <c r="D32" i="4"/>
  <c r="Y29" i="4"/>
  <c r="Y25" i="4"/>
  <c r="Y30" i="4"/>
  <c r="X29" i="4"/>
  <c r="X25" i="4"/>
  <c r="X30" i="4"/>
  <c r="W29" i="4"/>
  <c r="W25" i="4"/>
  <c r="W30" i="4"/>
  <c r="V29" i="4"/>
  <c r="V25" i="4"/>
  <c r="V30" i="4"/>
  <c r="U29" i="4"/>
  <c r="U25" i="4"/>
  <c r="U30" i="4"/>
  <c r="T29" i="4"/>
  <c r="T25" i="4"/>
  <c r="T30" i="4"/>
  <c r="S29" i="4"/>
  <c r="S25" i="4"/>
  <c r="S30" i="4"/>
  <c r="R29" i="4"/>
  <c r="R25" i="4"/>
  <c r="R30" i="4"/>
  <c r="Q29" i="4"/>
  <c r="Q25" i="4"/>
  <c r="Q30" i="4"/>
  <c r="P29" i="4"/>
  <c r="P25" i="4"/>
  <c r="P30" i="4"/>
  <c r="O29" i="4"/>
  <c r="O25" i="4"/>
  <c r="O30" i="4"/>
  <c r="N29" i="4"/>
  <c r="N25" i="4"/>
  <c r="N30" i="4"/>
  <c r="M29" i="4"/>
  <c r="M25" i="4"/>
  <c r="M30" i="4"/>
  <c r="L29" i="4"/>
  <c r="L25" i="4"/>
  <c r="L30" i="4"/>
  <c r="K29" i="4"/>
  <c r="K25" i="4"/>
  <c r="K30" i="4"/>
  <c r="J29" i="4"/>
  <c r="J30" i="4"/>
  <c r="I29" i="4"/>
  <c r="I25" i="4"/>
  <c r="I30" i="4"/>
  <c r="H29" i="4"/>
  <c r="H30" i="4"/>
  <c r="G29" i="4"/>
  <c r="G30" i="4"/>
  <c r="F29" i="4"/>
  <c r="F30" i="4"/>
  <c r="E30" i="4"/>
  <c r="D30" i="4"/>
  <c r="E29" i="4"/>
  <c r="D29" i="4"/>
  <c r="Y27" i="4"/>
  <c r="Y26" i="4"/>
  <c r="X27" i="4"/>
  <c r="X26" i="4"/>
  <c r="W27" i="4"/>
  <c r="W26" i="4"/>
  <c r="V27" i="4"/>
  <c r="V26" i="4"/>
  <c r="U27" i="4"/>
  <c r="U26" i="4"/>
  <c r="T27" i="4"/>
  <c r="T26" i="4"/>
  <c r="S27" i="4"/>
  <c r="S26" i="4"/>
  <c r="R27" i="4"/>
  <c r="R26" i="4"/>
  <c r="Q27" i="4"/>
  <c r="Q26" i="4"/>
  <c r="P27" i="4"/>
  <c r="P26" i="4"/>
  <c r="O27" i="4"/>
  <c r="O26" i="4"/>
  <c r="N27" i="4"/>
  <c r="M27" i="4"/>
  <c r="L27" i="4"/>
  <c r="K27" i="4"/>
  <c r="N26" i="4"/>
  <c r="M26" i="4"/>
  <c r="L26" i="4"/>
  <c r="K26" i="4"/>
  <c r="J26" i="4"/>
  <c r="J27" i="4"/>
  <c r="I22" i="4"/>
  <c r="I26" i="4"/>
  <c r="I27" i="4"/>
  <c r="H22" i="4"/>
  <c r="H26" i="4"/>
  <c r="H23" i="4"/>
  <c r="H27" i="4"/>
  <c r="J25" i="4"/>
  <c r="H25" i="4"/>
  <c r="G25" i="4"/>
  <c r="F25" i="4"/>
  <c r="E25" i="4"/>
  <c r="D25" i="4"/>
  <c r="Y23" i="4"/>
  <c r="X23" i="4"/>
  <c r="W23" i="4"/>
  <c r="V23" i="4"/>
  <c r="U23" i="4"/>
  <c r="T23" i="4"/>
  <c r="S23" i="4"/>
  <c r="R23" i="4"/>
  <c r="Q23" i="4"/>
  <c r="P23" i="4"/>
  <c r="O23" i="4"/>
  <c r="N23" i="4"/>
  <c r="M23" i="4"/>
  <c r="L23" i="4"/>
  <c r="K23" i="4"/>
  <c r="J23" i="4"/>
  <c r="I23" i="4"/>
  <c r="G23" i="4"/>
  <c r="F23" i="4"/>
  <c r="E23" i="4"/>
  <c r="D23" i="4"/>
  <c r="Y22" i="4"/>
  <c r="X22" i="4"/>
  <c r="W22" i="4"/>
  <c r="V22" i="4"/>
  <c r="U22" i="4"/>
  <c r="T22" i="4"/>
  <c r="S22" i="4"/>
  <c r="R22" i="4"/>
  <c r="Q22" i="4"/>
  <c r="P22" i="4"/>
  <c r="O22" i="4"/>
  <c r="N22" i="4"/>
  <c r="M22" i="4"/>
  <c r="L22" i="4"/>
  <c r="K22" i="4"/>
  <c r="J22" i="4"/>
  <c r="G22" i="4"/>
  <c r="F22" i="4"/>
  <c r="E22" i="4"/>
  <c r="D22" i="4"/>
  <c r="E15" i="5"/>
  <c r="O12" i="5"/>
  <c r="M12" i="5"/>
  <c r="K12" i="5"/>
  <c r="I12" i="5"/>
  <c r="G12" i="5"/>
  <c r="O6" i="5"/>
  <c r="M6" i="5"/>
  <c r="K6" i="5"/>
  <c r="I6" i="5"/>
  <c r="G6" i="5"/>
  <c r="P27" i="3"/>
  <c r="N27" i="3"/>
  <c r="L27" i="3"/>
  <c r="J27" i="3"/>
  <c r="H27" i="3"/>
  <c r="P24" i="3"/>
  <c r="N24" i="3"/>
  <c r="L24" i="3"/>
  <c r="J24" i="3"/>
  <c r="H24" i="3"/>
  <c r="F24" i="3"/>
  <c r="P21" i="3"/>
  <c r="N21" i="3"/>
  <c r="L21" i="3"/>
  <c r="J21" i="3"/>
  <c r="H21" i="3"/>
  <c r="F21" i="3"/>
  <c r="P18" i="3"/>
  <c r="N18" i="3"/>
  <c r="L18" i="3"/>
  <c r="J18" i="3"/>
  <c r="F223" i="1"/>
  <c r="G223" i="1"/>
  <c r="G217" i="1"/>
  <c r="F217" i="1"/>
  <c r="E217" i="1"/>
  <c r="D106" i="1"/>
  <c r="C13" i="9"/>
  <c r="C22" i="9"/>
  <c r="C24" i="9"/>
  <c r="C25" i="9"/>
  <c r="C26" i="9"/>
  <c r="F19" i="9"/>
  <c r="F13" i="9"/>
  <c r="F16" i="9"/>
  <c r="F17" i="9"/>
  <c r="F18" i="9"/>
  <c r="F22" i="9"/>
  <c r="F24" i="9"/>
  <c r="F25" i="9"/>
  <c r="F26" i="9"/>
  <c r="G25" i="9"/>
  <c r="D25" i="9"/>
  <c r="G24" i="9"/>
  <c r="D24" i="9"/>
  <c r="G23" i="9"/>
  <c r="D23" i="9"/>
  <c r="G22" i="9"/>
  <c r="D22" i="9"/>
  <c r="G21" i="9"/>
  <c r="D21" i="9"/>
  <c r="G20" i="9"/>
  <c r="D20" i="9"/>
  <c r="G19" i="9"/>
  <c r="D19" i="9"/>
  <c r="G18" i="9"/>
  <c r="D18" i="9"/>
  <c r="G17" i="9"/>
  <c r="D17" i="9"/>
  <c r="G16" i="9"/>
  <c r="D16" i="9"/>
  <c r="C24" i="8"/>
  <c r="C13" i="8"/>
  <c r="C22" i="8"/>
  <c r="C25" i="8"/>
  <c r="C26" i="8"/>
  <c r="F20" i="8"/>
  <c r="F18" i="8"/>
  <c r="F17" i="8"/>
  <c r="F16" i="8"/>
  <c r="F19" i="8"/>
  <c r="F24" i="8"/>
  <c r="F22" i="8"/>
  <c r="F25" i="8"/>
  <c r="G23" i="8"/>
  <c r="D23" i="8"/>
  <c r="G25" i="8"/>
  <c r="G24" i="8"/>
  <c r="G22" i="8"/>
  <c r="G21" i="8"/>
  <c r="G20" i="8"/>
  <c r="G19" i="8"/>
  <c r="G18" i="8"/>
  <c r="G17" i="8"/>
  <c r="G16" i="8"/>
  <c r="F13" i="8"/>
  <c r="F26" i="8"/>
  <c r="D21" i="8"/>
  <c r="D20" i="8"/>
  <c r="D19" i="8"/>
  <c r="D18" i="8"/>
  <c r="D17" i="8"/>
  <c r="D16" i="8"/>
  <c r="D22" i="8"/>
  <c r="D24" i="8"/>
  <c r="D25" i="8"/>
  <c r="C6" i="8"/>
  <c r="C9" i="10"/>
  <c r="C13" i="10"/>
  <c r="F13" i="10"/>
  <c r="F16" i="10"/>
  <c r="F17" i="10"/>
  <c r="F18" i="10"/>
  <c r="F19" i="10"/>
  <c r="C22" i="10"/>
  <c r="C24" i="10"/>
  <c r="C25" i="10"/>
  <c r="C26" i="10"/>
  <c r="F20" i="10"/>
  <c r="F22" i="10"/>
  <c r="F24" i="10"/>
  <c r="F25" i="10"/>
  <c r="F26" i="10"/>
  <c r="G25" i="10"/>
  <c r="D25" i="10"/>
  <c r="G24" i="10"/>
  <c r="D24" i="10"/>
  <c r="G23" i="10"/>
  <c r="D23" i="10"/>
  <c r="G22" i="10"/>
  <c r="D22" i="10"/>
  <c r="G21" i="10"/>
  <c r="D21" i="10"/>
  <c r="G20" i="10"/>
  <c r="D20" i="10"/>
  <c r="G19" i="10"/>
  <c r="D19" i="10"/>
  <c r="G18" i="10"/>
  <c r="D18" i="10"/>
  <c r="G17" i="10"/>
  <c r="D17" i="10"/>
  <c r="G16" i="10"/>
  <c r="D16" i="10"/>
  <c r="C6" i="10"/>
  <c r="C219" i="1"/>
  <c r="D219" i="1"/>
  <c r="E220" i="1"/>
  <c r="E221" i="1"/>
  <c r="E222" i="1"/>
  <c r="E219" i="1"/>
  <c r="H219" i="1"/>
  <c r="D220" i="1"/>
  <c r="H220" i="1"/>
  <c r="D221" i="1"/>
  <c r="H221" i="1"/>
  <c r="D222" i="1"/>
  <c r="H222" i="1"/>
  <c r="Q19" i="7"/>
  <c r="D217" i="1"/>
  <c r="E218" i="1"/>
  <c r="H217" i="1"/>
  <c r="D218" i="1"/>
  <c r="H218" i="1"/>
  <c r="P19" i="7"/>
  <c r="G218" i="1"/>
  <c r="G220" i="1"/>
  <c r="G221" i="1"/>
  <c r="G222" i="1"/>
  <c r="G219" i="1"/>
  <c r="J217" i="1"/>
  <c r="J218" i="1"/>
  <c r="J219" i="1"/>
  <c r="J220" i="1"/>
  <c r="L19" i="7"/>
  <c r="J221" i="1"/>
  <c r="J222" i="1"/>
  <c r="M19" i="7"/>
  <c r="C141" i="1"/>
  <c r="C140" i="1"/>
  <c r="C139" i="1"/>
  <c r="D139" i="1"/>
  <c r="J22" i="7"/>
  <c r="C27" i="1"/>
  <c r="C26" i="1"/>
  <c r="C25" i="1"/>
  <c r="D25" i="1"/>
  <c r="E30" i="1"/>
  <c r="E28" i="1"/>
  <c r="E27" i="1"/>
  <c r="E26" i="1"/>
  <c r="E25" i="1"/>
  <c r="H25" i="1"/>
  <c r="D26" i="1"/>
  <c r="H26" i="1"/>
  <c r="D27" i="1"/>
  <c r="H27" i="1"/>
  <c r="D28" i="1"/>
  <c r="H28" i="1"/>
  <c r="R14" i="7"/>
  <c r="C46" i="1"/>
  <c r="C45" i="1"/>
  <c r="C44" i="1"/>
  <c r="D44" i="1"/>
  <c r="E49" i="1"/>
  <c r="E47" i="1"/>
  <c r="E46" i="1"/>
  <c r="E45" i="1"/>
  <c r="E44" i="1"/>
  <c r="H44" i="1"/>
  <c r="D45" i="1"/>
  <c r="H45" i="1"/>
  <c r="D46" i="1"/>
  <c r="H46" i="1"/>
  <c r="D47" i="1"/>
  <c r="H47" i="1"/>
  <c r="R15" i="7"/>
  <c r="C122" i="1"/>
  <c r="C121" i="1"/>
  <c r="C120" i="1"/>
  <c r="D120" i="1"/>
  <c r="E124" i="1"/>
  <c r="E125" i="1"/>
  <c r="E123" i="1"/>
  <c r="E122" i="1"/>
  <c r="E121" i="1"/>
  <c r="E120" i="1"/>
  <c r="H120" i="1"/>
  <c r="D121" i="1"/>
  <c r="H121" i="1"/>
  <c r="D122" i="1"/>
  <c r="H122" i="1"/>
  <c r="D123" i="1"/>
  <c r="H123" i="1"/>
  <c r="R16" i="7"/>
  <c r="D63" i="1"/>
  <c r="E69" i="1"/>
  <c r="E70" i="1"/>
  <c r="E71" i="1"/>
  <c r="E68" i="1"/>
  <c r="E67" i="1"/>
  <c r="E66" i="1"/>
  <c r="E65" i="1"/>
  <c r="E64" i="1"/>
  <c r="E63" i="1"/>
  <c r="H63" i="1"/>
  <c r="D64" i="1"/>
  <c r="H64" i="1"/>
  <c r="D65" i="1"/>
  <c r="H65" i="1"/>
  <c r="D66" i="1"/>
  <c r="H66" i="1"/>
  <c r="R18" i="7"/>
  <c r="C84" i="1"/>
  <c r="C83" i="1"/>
  <c r="C82" i="1"/>
  <c r="D82" i="1"/>
  <c r="E87" i="1"/>
  <c r="E88" i="1"/>
  <c r="E89" i="1"/>
  <c r="E91" i="1"/>
  <c r="E92" i="1"/>
  <c r="E93" i="1"/>
  <c r="E90" i="1"/>
  <c r="E86" i="1"/>
  <c r="E84" i="1"/>
  <c r="E83" i="1"/>
  <c r="E82" i="1"/>
  <c r="H82" i="1"/>
  <c r="D83" i="1"/>
  <c r="H83" i="1"/>
  <c r="D84" i="1"/>
  <c r="H84" i="1"/>
  <c r="D85" i="1"/>
  <c r="H85" i="1"/>
  <c r="R20" i="7"/>
  <c r="C103" i="1"/>
  <c r="C102" i="1"/>
  <c r="C101" i="1"/>
  <c r="D101" i="1"/>
  <c r="E106" i="1"/>
  <c r="E107" i="1"/>
  <c r="E105" i="1"/>
  <c r="E104" i="1"/>
  <c r="E103" i="1"/>
  <c r="E102" i="1"/>
  <c r="E101" i="1"/>
  <c r="H101" i="1"/>
  <c r="D102" i="1"/>
  <c r="H102" i="1"/>
  <c r="D103" i="1"/>
  <c r="H103" i="1"/>
  <c r="B104" i="1"/>
  <c r="D104" i="1"/>
  <c r="H104" i="1"/>
  <c r="R21" i="7"/>
  <c r="E143" i="1"/>
  <c r="E144" i="1"/>
  <c r="E142" i="1"/>
  <c r="E141" i="1"/>
  <c r="E140" i="1"/>
  <c r="E139" i="1"/>
  <c r="H139" i="1"/>
  <c r="D140" i="1"/>
  <c r="H140" i="1"/>
  <c r="D141" i="1"/>
  <c r="H141" i="1"/>
  <c r="D142" i="1"/>
  <c r="H142" i="1"/>
  <c r="R22" i="7"/>
  <c r="G30" i="1"/>
  <c r="G31" i="1"/>
  <c r="G32" i="1"/>
  <c r="G28" i="1"/>
  <c r="G27" i="1"/>
  <c r="G26" i="1"/>
  <c r="G25" i="1"/>
  <c r="J25" i="1"/>
  <c r="J26" i="1"/>
  <c r="J27" i="1"/>
  <c r="J28" i="1"/>
  <c r="N14" i="7"/>
  <c r="G49" i="1"/>
  <c r="G47" i="1"/>
  <c r="G46" i="1"/>
  <c r="G45" i="1"/>
  <c r="G44" i="1"/>
  <c r="J44" i="1"/>
  <c r="J45" i="1"/>
  <c r="J46" i="1"/>
  <c r="J47" i="1"/>
  <c r="N15" i="7"/>
  <c r="G124" i="1"/>
  <c r="G125" i="1"/>
  <c r="G123" i="1"/>
  <c r="G122" i="1"/>
  <c r="G121" i="1"/>
  <c r="G120" i="1"/>
  <c r="J120" i="1"/>
  <c r="J121" i="1"/>
  <c r="J122" i="1"/>
  <c r="J123" i="1"/>
  <c r="N16" i="7"/>
  <c r="G84" i="1"/>
  <c r="G83" i="1"/>
  <c r="G82" i="1"/>
  <c r="J82" i="1"/>
  <c r="J83" i="1"/>
  <c r="J84" i="1"/>
  <c r="J85" i="1"/>
  <c r="N20" i="7"/>
  <c r="G143" i="1"/>
  <c r="G144" i="1"/>
  <c r="G145" i="1"/>
  <c r="G142" i="1"/>
  <c r="G141" i="1"/>
  <c r="G140" i="1"/>
  <c r="G139" i="1"/>
  <c r="J139" i="1"/>
  <c r="J140" i="1"/>
  <c r="J141" i="1"/>
  <c r="J142" i="1"/>
  <c r="N22" i="7"/>
  <c r="J14" i="7"/>
  <c r="J15" i="7"/>
  <c r="J16" i="7"/>
  <c r="J18" i="7"/>
  <c r="D9" i="1"/>
  <c r="J13" i="7"/>
  <c r="J27" i="7"/>
  <c r="J26" i="7"/>
  <c r="J25" i="7"/>
  <c r="J24" i="7"/>
  <c r="J20" i="7"/>
  <c r="F30" i="1"/>
  <c r="F31" i="1"/>
  <c r="F32" i="1"/>
  <c r="F28" i="1"/>
  <c r="F27" i="1"/>
  <c r="F26" i="1"/>
  <c r="F25" i="1"/>
  <c r="I25" i="1"/>
  <c r="I26" i="1"/>
  <c r="I27" i="1"/>
  <c r="I28" i="1"/>
  <c r="T14" i="7"/>
  <c r="D48" i="1"/>
  <c r="I48" i="1"/>
  <c r="D49" i="1"/>
  <c r="F49" i="1"/>
  <c r="I49" i="1"/>
  <c r="C50" i="1"/>
  <c r="D50" i="1"/>
  <c r="F50" i="1"/>
  <c r="I50" i="1"/>
  <c r="D51" i="1"/>
  <c r="F51" i="1"/>
  <c r="I51" i="1"/>
  <c r="T15" i="7"/>
  <c r="F124" i="1"/>
  <c r="C124" i="1"/>
  <c r="D124" i="1"/>
  <c r="I124" i="1"/>
  <c r="F125" i="1"/>
  <c r="C125" i="1"/>
  <c r="D125" i="1"/>
  <c r="I125" i="1"/>
  <c r="F126" i="1"/>
  <c r="G126" i="1"/>
  <c r="C126" i="1"/>
  <c r="D126" i="1"/>
  <c r="I126" i="1"/>
  <c r="F127" i="1"/>
  <c r="G127" i="1"/>
  <c r="C127" i="1"/>
  <c r="D127" i="1"/>
  <c r="I127" i="1"/>
  <c r="T16" i="7"/>
  <c r="C52" i="1"/>
  <c r="D52" i="1"/>
  <c r="F53" i="1"/>
  <c r="F54" i="1"/>
  <c r="F52" i="1"/>
  <c r="I52" i="1"/>
  <c r="T18" i="7"/>
  <c r="F87" i="1"/>
  <c r="F86" i="1"/>
  <c r="D86" i="1"/>
  <c r="I86" i="1"/>
  <c r="D87" i="1"/>
  <c r="I87" i="1"/>
  <c r="F88" i="1"/>
  <c r="D88" i="1"/>
  <c r="I88" i="1"/>
  <c r="F89" i="1"/>
  <c r="D89" i="1"/>
  <c r="I89" i="1"/>
  <c r="T20" i="7"/>
  <c r="F143" i="1"/>
  <c r="D143" i="1"/>
  <c r="I143" i="1"/>
  <c r="F144" i="1"/>
  <c r="D144" i="1"/>
  <c r="I144" i="1"/>
  <c r="F145" i="1"/>
  <c r="D145" i="1"/>
  <c r="I145" i="1"/>
  <c r="F146" i="1"/>
  <c r="D146" i="1"/>
  <c r="I146" i="1"/>
  <c r="T22" i="7"/>
  <c r="F10" i="1"/>
  <c r="I10" i="1"/>
  <c r="F11" i="1"/>
  <c r="C11" i="1"/>
  <c r="D11" i="1"/>
  <c r="I11" i="1"/>
  <c r="F12" i="1"/>
  <c r="D12" i="1"/>
  <c r="I12" i="1"/>
  <c r="F13" i="1"/>
  <c r="D13" i="1"/>
  <c r="I13" i="1"/>
  <c r="T13" i="7"/>
  <c r="J21" i="7"/>
  <c r="D29" i="1"/>
  <c r="H29" i="1"/>
  <c r="D30" i="1"/>
  <c r="H30" i="1"/>
  <c r="D31" i="1"/>
  <c r="E31" i="1"/>
  <c r="H31" i="1"/>
  <c r="C32" i="1"/>
  <c r="D32" i="1"/>
  <c r="E32" i="1"/>
  <c r="H32" i="1"/>
  <c r="Q14" i="7"/>
  <c r="H48" i="1"/>
  <c r="H49" i="1"/>
  <c r="E50" i="1"/>
  <c r="H50" i="1"/>
  <c r="E51" i="1"/>
  <c r="H51" i="1"/>
  <c r="Q15" i="7"/>
  <c r="H124" i="1"/>
  <c r="H125" i="1"/>
  <c r="E126" i="1"/>
  <c r="H126" i="1"/>
  <c r="E127" i="1"/>
  <c r="H127" i="1"/>
  <c r="Q16" i="7"/>
  <c r="D67" i="1"/>
  <c r="H67" i="1"/>
  <c r="D68" i="1"/>
  <c r="H68" i="1"/>
  <c r="D69" i="1"/>
  <c r="H69" i="1"/>
  <c r="C70" i="1"/>
  <c r="D70" i="1"/>
  <c r="H70" i="1"/>
  <c r="Q18" i="7"/>
  <c r="H86" i="1"/>
  <c r="H87" i="1"/>
  <c r="H88" i="1"/>
  <c r="H89" i="1"/>
  <c r="Q20" i="7"/>
  <c r="D105" i="1"/>
  <c r="H105" i="1"/>
  <c r="H106" i="1"/>
  <c r="D107" i="1"/>
  <c r="H107" i="1"/>
  <c r="D108" i="1"/>
  <c r="E108" i="1"/>
  <c r="H108" i="1"/>
  <c r="Q21" i="7"/>
  <c r="H143" i="1"/>
  <c r="H144" i="1"/>
  <c r="E145" i="1"/>
  <c r="H145" i="1"/>
  <c r="E146" i="1"/>
  <c r="H146" i="1"/>
  <c r="Q22" i="7"/>
  <c r="D10" i="1"/>
  <c r="E10" i="1"/>
  <c r="H10" i="1"/>
  <c r="E11" i="1"/>
  <c r="H11" i="1"/>
  <c r="E12" i="1"/>
  <c r="H12" i="1"/>
  <c r="E13" i="1"/>
  <c r="H13" i="1"/>
  <c r="Q13" i="7"/>
  <c r="Q26" i="7"/>
  <c r="J29" i="1"/>
  <c r="J30" i="1"/>
  <c r="J31" i="1"/>
  <c r="J32" i="1"/>
  <c r="M14" i="7"/>
  <c r="J48" i="1"/>
  <c r="J49" i="1"/>
  <c r="G50" i="1"/>
  <c r="J50" i="1"/>
  <c r="G51" i="1"/>
  <c r="J51" i="1"/>
  <c r="M15" i="7"/>
  <c r="J124" i="1"/>
  <c r="J125" i="1"/>
  <c r="J126" i="1"/>
  <c r="J127" i="1"/>
  <c r="M16" i="7"/>
  <c r="G87" i="1"/>
  <c r="G86" i="1"/>
  <c r="J86" i="1"/>
  <c r="J87" i="1"/>
  <c r="G88" i="1"/>
  <c r="J88" i="1"/>
  <c r="G89" i="1"/>
  <c r="J89" i="1"/>
  <c r="M20" i="7"/>
  <c r="J143" i="1"/>
  <c r="J144" i="1"/>
  <c r="J145" i="1"/>
  <c r="G146" i="1"/>
  <c r="J146" i="1"/>
  <c r="M22" i="7"/>
  <c r="G10" i="1"/>
  <c r="J10" i="1"/>
  <c r="G11" i="1"/>
  <c r="J11" i="1"/>
  <c r="G12" i="1"/>
  <c r="J12" i="1"/>
  <c r="G13" i="1"/>
  <c r="J13" i="1"/>
  <c r="M13" i="7"/>
  <c r="M26" i="7"/>
  <c r="L14" i="7"/>
  <c r="L15" i="7"/>
  <c r="L16" i="7"/>
  <c r="L20" i="7"/>
  <c r="L22" i="7"/>
  <c r="L13" i="7"/>
  <c r="L24" i="7"/>
  <c r="M27" i="7"/>
  <c r="L27" i="7"/>
  <c r="L26" i="7"/>
  <c r="M25" i="7"/>
  <c r="L25" i="7"/>
  <c r="M24" i="7"/>
  <c r="P14" i="7"/>
  <c r="P15" i="7"/>
  <c r="P16" i="7"/>
  <c r="P18" i="7"/>
  <c r="P20" i="7"/>
  <c r="P21" i="7"/>
  <c r="P22" i="7"/>
  <c r="P13" i="7"/>
  <c r="P24" i="7"/>
  <c r="Q24" i="7"/>
  <c r="P25" i="7"/>
  <c r="Q25" i="7"/>
  <c r="P26" i="7"/>
  <c r="P27" i="7"/>
  <c r="Q27" i="7"/>
  <c r="D6" i="1"/>
  <c r="E9" i="1"/>
  <c r="E8" i="1"/>
  <c r="E7" i="1"/>
  <c r="E6" i="1"/>
  <c r="H6" i="1"/>
  <c r="D7" i="1"/>
  <c r="H7" i="1"/>
  <c r="D8" i="1"/>
  <c r="H8" i="1"/>
  <c r="H9" i="1"/>
  <c r="R13" i="7"/>
  <c r="G9" i="1"/>
  <c r="G8" i="1"/>
  <c r="G7" i="1"/>
  <c r="G6" i="1"/>
  <c r="J6" i="1"/>
  <c r="J7" i="1"/>
  <c r="J8" i="1"/>
  <c r="J9" i="1"/>
  <c r="N13" i="7"/>
  <c r="G216" i="1"/>
  <c r="G215" i="1"/>
  <c r="C216" i="1"/>
  <c r="C215" i="1"/>
  <c r="D215" i="1"/>
  <c r="J215" i="1"/>
  <c r="D216" i="1"/>
  <c r="J216" i="1"/>
  <c r="N19" i="7"/>
  <c r="N24" i="7"/>
  <c r="N25" i="7"/>
  <c r="N26" i="7"/>
  <c r="N27" i="7"/>
  <c r="E216" i="1"/>
  <c r="E215" i="1"/>
  <c r="H215" i="1"/>
  <c r="H216" i="1"/>
  <c r="R19" i="7"/>
  <c r="R27" i="7"/>
  <c r="R26" i="7"/>
  <c r="R25" i="7"/>
  <c r="R24" i="7"/>
  <c r="J19" i="7"/>
  <c r="F218" i="1"/>
  <c r="F220" i="1"/>
  <c r="F221" i="1"/>
  <c r="F222" i="1"/>
  <c r="F219" i="1"/>
  <c r="I217" i="1"/>
  <c r="I218" i="1"/>
  <c r="I219" i="1"/>
  <c r="I220" i="1"/>
  <c r="T19" i="7"/>
  <c r="T26" i="7"/>
  <c r="T24" i="7"/>
  <c r="T25" i="7"/>
  <c r="T27" i="7"/>
  <c r="F9" i="1"/>
  <c r="F8" i="1"/>
  <c r="F7" i="1"/>
  <c r="F6" i="1"/>
  <c r="F228" i="1"/>
  <c r="C223" i="1"/>
  <c r="C227" i="1"/>
  <c r="G229" i="1"/>
  <c r="F229" i="1"/>
  <c r="E229" i="1"/>
  <c r="G230" i="1"/>
  <c r="F230" i="1"/>
  <c r="E230" i="1"/>
  <c r="G228" i="1"/>
  <c r="E228" i="1"/>
  <c r="G226" i="1"/>
  <c r="F226" i="1"/>
  <c r="E226" i="1"/>
  <c r="E225" i="1"/>
  <c r="E224" i="1"/>
  <c r="E227" i="1"/>
  <c r="F227" i="1"/>
  <c r="G227" i="1"/>
  <c r="G224" i="1"/>
  <c r="G225" i="1"/>
  <c r="F224" i="1"/>
  <c r="F225" i="1"/>
  <c r="E223" i="1"/>
  <c r="J223" i="1"/>
  <c r="J224" i="1"/>
  <c r="J225" i="1"/>
  <c r="D226" i="1"/>
  <c r="J226" i="1"/>
  <c r="D227" i="1"/>
  <c r="J227" i="1"/>
  <c r="J228" i="1"/>
  <c r="J229" i="1"/>
  <c r="D230" i="1"/>
  <c r="J230" i="1"/>
  <c r="J231" i="1"/>
  <c r="I221" i="1"/>
  <c r="I222" i="1"/>
  <c r="I223" i="1"/>
  <c r="I224" i="1"/>
  <c r="I225" i="1"/>
  <c r="I226" i="1"/>
  <c r="I227" i="1"/>
  <c r="I228" i="1"/>
  <c r="D229" i="1"/>
  <c r="I229" i="1"/>
  <c r="I230" i="1"/>
  <c r="I231" i="1"/>
  <c r="D223" i="1"/>
  <c r="H223" i="1"/>
  <c r="D224" i="1"/>
  <c r="H224" i="1"/>
  <c r="D225" i="1"/>
  <c r="H225" i="1"/>
  <c r="H226" i="1"/>
  <c r="H227" i="1"/>
  <c r="D228" i="1"/>
  <c r="H228" i="1"/>
  <c r="H229" i="1"/>
  <c r="H230" i="1"/>
  <c r="H231" i="1"/>
  <c r="G231" i="1"/>
  <c r="F231" i="1"/>
  <c r="F216" i="1"/>
  <c r="I216" i="1"/>
  <c r="F215" i="1"/>
  <c r="I215" i="1"/>
  <c r="E180" i="1"/>
  <c r="E182" i="1"/>
  <c r="E183" i="1"/>
  <c r="E184" i="1"/>
  <c r="E181" i="1"/>
  <c r="E179" i="1"/>
  <c r="E178" i="1"/>
  <c r="E177" i="1"/>
  <c r="G180" i="1"/>
  <c r="G182" i="1"/>
  <c r="G183" i="1"/>
  <c r="G184" i="1"/>
  <c r="G181" i="1"/>
  <c r="G179" i="1"/>
  <c r="G178" i="1"/>
  <c r="G177" i="1"/>
  <c r="F180" i="1"/>
  <c r="F182" i="1"/>
  <c r="F183" i="1"/>
  <c r="F184" i="1"/>
  <c r="F181" i="1"/>
  <c r="F179" i="1"/>
  <c r="F178" i="1"/>
  <c r="F177" i="1"/>
  <c r="C192" i="1"/>
  <c r="G192" i="1"/>
  <c r="F192" i="1"/>
  <c r="E192" i="1"/>
  <c r="C191" i="1"/>
  <c r="G191" i="1"/>
  <c r="F191" i="1"/>
  <c r="E191" i="1"/>
  <c r="C189" i="1"/>
  <c r="G190" i="1"/>
  <c r="F190" i="1"/>
  <c r="E190" i="1"/>
  <c r="G187" i="1"/>
  <c r="F187" i="1"/>
  <c r="G188" i="1"/>
  <c r="F188" i="1"/>
  <c r="E188" i="1"/>
  <c r="C181" i="1"/>
  <c r="C185" i="1"/>
  <c r="G186" i="1"/>
  <c r="F186" i="1"/>
  <c r="E186" i="1"/>
  <c r="G185" i="1"/>
  <c r="F189" i="1"/>
  <c r="G189" i="1"/>
  <c r="F185" i="1"/>
  <c r="E189" i="1"/>
  <c r="E185" i="1"/>
  <c r="C198" i="1"/>
  <c r="G199" i="1"/>
  <c r="G200" i="1"/>
  <c r="G203" i="1"/>
  <c r="G201" i="1"/>
  <c r="G198" i="1"/>
  <c r="G197" i="1"/>
  <c r="G196" i="1"/>
  <c r="F199" i="1"/>
  <c r="F200" i="1"/>
  <c r="F203" i="1"/>
  <c r="F201" i="1"/>
  <c r="F198" i="1"/>
  <c r="F197" i="1"/>
  <c r="F196" i="1"/>
  <c r="E200" i="1"/>
  <c r="E201" i="1"/>
  <c r="E199" i="1"/>
  <c r="E198" i="1"/>
  <c r="C200" i="1"/>
  <c r="G204" i="1"/>
  <c r="F204" i="1"/>
  <c r="E204" i="1"/>
  <c r="C203" i="1"/>
  <c r="C197" i="1"/>
  <c r="C196" i="1"/>
  <c r="J199" i="1"/>
  <c r="J200" i="1"/>
  <c r="J201" i="1"/>
  <c r="J202" i="1"/>
  <c r="J203" i="1"/>
  <c r="D204" i="1"/>
  <c r="J204" i="1"/>
  <c r="G206" i="1"/>
  <c r="G207" i="1"/>
  <c r="G208" i="1"/>
  <c r="G205" i="1"/>
  <c r="J205" i="1"/>
  <c r="J206" i="1"/>
  <c r="J207" i="1"/>
  <c r="J208" i="1"/>
  <c r="J209" i="1"/>
  <c r="J210" i="1"/>
  <c r="J211" i="1"/>
  <c r="J212" i="1"/>
  <c r="I199" i="1"/>
  <c r="I200" i="1"/>
  <c r="I201" i="1"/>
  <c r="I202" i="1"/>
  <c r="I203" i="1"/>
  <c r="I204" i="1"/>
  <c r="F206" i="1"/>
  <c r="F207" i="1"/>
  <c r="F208" i="1"/>
  <c r="F205" i="1"/>
  <c r="I205" i="1"/>
  <c r="I206" i="1"/>
  <c r="I207" i="1"/>
  <c r="I208" i="1"/>
  <c r="I209" i="1"/>
  <c r="I210" i="1"/>
  <c r="I211" i="1"/>
  <c r="I212" i="1"/>
  <c r="D199" i="1"/>
  <c r="H199" i="1"/>
  <c r="D200" i="1"/>
  <c r="H200" i="1"/>
  <c r="D201" i="1"/>
  <c r="H201" i="1"/>
  <c r="D202" i="1"/>
  <c r="H202" i="1"/>
  <c r="D203" i="1"/>
  <c r="H203" i="1"/>
  <c r="H204" i="1"/>
  <c r="D205" i="1"/>
  <c r="H205" i="1"/>
  <c r="D206" i="1"/>
  <c r="H206" i="1"/>
  <c r="D207" i="1"/>
  <c r="H207" i="1"/>
  <c r="D208" i="1"/>
  <c r="H208" i="1"/>
  <c r="D209" i="1"/>
  <c r="H209" i="1"/>
  <c r="D210" i="1"/>
  <c r="H210" i="1"/>
  <c r="D211" i="1"/>
  <c r="H211" i="1"/>
  <c r="H212" i="1"/>
  <c r="G212" i="1"/>
  <c r="F212" i="1"/>
  <c r="J198" i="1"/>
  <c r="I198" i="1"/>
  <c r="D198" i="1"/>
  <c r="H198" i="1"/>
  <c r="J197" i="1"/>
  <c r="I197" i="1"/>
  <c r="D197" i="1"/>
  <c r="E197" i="1"/>
  <c r="H197" i="1"/>
  <c r="J196" i="1"/>
  <c r="I196" i="1"/>
  <c r="D196" i="1"/>
  <c r="E196" i="1"/>
  <c r="H196" i="1"/>
  <c r="D180" i="1"/>
  <c r="J180" i="1"/>
  <c r="D181" i="1"/>
  <c r="J181" i="1"/>
  <c r="D182" i="1"/>
  <c r="J182" i="1"/>
  <c r="D183" i="1"/>
  <c r="J183" i="1"/>
  <c r="D184" i="1"/>
  <c r="J184" i="1"/>
  <c r="D185" i="1"/>
  <c r="J185" i="1"/>
  <c r="D186" i="1"/>
  <c r="J186" i="1"/>
  <c r="D187" i="1"/>
  <c r="J187" i="1"/>
  <c r="D188" i="1"/>
  <c r="J188" i="1"/>
  <c r="D189" i="1"/>
  <c r="J189" i="1"/>
  <c r="D190" i="1"/>
  <c r="J190" i="1"/>
  <c r="D191" i="1"/>
  <c r="J191" i="1"/>
  <c r="D192" i="1"/>
  <c r="J192" i="1"/>
  <c r="J193" i="1"/>
  <c r="I180" i="1"/>
  <c r="I181" i="1"/>
  <c r="I182" i="1"/>
  <c r="I183" i="1"/>
  <c r="I184" i="1"/>
  <c r="I185" i="1"/>
  <c r="I186" i="1"/>
  <c r="I187" i="1"/>
  <c r="I188" i="1"/>
  <c r="I189" i="1"/>
  <c r="I190" i="1"/>
  <c r="I191" i="1"/>
  <c r="I192" i="1"/>
  <c r="I193" i="1"/>
  <c r="H180" i="1"/>
  <c r="H181" i="1"/>
  <c r="H182" i="1"/>
  <c r="H183" i="1"/>
  <c r="H184" i="1"/>
  <c r="H185" i="1"/>
  <c r="H186" i="1"/>
  <c r="H187" i="1"/>
  <c r="H188" i="1"/>
  <c r="H189" i="1"/>
  <c r="H190" i="1"/>
  <c r="H191" i="1"/>
  <c r="H192" i="1"/>
  <c r="H193" i="1"/>
  <c r="G193" i="1"/>
  <c r="F193" i="1"/>
  <c r="C179" i="1"/>
  <c r="D179" i="1"/>
  <c r="J179" i="1"/>
  <c r="I179" i="1"/>
  <c r="H179" i="1"/>
  <c r="C178" i="1"/>
  <c r="D178" i="1"/>
  <c r="J178" i="1"/>
  <c r="I178" i="1"/>
  <c r="H178" i="1"/>
  <c r="C177" i="1"/>
  <c r="D177" i="1"/>
  <c r="J177" i="1"/>
  <c r="I177" i="1"/>
  <c r="H177" i="1"/>
  <c r="C170" i="1"/>
  <c r="G171" i="1"/>
  <c r="G172" i="1"/>
  <c r="G173" i="1"/>
  <c r="G170" i="1"/>
  <c r="F171" i="1"/>
  <c r="F172" i="1"/>
  <c r="F173" i="1"/>
  <c r="F170" i="1"/>
  <c r="E171" i="1"/>
  <c r="E172" i="1"/>
  <c r="E173" i="1"/>
  <c r="E170" i="1"/>
  <c r="G169" i="1"/>
  <c r="F169" i="1"/>
  <c r="G165" i="1"/>
  <c r="F165" i="1"/>
  <c r="E165" i="1"/>
  <c r="E169" i="1"/>
  <c r="G166" i="1"/>
  <c r="F166" i="1"/>
  <c r="E166" i="1"/>
  <c r="G162" i="1"/>
  <c r="F162" i="1"/>
  <c r="E162" i="1"/>
  <c r="F164" i="1"/>
  <c r="F168" i="1"/>
  <c r="G168" i="1"/>
  <c r="G164" i="1"/>
  <c r="E168" i="1"/>
  <c r="E164" i="1"/>
  <c r="G167" i="1"/>
  <c r="G163" i="1"/>
  <c r="F167" i="1"/>
  <c r="F163" i="1"/>
  <c r="E167" i="1"/>
  <c r="E163" i="1"/>
  <c r="D161" i="1"/>
  <c r="J161" i="1"/>
  <c r="J162" i="1"/>
  <c r="D163" i="1"/>
  <c r="J163" i="1"/>
  <c r="D164" i="1"/>
  <c r="J164" i="1"/>
  <c r="D165" i="1"/>
  <c r="J165" i="1"/>
  <c r="D166" i="1"/>
  <c r="J166" i="1"/>
  <c r="D167" i="1"/>
  <c r="J167" i="1"/>
  <c r="D168" i="1"/>
  <c r="J168" i="1"/>
  <c r="D169" i="1"/>
  <c r="J169" i="1"/>
  <c r="D170" i="1"/>
  <c r="J170" i="1"/>
  <c r="D171" i="1"/>
  <c r="J171" i="1"/>
  <c r="J172" i="1"/>
  <c r="J173" i="1"/>
  <c r="J174" i="1"/>
  <c r="I161" i="1"/>
  <c r="D162" i="1"/>
  <c r="I162" i="1"/>
  <c r="I163" i="1"/>
  <c r="I164" i="1"/>
  <c r="I165" i="1"/>
  <c r="I166" i="1"/>
  <c r="I167" i="1"/>
  <c r="I168" i="1"/>
  <c r="I169" i="1"/>
  <c r="I170" i="1"/>
  <c r="I171" i="1"/>
  <c r="D172" i="1"/>
  <c r="I172" i="1"/>
  <c r="D173" i="1"/>
  <c r="I173" i="1"/>
  <c r="I174" i="1"/>
  <c r="H161" i="1"/>
  <c r="H162" i="1"/>
  <c r="H163" i="1"/>
  <c r="H164" i="1"/>
  <c r="H165" i="1"/>
  <c r="H166" i="1"/>
  <c r="H167" i="1"/>
  <c r="H168" i="1"/>
  <c r="H169" i="1"/>
  <c r="H170" i="1"/>
  <c r="H171" i="1"/>
  <c r="H172" i="1"/>
  <c r="H173" i="1"/>
  <c r="H174" i="1"/>
  <c r="G174" i="1"/>
  <c r="F174" i="1"/>
  <c r="G160" i="1"/>
  <c r="B160" i="1"/>
  <c r="C160" i="1"/>
  <c r="D160" i="1"/>
  <c r="J160" i="1"/>
  <c r="F160" i="1"/>
  <c r="I160" i="1"/>
  <c r="E160" i="1"/>
  <c r="H160" i="1"/>
  <c r="G159" i="1"/>
  <c r="B159" i="1"/>
  <c r="C159" i="1"/>
  <c r="D159" i="1"/>
  <c r="J159" i="1"/>
  <c r="F159" i="1"/>
  <c r="I159" i="1"/>
  <c r="E159" i="1"/>
  <c r="H159" i="1"/>
  <c r="G158" i="1"/>
  <c r="B158" i="1"/>
  <c r="C158" i="1"/>
  <c r="D158" i="1"/>
  <c r="J158" i="1"/>
  <c r="F158" i="1"/>
  <c r="I158" i="1"/>
  <c r="E158" i="1"/>
  <c r="H158" i="1"/>
  <c r="F147" i="1"/>
  <c r="F149" i="1"/>
  <c r="E149" i="1"/>
  <c r="F150" i="1"/>
  <c r="G154" i="1"/>
  <c r="C154" i="1"/>
  <c r="F154" i="1"/>
  <c r="E154" i="1"/>
  <c r="G153" i="1"/>
  <c r="C153" i="1"/>
  <c r="F153" i="1"/>
  <c r="E153" i="1"/>
  <c r="G152" i="1"/>
  <c r="C152" i="1"/>
  <c r="F152" i="1"/>
  <c r="E152" i="1"/>
  <c r="G151" i="1"/>
  <c r="C151" i="1"/>
  <c r="F151" i="1"/>
  <c r="E151" i="1"/>
  <c r="F148" i="1"/>
  <c r="E148" i="1"/>
  <c r="J154" i="1"/>
  <c r="D153" i="1"/>
  <c r="J153" i="1"/>
  <c r="D152" i="1"/>
  <c r="J152" i="1"/>
  <c r="D151" i="1"/>
  <c r="J151" i="1"/>
  <c r="G150" i="1"/>
  <c r="C150" i="1"/>
  <c r="D150" i="1"/>
  <c r="J150" i="1"/>
  <c r="G149" i="1"/>
  <c r="D149" i="1"/>
  <c r="J149" i="1"/>
  <c r="G148" i="1"/>
  <c r="D148" i="1"/>
  <c r="J148" i="1"/>
  <c r="G147" i="1"/>
  <c r="D147" i="1"/>
  <c r="J147" i="1"/>
  <c r="G135" i="1"/>
  <c r="C135" i="1"/>
  <c r="D135" i="1"/>
  <c r="J135" i="1"/>
  <c r="G134" i="1"/>
  <c r="C134" i="1"/>
  <c r="D134" i="1"/>
  <c r="J134" i="1"/>
  <c r="G133" i="1"/>
  <c r="G132" i="1"/>
  <c r="C132" i="1"/>
  <c r="C133" i="1"/>
  <c r="D133" i="1"/>
  <c r="J133" i="1"/>
  <c r="D132" i="1"/>
  <c r="J132" i="1"/>
  <c r="G131" i="1"/>
  <c r="C131" i="1"/>
  <c r="D131" i="1"/>
  <c r="J131" i="1"/>
  <c r="G130" i="1"/>
  <c r="C130" i="1"/>
  <c r="D130" i="1"/>
  <c r="J130" i="1"/>
  <c r="G129" i="1"/>
  <c r="G128" i="1"/>
  <c r="C128" i="1"/>
  <c r="C129" i="1"/>
  <c r="D129" i="1"/>
  <c r="J129" i="1"/>
  <c r="D128" i="1"/>
  <c r="J128" i="1"/>
  <c r="G110" i="1"/>
  <c r="J110" i="1"/>
  <c r="G111" i="1"/>
  <c r="G112" i="1"/>
  <c r="G109" i="1"/>
  <c r="J109" i="1"/>
  <c r="G108" i="1"/>
  <c r="J108" i="1"/>
  <c r="G107" i="1"/>
  <c r="J107" i="1"/>
  <c r="G106" i="1"/>
  <c r="J106" i="1"/>
  <c r="G105" i="1"/>
  <c r="J105" i="1"/>
  <c r="J104" i="1"/>
  <c r="G103" i="1"/>
  <c r="J103" i="1"/>
  <c r="G102" i="1"/>
  <c r="J102" i="1"/>
  <c r="G101" i="1"/>
  <c r="J101" i="1"/>
  <c r="G97" i="1"/>
  <c r="D97" i="1"/>
  <c r="J97" i="1"/>
  <c r="G96" i="1"/>
  <c r="D96" i="1"/>
  <c r="J96" i="1"/>
  <c r="G95" i="1"/>
  <c r="D95" i="1"/>
  <c r="J95" i="1"/>
  <c r="G94" i="1"/>
  <c r="C94" i="1"/>
  <c r="D94" i="1"/>
  <c r="J94" i="1"/>
  <c r="G93" i="1"/>
  <c r="D93" i="1"/>
  <c r="J93" i="1"/>
  <c r="G92" i="1"/>
  <c r="D92" i="1"/>
  <c r="J92" i="1"/>
  <c r="G91" i="1"/>
  <c r="D91" i="1"/>
  <c r="J91" i="1"/>
  <c r="G90" i="1"/>
  <c r="C90" i="1"/>
  <c r="D90" i="1"/>
  <c r="J90" i="1"/>
  <c r="J78" i="1"/>
  <c r="J77" i="1"/>
  <c r="J76" i="1"/>
  <c r="G75" i="1"/>
  <c r="J75" i="1"/>
  <c r="G74" i="1"/>
  <c r="J74" i="1"/>
  <c r="G73" i="1"/>
  <c r="J73" i="1"/>
  <c r="G72" i="1"/>
  <c r="J72" i="1"/>
  <c r="G71" i="1"/>
  <c r="C71" i="1"/>
  <c r="D71" i="1"/>
  <c r="J71" i="1"/>
  <c r="G70" i="1"/>
  <c r="J70" i="1"/>
  <c r="G69" i="1"/>
  <c r="J69" i="1"/>
  <c r="G68" i="1"/>
  <c r="J68" i="1"/>
  <c r="G67" i="1"/>
  <c r="J67" i="1"/>
  <c r="G66" i="1"/>
  <c r="J66" i="1"/>
  <c r="G65" i="1"/>
  <c r="J65" i="1"/>
  <c r="G64" i="1"/>
  <c r="J64" i="1"/>
  <c r="G63" i="1"/>
  <c r="J63" i="1"/>
  <c r="E147" i="1"/>
  <c r="E150" i="1"/>
  <c r="D154" i="1"/>
  <c r="J155" i="1"/>
  <c r="F142" i="1"/>
  <c r="I142" i="1"/>
  <c r="I147" i="1"/>
  <c r="I148" i="1"/>
  <c r="I149" i="1"/>
  <c r="I150" i="1"/>
  <c r="I151" i="1"/>
  <c r="I152" i="1"/>
  <c r="I153" i="1"/>
  <c r="I154" i="1"/>
  <c r="I155" i="1"/>
  <c r="H147" i="1"/>
  <c r="H148" i="1"/>
  <c r="H149" i="1"/>
  <c r="H150" i="1"/>
  <c r="H151" i="1"/>
  <c r="H152" i="1"/>
  <c r="H153" i="1"/>
  <c r="H154" i="1"/>
  <c r="H155" i="1"/>
  <c r="G155" i="1"/>
  <c r="F155" i="1"/>
  <c r="F141" i="1"/>
  <c r="I141" i="1"/>
  <c r="F140" i="1"/>
  <c r="I140" i="1"/>
  <c r="F139" i="1"/>
  <c r="I139" i="1"/>
  <c r="F123" i="1"/>
  <c r="F122" i="1"/>
  <c r="F121" i="1"/>
  <c r="F120" i="1"/>
  <c r="F128" i="1"/>
  <c r="F130" i="1"/>
  <c r="F129" i="1"/>
  <c r="F132" i="1"/>
  <c r="F134" i="1"/>
  <c r="F133" i="1"/>
  <c r="E134" i="1"/>
  <c r="E135" i="1"/>
  <c r="E133" i="1"/>
  <c r="F135" i="1"/>
  <c r="E130" i="1"/>
  <c r="E131" i="1"/>
  <c r="E132" i="1"/>
  <c r="E129" i="1"/>
  <c r="E128" i="1"/>
  <c r="F131" i="1"/>
  <c r="J136" i="1"/>
  <c r="I123" i="1"/>
  <c r="I128" i="1"/>
  <c r="I129" i="1"/>
  <c r="I130" i="1"/>
  <c r="I131" i="1"/>
  <c r="I132" i="1"/>
  <c r="I133" i="1"/>
  <c r="I134" i="1"/>
  <c r="I135" i="1"/>
  <c r="I136" i="1"/>
  <c r="H128" i="1"/>
  <c r="H129" i="1"/>
  <c r="H130" i="1"/>
  <c r="H131" i="1"/>
  <c r="H132" i="1"/>
  <c r="H133" i="1"/>
  <c r="H134" i="1"/>
  <c r="H135" i="1"/>
  <c r="H136" i="1"/>
  <c r="G136" i="1"/>
  <c r="F136" i="1"/>
  <c r="I122" i="1"/>
  <c r="I121" i="1"/>
  <c r="I120" i="1"/>
  <c r="F97" i="1"/>
  <c r="E97" i="1"/>
  <c r="F96" i="1"/>
  <c r="E96" i="1"/>
  <c r="F95" i="1"/>
  <c r="E95" i="1"/>
  <c r="F91" i="1"/>
  <c r="F93" i="1"/>
  <c r="F92" i="1"/>
  <c r="F90" i="1"/>
  <c r="F94" i="1"/>
  <c r="E94" i="1"/>
  <c r="F84" i="1"/>
  <c r="F83" i="1"/>
  <c r="F82" i="1"/>
  <c r="F103" i="1"/>
  <c r="F102" i="1"/>
  <c r="F101" i="1"/>
  <c r="F107" i="1"/>
  <c r="E111" i="1"/>
  <c r="F106" i="1"/>
  <c r="F111" i="1"/>
  <c r="F115" i="1"/>
  <c r="G115" i="1"/>
  <c r="F116" i="1"/>
  <c r="G116" i="1"/>
  <c r="F114" i="1"/>
  <c r="G114" i="1"/>
  <c r="F110" i="1"/>
  <c r="E110" i="1"/>
  <c r="G113" i="1"/>
  <c r="F113" i="1"/>
  <c r="F112" i="1"/>
  <c r="F109" i="1"/>
  <c r="F108" i="1"/>
  <c r="E109" i="1"/>
  <c r="D109" i="1"/>
  <c r="J117" i="1"/>
  <c r="F105" i="1"/>
  <c r="I104" i="1"/>
  <c r="I105" i="1"/>
  <c r="I106" i="1"/>
  <c r="I107" i="1"/>
  <c r="I108" i="1"/>
  <c r="I109" i="1"/>
  <c r="I110" i="1"/>
  <c r="I117" i="1"/>
  <c r="H109" i="1"/>
  <c r="D110" i="1"/>
  <c r="H110" i="1"/>
  <c r="H117" i="1"/>
  <c r="G117" i="1"/>
  <c r="F117" i="1"/>
  <c r="I103" i="1"/>
  <c r="I102" i="1"/>
  <c r="I101" i="1"/>
  <c r="J98" i="1"/>
  <c r="I85" i="1"/>
  <c r="I90" i="1"/>
  <c r="I91" i="1"/>
  <c r="I92" i="1"/>
  <c r="I93" i="1"/>
  <c r="I94" i="1"/>
  <c r="I95" i="1"/>
  <c r="I96" i="1"/>
  <c r="I97" i="1"/>
  <c r="I98" i="1"/>
  <c r="H90" i="1"/>
  <c r="H91" i="1"/>
  <c r="H92" i="1"/>
  <c r="H93" i="1"/>
  <c r="H94" i="1"/>
  <c r="H95" i="1"/>
  <c r="H96" i="1"/>
  <c r="H97" i="1"/>
  <c r="H98" i="1"/>
  <c r="G98" i="1"/>
  <c r="F98" i="1"/>
  <c r="I84" i="1"/>
  <c r="I83" i="1"/>
  <c r="I82" i="1"/>
  <c r="F69" i="1"/>
  <c r="F70" i="1"/>
  <c r="F71" i="1"/>
  <c r="F68" i="1"/>
  <c r="F67" i="1"/>
  <c r="F66" i="1"/>
  <c r="F65" i="1"/>
  <c r="F64" i="1"/>
  <c r="F63" i="1"/>
  <c r="F73" i="1"/>
  <c r="F74" i="1"/>
  <c r="F75" i="1"/>
  <c r="F72" i="1"/>
  <c r="E75" i="1"/>
  <c r="E74" i="1"/>
  <c r="E73" i="1"/>
  <c r="E72" i="1"/>
  <c r="C75" i="1"/>
  <c r="I6" i="1"/>
  <c r="I7" i="1"/>
  <c r="I8" i="1"/>
  <c r="F47" i="1"/>
  <c r="F46" i="1"/>
  <c r="F45" i="1"/>
  <c r="F44" i="1"/>
  <c r="I44" i="1"/>
  <c r="I45" i="1"/>
  <c r="I46" i="1"/>
  <c r="I63" i="1"/>
  <c r="I64" i="1"/>
  <c r="I65" i="1"/>
  <c r="G14" i="1"/>
  <c r="F14" i="1"/>
  <c r="E14" i="1"/>
  <c r="E15" i="1"/>
  <c r="E18" i="1"/>
  <c r="E17" i="1"/>
  <c r="E16" i="1"/>
  <c r="F15" i="1"/>
  <c r="F18" i="1"/>
  <c r="F17" i="1"/>
  <c r="F16" i="1"/>
  <c r="G15" i="1"/>
  <c r="G18" i="1"/>
  <c r="G17" i="1"/>
  <c r="G16" i="1"/>
  <c r="C16" i="1"/>
  <c r="C15" i="1"/>
  <c r="D14" i="1"/>
  <c r="C17" i="1"/>
  <c r="G19" i="1"/>
  <c r="F19" i="1"/>
  <c r="E19" i="1"/>
  <c r="C18" i="1"/>
  <c r="C20" i="1"/>
  <c r="C19" i="1"/>
  <c r="G21" i="1"/>
  <c r="G20" i="1"/>
  <c r="F21" i="1"/>
  <c r="F20" i="1"/>
  <c r="E20" i="1"/>
  <c r="E21" i="1"/>
  <c r="C21" i="1"/>
  <c r="E78" i="1"/>
  <c r="E77" i="1"/>
  <c r="E76" i="1"/>
  <c r="C78" i="1"/>
  <c r="C77" i="1"/>
  <c r="C76" i="1"/>
  <c r="I78" i="1"/>
  <c r="I77" i="1"/>
  <c r="I76" i="1"/>
  <c r="I75" i="1"/>
  <c r="I74" i="1"/>
  <c r="I73" i="1"/>
  <c r="I72" i="1"/>
  <c r="I71" i="1"/>
  <c r="I70" i="1"/>
  <c r="I69" i="1"/>
  <c r="I68" i="1"/>
  <c r="I67" i="1"/>
  <c r="I66" i="1"/>
  <c r="D72" i="1"/>
  <c r="D73" i="1"/>
  <c r="D74" i="1"/>
  <c r="D75" i="1"/>
  <c r="D76" i="1"/>
  <c r="D77" i="1"/>
  <c r="D78" i="1"/>
  <c r="J79" i="1"/>
  <c r="I79" i="1"/>
  <c r="H71" i="1"/>
  <c r="H72" i="1"/>
  <c r="H73" i="1"/>
  <c r="H74" i="1"/>
  <c r="H75" i="1"/>
  <c r="H76" i="1"/>
  <c r="H77" i="1"/>
  <c r="H78" i="1"/>
  <c r="H79" i="1"/>
  <c r="G79" i="1"/>
  <c r="F79" i="1"/>
  <c r="D59" i="1"/>
  <c r="G59" i="1"/>
  <c r="J59" i="1"/>
  <c r="F59" i="1"/>
  <c r="I59" i="1"/>
  <c r="E59" i="1"/>
  <c r="H59" i="1"/>
  <c r="D58" i="1"/>
  <c r="G58" i="1"/>
  <c r="J58" i="1"/>
  <c r="F58" i="1"/>
  <c r="I58" i="1"/>
  <c r="E58" i="1"/>
  <c r="H58" i="1"/>
  <c r="D57" i="1"/>
  <c r="G57" i="1"/>
  <c r="J57" i="1"/>
  <c r="F57" i="1"/>
  <c r="I57" i="1"/>
  <c r="E57" i="1"/>
  <c r="H57" i="1"/>
  <c r="C56" i="1"/>
  <c r="D56" i="1"/>
  <c r="G56" i="1"/>
  <c r="J56" i="1"/>
  <c r="F56" i="1"/>
  <c r="I56" i="1"/>
  <c r="E56" i="1"/>
  <c r="H56" i="1"/>
  <c r="D55" i="1"/>
  <c r="G55" i="1"/>
  <c r="J55" i="1"/>
  <c r="F55" i="1"/>
  <c r="I55" i="1"/>
  <c r="E55" i="1"/>
  <c r="H55" i="1"/>
  <c r="D54" i="1"/>
  <c r="G54" i="1"/>
  <c r="J54" i="1"/>
  <c r="I54" i="1"/>
  <c r="E54" i="1"/>
  <c r="H54" i="1"/>
  <c r="D53" i="1"/>
  <c r="G53" i="1"/>
  <c r="J53" i="1"/>
  <c r="I53" i="1"/>
  <c r="E53" i="1"/>
  <c r="H53" i="1"/>
  <c r="G52" i="1"/>
  <c r="J52" i="1"/>
  <c r="E52" i="1"/>
  <c r="H52" i="1"/>
  <c r="I47" i="1"/>
  <c r="J60" i="1"/>
  <c r="I60" i="1"/>
  <c r="H60" i="1"/>
  <c r="G60" i="1"/>
  <c r="F60" i="1"/>
  <c r="J14" i="1"/>
  <c r="D15" i="1"/>
  <c r="J15" i="1"/>
  <c r="D16" i="1"/>
  <c r="J16" i="1"/>
  <c r="D17" i="1"/>
  <c r="J17" i="1"/>
  <c r="D18" i="1"/>
  <c r="J18" i="1"/>
  <c r="D19" i="1"/>
  <c r="J19" i="1"/>
  <c r="D20" i="1"/>
  <c r="J20" i="1"/>
  <c r="D21" i="1"/>
  <c r="J21" i="1"/>
  <c r="J22" i="1"/>
  <c r="I9" i="1"/>
  <c r="I14" i="1"/>
  <c r="I15" i="1"/>
  <c r="I16" i="1"/>
  <c r="I17" i="1"/>
  <c r="I18" i="1"/>
  <c r="I19" i="1"/>
  <c r="I20" i="1"/>
  <c r="I21" i="1"/>
  <c r="I22" i="1"/>
  <c r="H14" i="1"/>
  <c r="H15" i="1"/>
  <c r="H16" i="1"/>
  <c r="H17" i="1"/>
  <c r="H18" i="1"/>
  <c r="H19" i="1"/>
  <c r="H20" i="1"/>
  <c r="H21" i="1"/>
  <c r="H22" i="1"/>
  <c r="G33" i="1"/>
  <c r="D33" i="1"/>
  <c r="J33" i="1"/>
  <c r="G34" i="1"/>
  <c r="D34" i="1"/>
  <c r="J34" i="1"/>
  <c r="G35" i="1"/>
  <c r="D35" i="1"/>
  <c r="J35" i="1"/>
  <c r="G36" i="1"/>
  <c r="C36" i="1"/>
  <c r="D36" i="1"/>
  <c r="J36" i="1"/>
  <c r="G37" i="1"/>
  <c r="C38" i="1"/>
  <c r="C37" i="1"/>
  <c r="D37" i="1"/>
  <c r="J37" i="1"/>
  <c r="G38" i="1"/>
  <c r="D38" i="1"/>
  <c r="J38" i="1"/>
  <c r="G39" i="1"/>
  <c r="J39" i="1"/>
  <c r="G40" i="1"/>
  <c r="C40" i="1"/>
  <c r="D40" i="1"/>
  <c r="J40" i="1"/>
  <c r="J41" i="1"/>
  <c r="E33" i="1"/>
  <c r="H33" i="1"/>
  <c r="E34" i="1"/>
  <c r="H34" i="1"/>
  <c r="E35" i="1"/>
  <c r="H35" i="1"/>
  <c r="E36" i="1"/>
  <c r="H36" i="1"/>
  <c r="E37" i="1"/>
  <c r="H37" i="1"/>
  <c r="E38" i="1"/>
  <c r="H38" i="1"/>
  <c r="C39" i="1"/>
  <c r="D39" i="1"/>
  <c r="E39" i="1"/>
  <c r="H39" i="1"/>
  <c r="E40" i="1"/>
  <c r="H40" i="1"/>
  <c r="H41" i="1"/>
  <c r="I29" i="1"/>
  <c r="I30" i="1"/>
  <c r="I31" i="1"/>
  <c r="I32" i="1"/>
  <c r="F33" i="1"/>
  <c r="I33" i="1"/>
  <c r="F34" i="1"/>
  <c r="I34" i="1"/>
  <c r="F35" i="1"/>
  <c r="I35" i="1"/>
  <c r="F36" i="1"/>
  <c r="I36" i="1"/>
  <c r="F37" i="1"/>
  <c r="I37" i="1"/>
  <c r="F38" i="1"/>
  <c r="I38" i="1"/>
  <c r="F39" i="1"/>
  <c r="I39" i="1"/>
  <c r="F40" i="1"/>
  <c r="I40" i="1"/>
  <c r="I41" i="1"/>
  <c r="G22" i="1"/>
  <c r="F22" i="1"/>
  <c r="G41" i="1"/>
  <c r="F41" i="1"/>
  <c r="P22" i="6"/>
  <c r="L24" i="6"/>
  <c r="P24" i="6"/>
  <c r="P36" i="6"/>
  <c r="N22" i="6"/>
  <c r="N24" i="6"/>
  <c r="N26" i="6"/>
  <c r="R24" i="6"/>
  <c r="R22" i="6"/>
  <c r="R34" i="6"/>
  <c r="R33" i="6"/>
  <c r="R32" i="6"/>
  <c r="R31" i="6"/>
  <c r="P34" i="6"/>
  <c r="P33" i="6"/>
  <c r="P32" i="6"/>
  <c r="P31" i="6"/>
  <c r="L33" i="6"/>
  <c r="L32" i="6"/>
  <c r="L34" i="6"/>
  <c r="L31" i="6"/>
  <c r="D11" i="2"/>
  <c r="E11" i="2"/>
  <c r="H11" i="2"/>
  <c r="N18" i="6"/>
  <c r="N36" i="6"/>
  <c r="N28" i="6"/>
  <c r="N31" i="6"/>
  <c r="N34" i="6"/>
  <c r="N32" i="6"/>
  <c r="N33" i="6"/>
  <c r="F36" i="3"/>
  <c r="H31" i="3"/>
  <c r="D18" i="3"/>
  <c r="P19" i="3"/>
  <c r="N19" i="3"/>
  <c r="L19" i="3"/>
  <c r="J19" i="3"/>
  <c r="H28" i="3"/>
  <c r="P25" i="3"/>
  <c r="N25" i="3"/>
  <c r="L25" i="3"/>
  <c r="J25" i="3"/>
  <c r="H25" i="3"/>
  <c r="D24" i="3"/>
  <c r="D25" i="3"/>
  <c r="D21" i="3"/>
  <c r="D22" i="3"/>
  <c r="H22" i="3"/>
  <c r="J22" i="3"/>
  <c r="L22" i="3"/>
  <c r="N22" i="3"/>
  <c r="P22" i="3"/>
  <c r="J28" i="3"/>
  <c r="H38" i="3"/>
  <c r="H40" i="3"/>
  <c r="N46" i="3"/>
  <c r="N47" i="3"/>
  <c r="L46" i="3"/>
  <c r="L47" i="3"/>
  <c r="J46" i="3"/>
  <c r="J47" i="3"/>
  <c r="H46" i="3"/>
  <c r="H47" i="3"/>
  <c r="D27" i="3"/>
  <c r="D28" i="3"/>
  <c r="L28" i="3"/>
  <c r="N28" i="3"/>
  <c r="P28" i="3"/>
  <c r="D30" i="3"/>
  <c r="D31" i="3"/>
  <c r="J31" i="3"/>
  <c r="L31" i="3"/>
  <c r="N31" i="3"/>
  <c r="P31" i="3"/>
  <c r="D36" i="3"/>
  <c r="J38" i="3"/>
  <c r="L38" i="3"/>
  <c r="N38" i="3"/>
  <c r="P38" i="3"/>
  <c r="D38" i="3"/>
  <c r="J40" i="3"/>
  <c r="L40" i="3"/>
  <c r="N40" i="3"/>
  <c r="P40" i="3"/>
  <c r="D40" i="3"/>
  <c r="R38" i="3"/>
  <c r="F50" i="3"/>
  <c r="H50" i="3"/>
  <c r="J50" i="3"/>
  <c r="L50" i="3"/>
  <c r="N50" i="3"/>
  <c r="R40" i="3"/>
  <c r="F52" i="3"/>
  <c r="H52" i="3"/>
  <c r="J52" i="3"/>
  <c r="L52" i="3"/>
  <c r="N52" i="3"/>
  <c r="F46" i="3"/>
  <c r="H48" i="3"/>
  <c r="H49" i="3"/>
  <c r="J48" i="3"/>
  <c r="J49" i="3"/>
  <c r="L48" i="3"/>
  <c r="L49" i="3"/>
  <c r="N48" i="3"/>
  <c r="N49" i="3"/>
  <c r="H44" i="3"/>
  <c r="H45" i="3"/>
  <c r="J44" i="3"/>
  <c r="J45" i="3"/>
  <c r="L44" i="3"/>
  <c r="L45" i="3"/>
  <c r="N44" i="3"/>
  <c r="N45" i="3"/>
  <c r="C28" i="5"/>
  <c r="G46" i="5"/>
  <c r="C24" i="5"/>
  <c r="O18" i="5"/>
  <c r="M18" i="5"/>
  <c r="K18" i="5"/>
  <c r="I18" i="5"/>
  <c r="G18" i="5"/>
  <c r="E18" i="5"/>
  <c r="G34" i="5"/>
  <c r="E14" i="5"/>
  <c r="G45" i="5"/>
  <c r="G44" i="5"/>
  <c r="E43" i="5"/>
  <c r="E44" i="5"/>
  <c r="O7" i="5"/>
  <c r="M7" i="5"/>
  <c r="K7" i="5"/>
  <c r="I7" i="5"/>
  <c r="I28" i="5"/>
  <c r="K28" i="5"/>
  <c r="M28" i="5"/>
  <c r="O28" i="5"/>
  <c r="G32" i="5"/>
  <c r="G14" i="5"/>
  <c r="I36" i="5"/>
  <c r="I38" i="5"/>
  <c r="I47" i="5"/>
  <c r="K36" i="5"/>
  <c r="K38" i="5"/>
  <c r="K47" i="5"/>
  <c r="M36" i="5"/>
  <c r="M38" i="5"/>
  <c r="M47" i="5"/>
  <c r="O47" i="5"/>
  <c r="I45" i="5"/>
  <c r="K45" i="5"/>
  <c r="M45" i="5"/>
  <c r="O45" i="5"/>
  <c r="I44" i="5"/>
  <c r="K44" i="5"/>
  <c r="M44" i="5"/>
  <c r="O44" i="5"/>
  <c r="G38" i="5"/>
  <c r="O14" i="5"/>
  <c r="O49" i="5"/>
  <c r="M14" i="5"/>
  <c r="M49" i="5"/>
  <c r="K14" i="5"/>
  <c r="K49" i="5"/>
  <c r="I14" i="5"/>
  <c r="O16" i="5"/>
  <c r="M16" i="5"/>
  <c r="K16" i="5"/>
  <c r="E40" i="5"/>
  <c r="E41" i="5"/>
  <c r="I46" i="5"/>
  <c r="K46" i="5"/>
  <c r="M46" i="5"/>
  <c r="O46" i="5"/>
  <c r="I48" i="5"/>
  <c r="K48" i="5"/>
  <c r="M48" i="5"/>
  <c r="O48" i="5"/>
  <c r="G36" i="5"/>
  <c r="C26" i="5"/>
  <c r="G26" i="5"/>
  <c r="I26" i="5"/>
  <c r="K26" i="5"/>
  <c r="M26" i="5"/>
  <c r="O26" i="5"/>
  <c r="C34" i="5"/>
  <c r="I34" i="5"/>
  <c r="K34" i="5"/>
  <c r="M34" i="5"/>
  <c r="O34" i="5"/>
  <c r="C30" i="5"/>
  <c r="G30" i="5"/>
  <c r="G40" i="5"/>
  <c r="G41" i="5"/>
  <c r="I30" i="5"/>
  <c r="K30" i="5"/>
  <c r="M30" i="5"/>
  <c r="O30" i="5"/>
  <c r="C32" i="5"/>
  <c r="I32" i="5"/>
  <c r="I41" i="5"/>
  <c r="I40" i="5"/>
  <c r="K32" i="5"/>
  <c r="K41" i="5"/>
  <c r="K40" i="5"/>
  <c r="M32" i="5"/>
  <c r="M41" i="5"/>
  <c r="M40" i="5"/>
  <c r="O32" i="5"/>
  <c r="O41" i="5"/>
  <c r="O40" i="5"/>
  <c r="J18" i="2"/>
  <c r="I18" i="2"/>
  <c r="H18" i="2"/>
  <c r="J17" i="2"/>
  <c r="I17" i="2"/>
  <c r="H17" i="2"/>
  <c r="J16" i="2"/>
  <c r="I16" i="2"/>
  <c r="H16" i="2"/>
  <c r="J15" i="2"/>
  <c r="I15" i="2"/>
  <c r="H15" i="2"/>
  <c r="G14" i="2"/>
  <c r="J14" i="2"/>
  <c r="F14" i="2"/>
  <c r="I14" i="2"/>
  <c r="E14" i="2"/>
  <c r="H14" i="2"/>
  <c r="G13" i="2"/>
  <c r="J13" i="2"/>
  <c r="F13" i="2"/>
  <c r="I13" i="2"/>
  <c r="E13" i="2"/>
  <c r="H13" i="2"/>
  <c r="G12" i="2"/>
  <c r="J12" i="2"/>
  <c r="F12" i="2"/>
  <c r="I12" i="2"/>
  <c r="E12" i="2"/>
  <c r="H12" i="2"/>
  <c r="G11" i="2"/>
  <c r="J11" i="2"/>
  <c r="F11" i="2"/>
  <c r="I11" i="2"/>
  <c r="G10" i="2"/>
  <c r="J10" i="2"/>
  <c r="F10" i="2"/>
  <c r="I10" i="2"/>
  <c r="D10" i="2"/>
  <c r="E10" i="2"/>
  <c r="H10" i="2"/>
  <c r="G9" i="2"/>
  <c r="J9" i="2"/>
  <c r="F9" i="2"/>
  <c r="I9" i="2"/>
  <c r="D9" i="2"/>
  <c r="E9" i="2"/>
  <c r="H9" i="2"/>
  <c r="G8" i="2"/>
  <c r="J8" i="2"/>
  <c r="F8" i="2"/>
  <c r="I8" i="2"/>
  <c r="D8" i="2"/>
  <c r="E8" i="2"/>
  <c r="H8" i="2"/>
  <c r="G7" i="2"/>
  <c r="J7" i="2"/>
  <c r="F7" i="2"/>
  <c r="I7" i="2"/>
  <c r="D7" i="2"/>
  <c r="E7" i="2"/>
  <c r="H7" i="2"/>
  <c r="G6" i="2"/>
  <c r="J6" i="2"/>
  <c r="F6" i="2"/>
  <c r="I6" i="2"/>
  <c r="D6" i="2"/>
  <c r="E6" i="2"/>
  <c r="H6" i="2"/>
  <c r="D5" i="2"/>
</calcChain>
</file>

<file path=xl/sharedStrings.xml><?xml version="1.0" encoding="utf-8"?>
<sst xmlns="http://schemas.openxmlformats.org/spreadsheetml/2006/main" count="605" uniqueCount="237">
  <si>
    <t>4Q00</t>
  </si>
  <si>
    <t>3Q00</t>
  </si>
  <si>
    <t>2Q00</t>
  </si>
  <si>
    <t>1Q00</t>
  </si>
  <si>
    <t>4Q99</t>
  </si>
  <si>
    <t>1Q99</t>
  </si>
  <si>
    <t>2Q99</t>
  </si>
  <si>
    <t>3Q99</t>
  </si>
  <si>
    <t>4Q98</t>
  </si>
  <si>
    <t>3Q98</t>
  </si>
  <si>
    <t>2Q98</t>
  </si>
  <si>
    <t>1Q98</t>
  </si>
  <si>
    <t>Closing</t>
  </si>
  <si>
    <t>Price</t>
  </si>
  <si>
    <t>Shares</t>
  </si>
  <si>
    <t>Outstanding</t>
  </si>
  <si>
    <t>Market</t>
  </si>
  <si>
    <t>Capitalization</t>
  </si>
  <si>
    <t>Revenues</t>
  </si>
  <si>
    <t>4 x ttm</t>
  </si>
  <si>
    <t>Earnings</t>
  </si>
  <si>
    <t>EBITDA</t>
  </si>
  <si>
    <t>1Q01</t>
  </si>
  <si>
    <t>($M)</t>
  </si>
  <si>
    <t>(M)</t>
  </si>
  <si>
    <t>Price to</t>
  </si>
  <si>
    <t>Sales</t>
  </si>
  <si>
    <t>QUALCOM (QCOM)</t>
  </si>
  <si>
    <t>IPO</t>
  </si>
  <si>
    <t>PNV.net (PNVN)</t>
  </si>
  <si>
    <t>Motorola, Inc. (MOT)</t>
  </si>
  <si>
    <t>Williams Companies (WMB)</t>
  </si>
  <si>
    <t>Income</t>
  </si>
  <si>
    <t>2001 - 2005</t>
  </si>
  <si>
    <t>Residual</t>
  </si>
  <si>
    <t>TOTAL</t>
  </si>
  <si>
    <t>CASH FLOW PROJECTIONS</t>
  </si>
  <si>
    <t>Revenue Growth</t>
  </si>
  <si>
    <t>Cost of Goods</t>
  </si>
  <si>
    <t>% Revenues</t>
  </si>
  <si>
    <t>Operating Expenses</t>
  </si>
  <si>
    <t>Other Expense (Income)</t>
  </si>
  <si>
    <t>Income Tax Provision</t>
  </si>
  <si>
    <t>NET CASH FLOW</t>
  </si>
  <si>
    <t>75% of Plan</t>
  </si>
  <si>
    <t>50% of Plan</t>
  </si>
  <si>
    <t>DCF VALUATION</t>
  </si>
  <si>
    <t>Rate</t>
  </si>
  <si>
    <t>Discount</t>
  </si>
  <si>
    <t>($ millions)</t>
  </si>
  <si>
    <t>2000A</t>
  </si>
  <si>
    <t>2001E</t>
  </si>
  <si>
    <t>2002E</t>
  </si>
  <si>
    <t>2003E</t>
  </si>
  <si>
    <t>2004E</t>
  </si>
  <si>
    <t>2005E</t>
  </si>
  <si>
    <t>Gross Margin</t>
  </si>
  <si>
    <t>($ millions except per share data)</t>
  </si>
  <si>
    <t>Earnings per Share (EPS)</t>
  </si>
  <si>
    <t>EPS Growth</t>
  </si>
  <si>
    <t>Shares Outstanding (M)</t>
  </si>
  <si>
    <t>Financial Analysis of IdleAire Technologies</t>
  </si>
  <si>
    <t>Comparable Transaction Analysis</t>
  </si>
  <si>
    <t>Overview:</t>
  </si>
  <si>
    <t>The Comparable Transaction Analysis includes a review of transaction involving companies deemed similar to IdleAire.  This analysis is based on information obtained from SEC filings, public company disclosures, press releases industry and popular press reports, databases and other sources.</t>
  </si>
  <si>
    <t>This analysis reviewed a group of transactions selected based on the following criteria:</t>
  </si>
  <si>
    <t>-</t>
  </si>
  <si>
    <t>Acquisition of companies with primary SIC codes similar to those of the selected comparable public companies</t>
  </si>
  <si>
    <t>Private and public targets</t>
  </si>
  <si>
    <t>Date</t>
  </si>
  <si>
    <t>Announced</t>
  </si>
  <si>
    <t>Target</t>
  </si>
  <si>
    <t>Target Business Description</t>
  </si>
  <si>
    <t>Acquiror</t>
  </si>
  <si>
    <t>Enterprise</t>
  </si>
  <si>
    <t>Value ($M)</t>
  </si>
  <si>
    <t>Value / LTM</t>
  </si>
  <si>
    <t>PNV, Inc.</t>
  </si>
  <si>
    <t>High</t>
  </si>
  <si>
    <t>Mean</t>
  </si>
  <si>
    <t>Median</t>
  </si>
  <si>
    <t>Low</t>
  </si>
  <si>
    <t>Comparable Public Company Analysis</t>
  </si>
  <si>
    <t>This analysis focused on publicly-traded companies engaged primarily in providing technological services for the transportation industry sector.</t>
  </si>
  <si>
    <t>Criteria:</t>
  </si>
  <si>
    <t>Selection</t>
  </si>
  <si>
    <t>Companies deemed similar to IdleAire's business.</t>
  </si>
  <si>
    <t>Company</t>
  </si>
  <si>
    <t>Fiscal</t>
  </si>
  <si>
    <t>Year End</t>
  </si>
  <si>
    <t>LTM</t>
  </si>
  <si>
    <t>CY</t>
  </si>
  <si>
    <t>P/E Ratios</t>
  </si>
  <si>
    <t>Value / Revenues</t>
  </si>
  <si>
    <t>Value /</t>
  </si>
  <si>
    <t>Qualcomm</t>
  </si>
  <si>
    <t>Ticker</t>
  </si>
  <si>
    <t>QCOM</t>
  </si>
  <si>
    <t>Motorola, Inc.</t>
  </si>
  <si>
    <t>MOT</t>
  </si>
  <si>
    <t>Williams Companies</t>
  </si>
  <si>
    <t>WMB</t>
  </si>
  <si>
    <t>FuelCell Energy, Inc.</t>
  </si>
  <si>
    <t>FuelCell Energy, Inc. (FCEL)</t>
  </si>
  <si>
    <t>FCEL</t>
  </si>
  <si>
    <t>Maximum</t>
  </si>
  <si>
    <t>Minimum</t>
  </si>
  <si>
    <t>4Q01</t>
  </si>
  <si>
    <t>3Q01</t>
  </si>
  <si>
    <t>2Q01</t>
  </si>
  <si>
    <t>DCF Analysis @ 20% Discount Factor</t>
  </si>
  <si>
    <t>DCF Analysis @ 30% Discount Factor</t>
  </si>
  <si>
    <t>Cat Scales, Inc.</t>
  </si>
  <si>
    <t>Weighing Scales for Truck Stops</t>
  </si>
  <si>
    <t>PRE-MONEY</t>
  </si>
  <si>
    <t>POST-MONEY</t>
  </si>
  <si>
    <t>Average Valuation</t>
  </si>
  <si>
    <t>New Equity</t>
  </si>
  <si>
    <t>Discounted Average Valuation</t>
  </si>
  <si>
    <t>Options &amp; Warrants</t>
  </si>
  <si>
    <t>Fully Diluted Shares</t>
  </si>
  <si>
    <t>Price Per Fully Diluted Share</t>
  </si>
  <si>
    <t>Founders</t>
  </si>
  <si>
    <t>Seed Investors</t>
  </si>
  <si>
    <t>Key Employees</t>
  </si>
  <si>
    <t>1st Round Investors</t>
  </si>
  <si>
    <t>2nd Round Investors</t>
  </si>
  <si>
    <t>Public Round</t>
  </si>
  <si>
    <t>Common Shares</t>
  </si>
  <si>
    <t>Total Common Shares Outstanding</t>
  </si>
  <si>
    <t>Total Prefered Shares Outstanding</t>
  </si>
  <si>
    <t>Valuation Technique</t>
  </si>
  <si>
    <t>IDLEAIRE 2-2001 VALUATION SUMMARY</t>
  </si>
  <si>
    <t>Discounted Cash Flow Valuation</t>
  </si>
  <si>
    <t>Extended Stay America</t>
  </si>
  <si>
    <t>ESA</t>
  </si>
  <si>
    <t>TIVO</t>
  </si>
  <si>
    <t>nm</t>
  </si>
  <si>
    <t>Cox Communications</t>
  </si>
  <si>
    <t>COX</t>
  </si>
  <si>
    <t>IDLEAIRE TECHNOLOGIES VALUATION OVERVIEW</t>
  </si>
  <si>
    <t>% of Revenues</t>
  </si>
  <si>
    <t>Mean Valuation</t>
  </si>
  <si>
    <t>Median Valuation</t>
  </si>
  <si>
    <t>Assumed Value</t>
  </si>
  <si>
    <t>VALUATION</t>
  </si>
  <si>
    <t>INCOME PROFORMA</t>
  </si>
  <si>
    <t>Discounted Cash Flow Analysis</t>
  </si>
  <si>
    <t>The discounted cash flow analysis is used to calculate a range of theoretical values for IdleAire based on:</t>
  </si>
  <si>
    <t>A terminal value for IdleAire in 2005 calculated as 5.0x times the 2005 cash flow</t>
  </si>
  <si>
    <t>Discount rates ranging from 20% - 30%</t>
  </si>
  <si>
    <t>The range of values can then be compared to the consideration being offered in the proposed transaction</t>
  </si>
  <si>
    <t>The projected financial data for IdleAire for calandar 2000 - 2005 is from IdleAire's 2/2001 Business Plan</t>
  </si>
  <si>
    <t>·</t>
  </si>
  <si>
    <t>Extended Stay America (ESA)</t>
  </si>
  <si>
    <t>TiVo, Inc. (TIVO)</t>
  </si>
  <si>
    <t>TiVo Inc.</t>
  </si>
  <si>
    <t>TiVo, Inc.</t>
  </si>
  <si>
    <t>Creator of personal television</t>
  </si>
  <si>
    <t>PhoneOnline.com</t>
  </si>
  <si>
    <t>ITC Holding Company</t>
  </si>
  <si>
    <t>Wireless Aps for Trucking Industry</t>
  </si>
  <si>
    <t>Investor /</t>
  </si>
  <si>
    <t>Emerson Electric</t>
  </si>
  <si>
    <t>EMR</t>
  </si>
  <si>
    <t>Computational Systems Inc.</t>
  </si>
  <si>
    <t>Process Control Instrumentation</t>
  </si>
  <si>
    <t>Emerson (EMR)</t>
  </si>
  <si>
    <t>Cox Communications (COX)</t>
  </si>
  <si>
    <t>Coherent Communications</t>
  </si>
  <si>
    <t>Tellabs, Inc.</t>
  </si>
  <si>
    <t>Period</t>
  </si>
  <si>
    <t>Metricom (MCOM)</t>
  </si>
  <si>
    <t>The net present value of IdleAire's implied annual cash flows through the year 2005</t>
  </si>
  <si>
    <t>Governmental grants (DOE, DOT, TVA, CMAQ etc.) are expected but not forecast</t>
  </si>
  <si>
    <t>Products for wireless, satellite-based, cable communication, and wireline systems</t>
  </si>
  <si>
    <t>IdleAire Valuation Multiples</t>
  </si>
  <si>
    <t>Transaction size between $27 million and $1 billion</t>
  </si>
  <si>
    <t>LTM - last twelve months</t>
  </si>
  <si>
    <t>Deals with publicly available information on terms or insider information</t>
  </si>
  <si>
    <t>Dover Corporation</t>
  </si>
  <si>
    <t>DOV</t>
  </si>
  <si>
    <t>Targets in which 100% of the company was acquired, an investment or an Initial Public Offering (IPO) was consumated</t>
  </si>
  <si>
    <t>Capital Equipment Investments</t>
  </si>
  <si>
    <t>Fully Diluted Shares (M)</t>
  </si>
  <si>
    <t>Price per Share (Fully Diluted)</t>
  </si>
  <si>
    <t>Annualized Revenues</t>
  </si>
  <si>
    <t>Annualized EBITDA</t>
  </si>
  <si>
    <t>Comparable Transaction Analysis - Revenues (ltm)</t>
  </si>
  <si>
    <t>Comparable Transaction Analysis - EBITDA (ltm)</t>
  </si>
  <si>
    <t>Comparable Public Company Analysis - Revenues (ltm)</t>
  </si>
  <si>
    <t>Comparable Public Company Analysis - EBITDA (ltm)</t>
  </si>
  <si>
    <t>Comparable Public Company Analysis - Earnings (ltm)</t>
  </si>
  <si>
    <t>Price / Revenues (ltm)</t>
  </si>
  <si>
    <t>Price / EBITDA (ltm)</t>
  </si>
  <si>
    <t>Price / Earnings (ltm)</t>
  </si>
  <si>
    <t>Price / Revenues (annualized)</t>
  </si>
  <si>
    <t>Price / EBITDA (annualized)</t>
  </si>
  <si>
    <t>IDLEAIRE 12-2000 VALUATION SUMMARY</t>
  </si>
  <si>
    <t>Revenue Multiple (ltm)</t>
  </si>
  <si>
    <t>Companies with market capitalizations between $300 million and $55 billion.</t>
  </si>
  <si>
    <t>Provider of Telephone, Cable TV &amp; Internet for Truck Drivers</t>
  </si>
  <si>
    <t>Equity &amp; Debt</t>
  </si>
  <si>
    <t>The Comparable Public Company Analysis reviews securities of publicly-traded companies deemed comparable to IdleAire's business.  It is generally accepted that share pricing in the public market reflects the value of minority interest and does not reflect any control premium.  Further, share pricing in the public market incorporates a wide range of factors including general economic conditions, interest rates, inflation and investor perceptions.</t>
  </si>
  <si>
    <t>IDLEAIRE 3-2001 VALUATION SUMMARY</t>
  </si>
  <si>
    <t>Enron (ENE)</t>
  </si>
  <si>
    <t>Ballard Power Systems (BLDP)</t>
  </si>
  <si>
    <t>Itron, Inc. (ITRI)</t>
  </si>
  <si>
    <t>Itron, Inc.</t>
  </si>
  <si>
    <t>ITRI</t>
  </si>
  <si>
    <t>Comparable Public Company Analysis of IdleAire Technologies</t>
  </si>
  <si>
    <t>1Q02</t>
  </si>
  <si>
    <t>2Q02</t>
  </si>
  <si>
    <t>3Q02</t>
  </si>
  <si>
    <t>4Q02</t>
  </si>
  <si>
    <t>1Q03</t>
  </si>
  <si>
    <t>2Q03</t>
  </si>
  <si>
    <t>3Q03</t>
  </si>
  <si>
    <t>4Q03</t>
  </si>
  <si>
    <t>1Q04</t>
  </si>
  <si>
    <t>2Q04</t>
  </si>
  <si>
    <t>3Q04</t>
  </si>
  <si>
    <t>4Q04</t>
  </si>
  <si>
    <t>1Q05</t>
  </si>
  <si>
    <t>2Q05</t>
  </si>
  <si>
    <t>3Q05</t>
  </si>
  <si>
    <t>4Q05</t>
  </si>
  <si>
    <t>Ann. Revenues ($M)</t>
  </si>
  <si>
    <t>Ann. EBITDA ($M)</t>
  </si>
  <si>
    <t>Market Cap. ($M)</t>
  </si>
  <si>
    <t>Price to Sales</t>
  </si>
  <si>
    <t>Price to EBITDA</t>
  </si>
  <si>
    <t>Share Price</t>
  </si>
  <si>
    <t>New Equity ($M)</t>
  </si>
  <si>
    <t>IDLEAIRE 9-2001 VALUATION SUMMARY</t>
  </si>
  <si>
    <t>Comparable Transaction Analysis of IdleAire Technologies</t>
  </si>
  <si>
    <t>Deals announced after 12/15/97 and before April,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</si>
</sst>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6" formatCode="&quot;$&quot;#,##0_);[Red]\(&quot;$&quot;#,##0\)"/>
    <numFmt numFmtId="8" formatCode="&quot;$&quot;#,##0.00_);[Red]\(&quot;$&quot;#,##0.00\)"/>
    <numFmt numFmtId="164" formatCode="&quot;$&quot;#,##0.0_);[Red]\(&quot;$&quot;#,##0.0\)"/>
    <numFmt numFmtId="165" formatCode="#,##0.0\x_);[Red]\(#,##0.0\x\);"/>
    <numFmt numFmtId="166" formatCode="#,##0.0_);[Red]\(#,##0.0\)"/>
    <numFmt numFmtId="168" formatCode="0.0%"/>
    <numFmt numFmtId="169" formatCode="#,##0.0\x_);\(#,##0.0\x\);"/>
    <numFmt numFmtId="170" formatCode="#,##0.0%_);\(#,##0.0%\);"/>
    <numFmt numFmtId="171" formatCode="#,##0.0_);[Red]\(#,##0.0\);"/>
    <numFmt numFmtId="172" formatCode="&quot;$&quot;#,##0.00_);[Red]\(&quot;$&quot;#,##0.00\);"/>
    <numFmt numFmtId="173" formatCode="#,##0.000_);[Red]\(#,##0.000\)"/>
    <numFmt numFmtId="177" formatCode="#,##0_);\(#,##0\);"/>
    <numFmt numFmtId="178" formatCode="&quot;$&quot;#,##0.0_);[Red]\(&quot;$&quot;#,##0.0\);"/>
    <numFmt numFmtId="182" formatCode="&quot;$&quot;#,##0.0;\(&quot;$&quot;#,##0.0\);"/>
  </numFmts>
  <fonts count="20" x14ac:knownFonts="1">
    <font>
      <sz val="11"/>
      <name val="Times New Roman"/>
    </font>
    <font>
      <b/>
      <sz val="11"/>
      <name val="Times New Roman"/>
      <family val="1"/>
    </font>
    <font>
      <b/>
      <sz val="12"/>
      <name val="Times New Roman"/>
      <family val="1"/>
    </font>
    <font>
      <b/>
      <sz val="14"/>
      <name val="Times New Roman"/>
      <family val="1"/>
    </font>
    <font>
      <b/>
      <sz val="18"/>
      <name val="Times New Roman"/>
      <family val="1"/>
    </font>
    <font>
      <sz val="10"/>
      <name val="Times New Roman"/>
      <family val="1"/>
    </font>
    <font>
      <sz val="12"/>
      <name val="Times New Roman"/>
      <family val="1"/>
    </font>
    <font>
      <i/>
      <sz val="10"/>
      <name val="Times New Roman"/>
      <family val="1"/>
    </font>
    <font>
      <b/>
      <sz val="10"/>
      <name val="Times New Roman"/>
      <family val="1"/>
    </font>
    <font>
      <i/>
      <sz val="12"/>
      <name val="Times New Roman"/>
      <family val="1"/>
    </font>
    <font>
      <i/>
      <sz val="14"/>
      <name val="Times New Roman"/>
      <family val="1"/>
    </font>
    <font>
      <b/>
      <u/>
      <sz val="11"/>
      <name val="Times New Roman"/>
      <family val="1"/>
    </font>
    <font>
      <b/>
      <sz val="16"/>
      <name val="Times New Roman"/>
      <family val="1"/>
    </font>
    <font>
      <b/>
      <u/>
      <sz val="12"/>
      <name val="Times New Roman"/>
      <family val="1"/>
    </font>
    <font>
      <u/>
      <sz val="12"/>
      <name val="Times New Roman"/>
      <family val="1"/>
    </font>
    <font>
      <sz val="18"/>
      <name val="Times New Roman"/>
      <family val="1"/>
    </font>
    <font>
      <sz val="11"/>
      <name val="Times New Roman"/>
      <family val="1"/>
    </font>
    <font>
      <b/>
      <i/>
      <sz val="10"/>
      <name val="Times New Roman"/>
      <family val="1"/>
    </font>
    <font>
      <sz val="14"/>
      <name val="Times New Roman"/>
      <family val="1"/>
    </font>
    <font>
      <sz val="8"/>
      <name val="Times New Roman"/>
    </font>
  </fonts>
  <fills count="3">
    <fill>
      <patternFill patternType="none"/>
    </fill>
    <fill>
      <patternFill patternType="gray125"/>
    </fill>
    <fill>
      <patternFill patternType="gray0625"/>
    </fill>
  </fills>
  <borders count="43">
    <border>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right style="thin">
        <color indexed="64"/>
      </right>
      <top/>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hair">
        <color indexed="64"/>
      </left>
      <right style="hair">
        <color indexed="64"/>
      </right>
      <top style="medium">
        <color indexed="64"/>
      </top>
      <bottom/>
      <diagonal/>
    </border>
    <border>
      <left style="hair">
        <color indexed="64"/>
      </left>
      <right style="hair">
        <color indexed="64"/>
      </right>
      <top/>
      <bottom/>
      <diagonal/>
    </border>
    <border>
      <left style="hair">
        <color indexed="64"/>
      </left>
      <right style="hair">
        <color indexed="64"/>
      </right>
      <top style="thin">
        <color indexed="64"/>
      </top>
      <bottom/>
      <diagonal/>
    </border>
    <border>
      <left style="hair">
        <color indexed="64"/>
      </left>
      <right style="hair">
        <color indexed="64"/>
      </right>
      <top/>
      <bottom style="medium">
        <color indexed="64"/>
      </bottom>
      <diagonal/>
    </border>
    <border>
      <left style="hair">
        <color indexed="64"/>
      </left>
      <right style="medium">
        <color indexed="64"/>
      </right>
      <top style="medium">
        <color indexed="64"/>
      </top>
      <bottom/>
      <diagonal/>
    </border>
    <border>
      <left style="hair">
        <color indexed="64"/>
      </left>
      <right style="medium">
        <color indexed="64"/>
      </right>
      <top/>
      <bottom/>
      <diagonal/>
    </border>
    <border>
      <left style="hair">
        <color indexed="64"/>
      </left>
      <right style="medium">
        <color indexed="64"/>
      </right>
      <top style="thin">
        <color indexed="64"/>
      </top>
      <bottom/>
      <diagonal/>
    </border>
    <border>
      <left style="hair">
        <color indexed="64"/>
      </left>
      <right style="medium">
        <color indexed="64"/>
      </right>
      <top/>
      <bottom style="medium">
        <color indexed="64"/>
      </bottom>
      <diagonal/>
    </border>
    <border>
      <left/>
      <right style="thin">
        <color indexed="64"/>
      </right>
      <top/>
      <bottom style="medium">
        <color indexed="64"/>
      </bottom>
      <diagonal/>
    </border>
    <border>
      <left/>
      <right style="thin">
        <color indexed="64"/>
      </right>
      <top style="medium">
        <color indexed="64"/>
      </top>
      <bottom/>
      <diagonal/>
    </border>
    <border>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hair">
        <color indexed="64"/>
      </left>
      <right style="hair">
        <color indexed="64"/>
      </right>
      <top/>
      <bottom style="thin">
        <color indexed="64"/>
      </bottom>
      <diagonal/>
    </border>
  </borders>
  <cellStyleXfs count="1">
    <xf numFmtId="0" fontId="0" fillId="0" borderId="0"/>
  </cellStyleXfs>
  <cellXfs count="264">
    <xf numFmtId="0" fontId="0" fillId="0" borderId="0" xfId="0"/>
    <xf numFmtId="0" fontId="0" fillId="0" borderId="0" xfId="0" applyAlignment="1">
      <alignment horizontal="center"/>
    </xf>
    <xf numFmtId="0" fontId="1" fillId="0" borderId="0" xfId="0" applyFont="1"/>
    <xf numFmtId="8" fontId="0" fillId="0" borderId="0" xfId="0" applyNumberFormat="1" applyBorder="1"/>
    <xf numFmtId="166" fontId="0" fillId="0" borderId="0" xfId="0" applyNumberFormat="1" applyBorder="1" applyAlignment="1">
      <alignment horizontal="center"/>
    </xf>
    <xf numFmtId="164" fontId="0" fillId="0" borderId="0" xfId="0" applyNumberFormat="1" applyBorder="1"/>
    <xf numFmtId="165" fontId="0" fillId="0" borderId="0" xfId="0" applyNumberFormat="1" applyBorder="1"/>
    <xf numFmtId="165" fontId="0" fillId="0" borderId="1" xfId="0" applyNumberFormat="1" applyBorder="1"/>
    <xf numFmtId="8" fontId="0" fillId="0" borderId="2" xfId="0" applyNumberFormat="1" applyBorder="1"/>
    <xf numFmtId="166" fontId="0" fillId="0" borderId="2" xfId="0" applyNumberFormat="1" applyBorder="1" applyAlignment="1">
      <alignment horizontal="center"/>
    </xf>
    <xf numFmtId="164" fontId="0" fillId="0" borderId="2" xfId="0" applyNumberFormat="1" applyBorder="1"/>
    <xf numFmtId="165" fontId="0" fillId="0" borderId="2" xfId="0" applyNumberFormat="1" applyBorder="1"/>
    <xf numFmtId="165" fontId="0" fillId="0" borderId="3" xfId="0" applyNumberFormat="1" applyBorder="1"/>
    <xf numFmtId="0" fontId="0" fillId="0" borderId="4" xfId="0" applyBorder="1" applyAlignment="1">
      <alignment horizontal="center"/>
    </xf>
    <xf numFmtId="0" fontId="0" fillId="0" borderId="5" xfId="0" applyBorder="1" applyAlignment="1">
      <alignment horizontal="center"/>
    </xf>
    <xf numFmtId="0" fontId="1" fillId="0" borderId="0" xfId="0" applyFont="1" applyAlignment="1">
      <alignment horizontal="center"/>
    </xf>
    <xf numFmtId="0" fontId="2" fillId="2" borderId="6" xfId="0" applyFont="1" applyFill="1" applyBorder="1"/>
    <xf numFmtId="0" fontId="0" fillId="2" borderId="7" xfId="0" applyFill="1" applyBorder="1"/>
    <xf numFmtId="0" fontId="0" fillId="2" borderId="7" xfId="0" applyFill="1" applyBorder="1" applyAlignment="1">
      <alignment horizontal="center"/>
    </xf>
    <xf numFmtId="0" fontId="0" fillId="2" borderId="8" xfId="0" applyFill="1" applyBorder="1"/>
    <xf numFmtId="0" fontId="3" fillId="2" borderId="6" xfId="0" applyFont="1" applyFill="1" applyBorder="1"/>
    <xf numFmtId="165" fontId="0" fillId="0" borderId="0" xfId="0" applyNumberFormat="1" applyBorder="1" applyAlignment="1">
      <alignment horizontal="center"/>
    </xf>
    <xf numFmtId="165" fontId="0" fillId="0" borderId="1" xfId="0" applyNumberFormat="1" applyBorder="1" applyAlignment="1">
      <alignment horizontal="center"/>
    </xf>
    <xf numFmtId="165" fontId="0" fillId="0" borderId="2" xfId="0" applyNumberFormat="1" applyBorder="1" applyAlignment="1">
      <alignment horizontal="center"/>
    </xf>
    <xf numFmtId="165" fontId="0" fillId="0" borderId="3" xfId="0" applyNumberFormat="1" applyBorder="1" applyAlignment="1">
      <alignment horizontal="center"/>
    </xf>
    <xf numFmtId="0" fontId="0" fillId="0" borderId="6" xfId="0" applyBorder="1" applyAlignment="1">
      <alignment horizontal="center"/>
    </xf>
    <xf numFmtId="8" fontId="0" fillId="0" borderId="7" xfId="0" applyNumberFormat="1" applyBorder="1"/>
    <xf numFmtId="166" fontId="0" fillId="0" borderId="7" xfId="0" applyNumberFormat="1" applyBorder="1" applyAlignment="1">
      <alignment horizontal="center"/>
    </xf>
    <xf numFmtId="164" fontId="0" fillId="0" borderId="7" xfId="0" applyNumberFormat="1" applyBorder="1"/>
    <xf numFmtId="168" fontId="0" fillId="0" borderId="7" xfId="0" applyNumberFormat="1" applyBorder="1" applyAlignment="1">
      <alignment horizontal="center"/>
    </xf>
    <xf numFmtId="0" fontId="0" fillId="0" borderId="6" xfId="0" applyBorder="1"/>
    <xf numFmtId="0" fontId="0" fillId="0" borderId="7" xfId="0" applyBorder="1"/>
    <xf numFmtId="165" fontId="0" fillId="0" borderId="7" xfId="0" applyNumberFormat="1" applyBorder="1" applyAlignment="1">
      <alignment horizontal="center"/>
    </xf>
    <xf numFmtId="165" fontId="0" fillId="0" borderId="8" xfId="0" applyNumberFormat="1" applyBorder="1" applyAlignment="1">
      <alignment horizontal="center"/>
    </xf>
    <xf numFmtId="0" fontId="0" fillId="0" borderId="0" xfId="0" applyBorder="1"/>
    <xf numFmtId="166" fontId="0" fillId="0" borderId="0" xfId="0" applyNumberFormat="1" applyBorder="1"/>
    <xf numFmtId="168" fontId="1" fillId="0" borderId="7" xfId="0" applyNumberFormat="1" applyFont="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5" fillId="0" borderId="0" xfId="0" applyFont="1"/>
    <xf numFmtId="0" fontId="6" fillId="0" borderId="0" xfId="0" applyFont="1"/>
    <xf numFmtId="0" fontId="2" fillId="0" borderId="0" xfId="0" applyFont="1" applyAlignment="1">
      <alignment horizontal="center"/>
    </xf>
    <xf numFmtId="0" fontId="2" fillId="0" borderId="0" xfId="0" applyFont="1" applyBorder="1" applyAlignment="1">
      <alignment horizontal="center"/>
    </xf>
    <xf numFmtId="0" fontId="2" fillId="0" borderId="9" xfId="0" applyFont="1" applyBorder="1" applyAlignment="1">
      <alignment horizontal="center"/>
    </xf>
    <xf numFmtId="169" fontId="2" fillId="0" borderId="9" xfId="0" applyNumberFormat="1" applyFont="1" applyBorder="1" applyAlignment="1">
      <alignment horizontal="center"/>
    </xf>
    <xf numFmtId="0" fontId="2" fillId="0" borderId="0" xfId="0" applyFont="1"/>
    <xf numFmtId="164" fontId="6" fillId="0" borderId="0" xfId="0" applyNumberFormat="1" applyFont="1"/>
    <xf numFmtId="0" fontId="7" fillId="0" borderId="0" xfId="0" applyFont="1" applyAlignment="1">
      <alignment horizontal="right"/>
    </xf>
    <xf numFmtId="170" fontId="7" fillId="0" borderId="0" xfId="0" applyNumberFormat="1" applyFont="1"/>
    <xf numFmtId="166" fontId="6" fillId="0" borderId="0" xfId="0" applyNumberFormat="1" applyFont="1"/>
    <xf numFmtId="168" fontId="8" fillId="0" borderId="0" xfId="0" applyNumberFormat="1" applyFont="1" applyBorder="1" applyAlignment="1">
      <alignment horizontal="center"/>
    </xf>
    <xf numFmtId="169" fontId="7" fillId="0" borderId="0" xfId="0" applyNumberFormat="1" applyFont="1"/>
    <xf numFmtId="171" fontId="6" fillId="0" borderId="0" xfId="0" applyNumberFormat="1" applyFont="1"/>
    <xf numFmtId="0" fontId="6" fillId="0" borderId="9" xfId="0" applyFont="1" applyBorder="1"/>
    <xf numFmtId="0" fontId="6" fillId="0" borderId="0" xfId="0" applyFont="1" applyBorder="1"/>
    <xf numFmtId="0" fontId="10" fillId="0" borderId="0" xfId="0" applyFont="1"/>
    <xf numFmtId="0" fontId="3" fillId="0" borderId="0" xfId="0" applyFont="1" applyAlignment="1">
      <alignment vertical="top"/>
    </xf>
    <xf numFmtId="0" fontId="0" fillId="0" borderId="10" xfId="0" applyBorder="1"/>
    <xf numFmtId="0" fontId="11" fillId="0" borderId="0" xfId="0" applyFont="1" applyAlignment="1">
      <alignment horizontal="center"/>
    </xf>
    <xf numFmtId="0" fontId="1" fillId="0" borderId="9" xfId="0" applyFont="1" applyBorder="1" applyAlignment="1">
      <alignment horizontal="center"/>
    </xf>
    <xf numFmtId="14" fontId="0" fillId="0" borderId="0" xfId="0" applyNumberFormat="1"/>
    <xf numFmtId="164" fontId="0" fillId="0" borderId="0" xfId="0" applyNumberFormat="1"/>
    <xf numFmtId="0" fontId="12" fillId="0" borderId="0" xfId="0" applyFont="1"/>
    <xf numFmtId="169" fontId="0" fillId="0" borderId="0" xfId="0" applyNumberFormat="1"/>
    <xf numFmtId="17" fontId="0" fillId="0" borderId="0" xfId="0" applyNumberFormat="1" applyAlignment="1">
      <alignment horizontal="center"/>
    </xf>
    <xf numFmtId="164" fontId="0" fillId="0" borderId="0" xfId="0" applyNumberFormat="1" applyAlignment="1">
      <alignment horizontal="center"/>
    </xf>
    <xf numFmtId="173" fontId="0" fillId="0" borderId="0" xfId="0" applyNumberFormat="1" applyBorder="1"/>
    <xf numFmtId="169" fontId="0" fillId="0" borderId="0" xfId="0" applyNumberFormat="1" applyAlignment="1">
      <alignment horizontal="center"/>
    </xf>
    <xf numFmtId="169" fontId="1" fillId="2" borderId="11" xfId="0" applyNumberFormat="1" applyFont="1" applyFill="1" applyBorder="1"/>
    <xf numFmtId="169" fontId="1" fillId="2" borderId="9" xfId="0" applyNumberFormat="1" applyFont="1" applyFill="1" applyBorder="1"/>
    <xf numFmtId="164" fontId="1" fillId="2" borderId="11" xfId="0" applyNumberFormat="1" applyFont="1" applyFill="1" applyBorder="1"/>
    <xf numFmtId="165" fontId="1" fillId="2" borderId="11" xfId="0" applyNumberFormat="1" applyFont="1" applyFill="1" applyBorder="1"/>
    <xf numFmtId="164" fontId="1" fillId="2" borderId="9" xfId="0" applyNumberFormat="1" applyFont="1" applyFill="1" applyBorder="1"/>
    <xf numFmtId="165" fontId="1" fillId="2" borderId="9" xfId="0" applyNumberFormat="1" applyFont="1" applyFill="1" applyBorder="1"/>
    <xf numFmtId="0" fontId="1" fillId="0" borderId="12" xfId="0" applyFont="1" applyBorder="1"/>
    <xf numFmtId="0" fontId="0" fillId="0" borderId="13" xfId="0" applyBorder="1"/>
    <xf numFmtId="164" fontId="1" fillId="0" borderId="13" xfId="0" applyNumberFormat="1" applyFont="1" applyBorder="1"/>
    <xf numFmtId="165" fontId="1" fillId="0" borderId="13" xfId="0" applyNumberFormat="1" applyFont="1" applyBorder="1"/>
    <xf numFmtId="165" fontId="1" fillId="0" borderId="14" xfId="0" applyNumberFormat="1" applyFont="1" applyBorder="1"/>
    <xf numFmtId="0" fontId="1" fillId="2" borderId="15" xfId="0" applyFont="1" applyFill="1" applyBorder="1"/>
    <xf numFmtId="165" fontId="1" fillId="2" borderId="16" xfId="0" applyNumberFormat="1" applyFont="1" applyFill="1" applyBorder="1"/>
    <xf numFmtId="0" fontId="1" fillId="2" borderId="17" xfId="0" applyFont="1" applyFill="1" applyBorder="1"/>
    <xf numFmtId="165" fontId="1" fillId="2" borderId="18" xfId="0" applyNumberFormat="1" applyFont="1" applyFill="1" applyBorder="1"/>
    <xf numFmtId="0" fontId="1" fillId="0" borderId="5" xfId="0" applyFont="1" applyBorder="1"/>
    <xf numFmtId="0" fontId="0" fillId="0" borderId="2" xfId="0" applyBorder="1"/>
    <xf numFmtId="164" fontId="1" fillId="0" borderId="2" xfId="0" applyNumberFormat="1" applyFont="1" applyBorder="1"/>
    <xf numFmtId="165" fontId="1" fillId="0" borderId="2" xfId="0" applyNumberFormat="1" applyFont="1" applyBorder="1"/>
    <xf numFmtId="165" fontId="1" fillId="0" borderId="3" xfId="0" applyNumberFormat="1" applyFont="1" applyBorder="1"/>
    <xf numFmtId="169" fontId="1" fillId="0" borderId="13" xfId="0" applyNumberFormat="1" applyFont="1" applyBorder="1"/>
    <xf numFmtId="169" fontId="1" fillId="0" borderId="14" xfId="0" applyNumberFormat="1" applyFont="1" applyBorder="1"/>
    <xf numFmtId="169" fontId="1" fillId="2" borderId="16" xfId="0" applyNumberFormat="1" applyFont="1" applyFill="1" applyBorder="1"/>
    <xf numFmtId="169" fontId="1" fillId="2" borderId="18" xfId="0" applyNumberFormat="1" applyFont="1" applyFill="1" applyBorder="1"/>
    <xf numFmtId="169" fontId="1" fillId="0" borderId="2" xfId="0" applyNumberFormat="1" applyFont="1" applyBorder="1"/>
    <xf numFmtId="169" fontId="1" fillId="0" borderId="3" xfId="0" applyNumberFormat="1" applyFont="1" applyBorder="1"/>
    <xf numFmtId="0" fontId="0" fillId="0" borderId="3" xfId="0" applyBorder="1"/>
    <xf numFmtId="0" fontId="13" fillId="0" borderId="0" xfId="0" applyFont="1" applyAlignment="1">
      <alignment horizontal="justify"/>
    </xf>
    <xf numFmtId="0" fontId="6" fillId="0" borderId="0" xfId="0" applyFont="1" applyAlignment="1">
      <alignment horizontal="justify"/>
    </xf>
    <xf numFmtId="6" fontId="6" fillId="0" borderId="0" xfId="0" applyNumberFormat="1" applyFont="1" applyAlignment="1">
      <alignment horizontal="justify"/>
    </xf>
    <xf numFmtId="6" fontId="14" fillId="0" borderId="0" xfId="0" applyNumberFormat="1" applyFont="1" applyAlignment="1">
      <alignment horizontal="justify"/>
    </xf>
    <xf numFmtId="10" fontId="6" fillId="0" borderId="0" xfId="0" applyNumberFormat="1" applyFont="1" applyAlignment="1">
      <alignment horizontal="justify"/>
    </xf>
    <xf numFmtId="6" fontId="2" fillId="0" borderId="0" xfId="0" applyNumberFormat="1" applyFont="1" applyAlignment="1">
      <alignment horizontal="justify"/>
    </xf>
    <xf numFmtId="3" fontId="6" fillId="0" borderId="0" xfId="0" applyNumberFormat="1" applyFont="1" applyAlignment="1">
      <alignment horizontal="justify"/>
    </xf>
    <xf numFmtId="3" fontId="14" fillId="0" borderId="0" xfId="0" applyNumberFormat="1" applyFont="1" applyAlignment="1">
      <alignment horizontal="justify"/>
    </xf>
    <xf numFmtId="3" fontId="2" fillId="0" borderId="0" xfId="0" applyNumberFormat="1" applyFont="1" applyAlignment="1">
      <alignment horizontal="justify"/>
    </xf>
    <xf numFmtId="8" fontId="6" fillId="0" borderId="0" xfId="0" applyNumberFormat="1" applyFont="1"/>
    <xf numFmtId="6" fontId="6" fillId="0" borderId="0" xfId="0" applyNumberFormat="1" applyFont="1" applyAlignment="1">
      <alignment horizontal="right"/>
    </xf>
    <xf numFmtId="6" fontId="14" fillId="0" borderId="0" xfId="0" applyNumberFormat="1" applyFont="1" applyAlignment="1">
      <alignment horizontal="right"/>
    </xf>
    <xf numFmtId="6" fontId="2" fillId="0" borderId="0" xfId="0" applyNumberFormat="1" applyFont="1" applyAlignment="1">
      <alignment horizontal="right"/>
    </xf>
    <xf numFmtId="0" fontId="2" fillId="0" borderId="0" xfId="0" applyFont="1" applyAlignment="1">
      <alignment horizontal="justify"/>
    </xf>
    <xf numFmtId="170" fontId="2" fillId="0" borderId="0" xfId="0" applyNumberFormat="1" applyFont="1" applyAlignment="1">
      <alignment horizontal="right"/>
    </xf>
    <xf numFmtId="170" fontId="6" fillId="0" borderId="0" xfId="0" applyNumberFormat="1" applyFont="1" applyAlignment="1">
      <alignment horizontal="right"/>
    </xf>
    <xf numFmtId="170" fontId="14" fillId="0" borderId="0" xfId="0" applyNumberFormat="1" applyFont="1" applyAlignment="1">
      <alignment horizontal="right"/>
    </xf>
    <xf numFmtId="177" fontId="6" fillId="0" borderId="0" xfId="0" applyNumberFormat="1" applyFont="1" applyAlignment="1">
      <alignment horizontal="right"/>
    </xf>
    <xf numFmtId="177" fontId="2" fillId="0" borderId="0" xfId="0" applyNumberFormat="1" applyFont="1" applyAlignment="1">
      <alignment horizontal="right"/>
    </xf>
    <xf numFmtId="177" fontId="14" fillId="0" borderId="0" xfId="0" applyNumberFormat="1" applyFont="1" applyAlignment="1">
      <alignment horizontal="right"/>
    </xf>
    <xf numFmtId="168" fontId="6" fillId="0" borderId="0" xfId="0" applyNumberFormat="1" applyFont="1" applyAlignment="1">
      <alignment horizontal="center"/>
    </xf>
    <xf numFmtId="0" fontId="13" fillId="0" borderId="0" xfId="0" applyFont="1" applyAlignment="1">
      <alignment horizontal="center"/>
    </xf>
    <xf numFmtId="178" fontId="1" fillId="0" borderId="12" xfId="0" applyNumberFormat="1" applyFont="1" applyBorder="1"/>
    <xf numFmtId="178" fontId="1" fillId="2" borderId="15" xfId="0" applyNumberFormat="1" applyFont="1" applyFill="1" applyBorder="1"/>
    <xf numFmtId="178" fontId="1" fillId="2" borderId="17" xfId="0" applyNumberFormat="1" applyFont="1" applyFill="1" applyBorder="1"/>
    <xf numFmtId="178" fontId="1" fillId="0" borderId="5" xfId="0" applyNumberFormat="1" applyFont="1" applyBorder="1"/>
    <xf numFmtId="169" fontId="0" fillId="0" borderId="0" xfId="0" applyNumberFormat="1" applyAlignment="1">
      <alignment horizontal="right"/>
    </xf>
    <xf numFmtId="0" fontId="0" fillId="0" borderId="0" xfId="0" applyAlignment="1">
      <alignment horizontal="left" wrapText="1"/>
    </xf>
    <xf numFmtId="0" fontId="3" fillId="0" borderId="0" xfId="0" applyFont="1"/>
    <xf numFmtId="0" fontId="0" fillId="0" borderId="4" xfId="0" applyBorder="1"/>
    <xf numFmtId="178" fontId="0" fillId="0" borderId="0" xfId="0" applyNumberFormat="1" applyBorder="1"/>
    <xf numFmtId="0" fontId="1" fillId="0" borderId="0" xfId="0" applyFont="1" applyBorder="1"/>
    <xf numFmtId="0" fontId="7" fillId="0" borderId="0" xfId="0" applyFont="1" applyBorder="1" applyAlignment="1">
      <alignment horizontal="right"/>
    </xf>
    <xf numFmtId="0" fontId="5" fillId="0" borderId="0" xfId="0" applyFont="1" applyBorder="1"/>
    <xf numFmtId="0" fontId="0" fillId="0" borderId="5" xfId="0" applyBorder="1"/>
    <xf numFmtId="0" fontId="5" fillId="0" borderId="2" xfId="0" applyFont="1" applyBorder="1"/>
    <xf numFmtId="0" fontId="6" fillId="0" borderId="4" xfId="0" applyFont="1" applyBorder="1"/>
    <xf numFmtId="164" fontId="6" fillId="0" borderId="0" xfId="0" applyNumberFormat="1" applyFont="1" applyBorder="1"/>
    <xf numFmtId="0" fontId="5" fillId="0" borderId="4" xfId="0" applyFont="1" applyBorder="1"/>
    <xf numFmtId="0" fontId="9" fillId="0" borderId="0" xfId="0" applyFont="1" applyBorder="1" applyAlignment="1">
      <alignment horizontal="left"/>
    </xf>
    <xf numFmtId="0" fontId="7" fillId="0" borderId="0" xfId="0" applyFont="1" applyBorder="1"/>
    <xf numFmtId="0" fontId="6" fillId="0" borderId="15" xfId="0" applyFont="1" applyBorder="1"/>
    <xf numFmtId="0" fontId="5" fillId="0" borderId="11" xfId="0" applyFont="1" applyBorder="1"/>
    <xf numFmtId="164" fontId="6" fillId="0" borderId="19" xfId="0" applyNumberFormat="1" applyFont="1" applyBorder="1"/>
    <xf numFmtId="0" fontId="5" fillId="0" borderId="20" xfId="0" applyFont="1" applyBorder="1"/>
    <xf numFmtId="164" fontId="6" fillId="0" borderId="21" xfId="0" applyNumberFormat="1" applyFont="1" applyBorder="1"/>
    <xf numFmtId="170" fontId="7" fillId="0" borderId="20" xfId="0" applyNumberFormat="1" applyFont="1" applyBorder="1" applyAlignment="1">
      <alignment horizontal="center"/>
    </xf>
    <xf numFmtId="0" fontId="0" fillId="0" borderId="22" xfId="0" applyBorder="1"/>
    <xf numFmtId="170" fontId="6" fillId="0" borderId="20" xfId="0" applyNumberFormat="1" applyFont="1" applyBorder="1"/>
    <xf numFmtId="170" fontId="7" fillId="0" borderId="20" xfId="0" applyNumberFormat="1" applyFont="1" applyBorder="1"/>
    <xf numFmtId="164" fontId="6" fillId="0" borderId="23" xfId="0" applyNumberFormat="1" applyFont="1" applyBorder="1"/>
    <xf numFmtId="170" fontId="7" fillId="0" borderId="24" xfId="0" applyNumberFormat="1" applyFont="1" applyBorder="1"/>
    <xf numFmtId="0" fontId="5" fillId="0" borderId="24" xfId="0" applyFont="1" applyBorder="1"/>
    <xf numFmtId="170" fontId="6" fillId="0" borderId="24" xfId="0" applyNumberFormat="1" applyFont="1" applyBorder="1"/>
    <xf numFmtId="164" fontId="6" fillId="0" borderId="25" xfId="0" applyNumberFormat="1" applyFont="1" applyBorder="1"/>
    <xf numFmtId="178" fontId="6" fillId="0" borderId="23" xfId="0" applyNumberFormat="1" applyFont="1" applyBorder="1"/>
    <xf numFmtId="178" fontId="0" fillId="0" borderId="24" xfId="0" applyNumberFormat="1" applyBorder="1"/>
    <xf numFmtId="178" fontId="6" fillId="0" borderId="24" xfId="0" applyNumberFormat="1" applyFont="1" applyBorder="1"/>
    <xf numFmtId="172" fontId="17" fillId="0" borderId="24" xfId="0" applyNumberFormat="1" applyFont="1" applyBorder="1"/>
    <xf numFmtId="0" fontId="0" fillId="0" borderId="26" xfId="0" applyBorder="1"/>
    <xf numFmtId="178" fontId="6" fillId="0" borderId="19" xfId="0" applyNumberFormat="1" applyFont="1" applyBorder="1"/>
    <xf numFmtId="178" fontId="0" fillId="0" borderId="20" xfId="0" applyNumberFormat="1" applyBorder="1"/>
    <xf numFmtId="178" fontId="6" fillId="0" borderId="20" xfId="0" applyNumberFormat="1" applyFont="1" applyBorder="1"/>
    <xf numFmtId="172" fontId="17" fillId="0" borderId="20" xfId="0" applyNumberFormat="1" applyFont="1" applyBorder="1"/>
    <xf numFmtId="178" fontId="0" fillId="0" borderId="19" xfId="0" applyNumberFormat="1" applyBorder="1"/>
    <xf numFmtId="0" fontId="5" fillId="0" borderId="10" xfId="0" applyFont="1" applyBorder="1"/>
    <xf numFmtId="0" fontId="5" fillId="0" borderId="27" xfId="0" applyFont="1" applyBorder="1"/>
    <xf numFmtId="0" fontId="0" fillId="0" borderId="28" xfId="0" applyBorder="1"/>
    <xf numFmtId="0" fontId="7" fillId="0" borderId="10" xfId="0" applyFont="1" applyBorder="1" applyAlignment="1">
      <alignment horizontal="right"/>
    </xf>
    <xf numFmtId="0" fontId="9" fillId="0" borderId="10" xfId="0" applyFont="1" applyBorder="1" applyAlignment="1">
      <alignment horizontal="left"/>
    </xf>
    <xf numFmtId="0" fontId="5" fillId="0" borderId="29" xfId="0" applyFont="1" applyBorder="1"/>
    <xf numFmtId="0" fontId="0" fillId="0" borderId="27" xfId="0" applyBorder="1"/>
    <xf numFmtId="0" fontId="16" fillId="0" borderId="0" xfId="0" applyFont="1"/>
    <xf numFmtId="0" fontId="16" fillId="0" borderId="10" xfId="0" applyFont="1" applyBorder="1"/>
    <xf numFmtId="0" fontId="16" fillId="0" borderId="0" xfId="0" applyFont="1" applyAlignment="1">
      <alignment horizontal="center"/>
    </xf>
    <xf numFmtId="0" fontId="0" fillId="0" borderId="30" xfId="0" applyBorder="1"/>
    <xf numFmtId="0" fontId="3" fillId="0" borderId="30" xfId="0" applyFont="1" applyBorder="1" applyAlignment="1">
      <alignment horizontal="center" wrapText="1"/>
    </xf>
    <xf numFmtId="165" fontId="1" fillId="0" borderId="0" xfId="0" applyNumberFormat="1" applyFont="1" applyBorder="1" applyAlignment="1">
      <alignment horizontal="center"/>
    </xf>
    <xf numFmtId="0" fontId="0" fillId="0" borderId="15" xfId="0" applyBorder="1"/>
    <xf numFmtId="0" fontId="0" fillId="0" borderId="11" xfId="0" applyBorder="1"/>
    <xf numFmtId="0" fontId="0" fillId="0" borderId="29" xfId="0" applyBorder="1"/>
    <xf numFmtId="165" fontId="1" fillId="0" borderId="28" xfId="0" applyNumberFormat="1" applyFont="1" applyBorder="1" applyAlignment="1">
      <alignment horizontal="center"/>
    </xf>
    <xf numFmtId="165" fontId="1" fillId="0" borderId="10" xfId="0" applyNumberFormat="1" applyFont="1" applyBorder="1" applyAlignment="1">
      <alignment horizontal="center"/>
    </xf>
    <xf numFmtId="0" fontId="1" fillId="0" borderId="31" xfId="0" applyFont="1" applyBorder="1" applyAlignment="1">
      <alignment horizontal="center"/>
    </xf>
    <xf numFmtId="168" fontId="1" fillId="0" borderId="0" xfId="0" applyNumberFormat="1" applyFont="1" applyBorder="1" applyAlignment="1">
      <alignment horizontal="center"/>
    </xf>
    <xf numFmtId="0" fontId="1" fillId="0" borderId="32" xfId="0" applyFont="1" applyBorder="1"/>
    <xf numFmtId="0" fontId="1" fillId="2" borderId="33" xfId="0" applyFont="1" applyFill="1" applyBorder="1"/>
    <xf numFmtId="0" fontId="1" fillId="2" borderId="34" xfId="0" applyFont="1" applyFill="1" applyBorder="1"/>
    <xf numFmtId="0" fontId="1" fillId="0" borderId="35" xfId="0" applyFont="1" applyBorder="1"/>
    <xf numFmtId="0" fontId="0" fillId="0" borderId="32" xfId="0" applyBorder="1"/>
    <xf numFmtId="0" fontId="0" fillId="0" borderId="35" xfId="0" applyBorder="1"/>
    <xf numFmtId="0" fontId="7" fillId="0" borderId="10" xfId="0" applyFont="1" applyBorder="1"/>
    <xf numFmtId="172" fontId="7" fillId="0" borderId="20" xfId="0" applyNumberFormat="1" applyFont="1" applyBorder="1"/>
    <xf numFmtId="172" fontId="7" fillId="0" borderId="24" xfId="0" applyNumberFormat="1" applyFont="1" applyBorder="1"/>
    <xf numFmtId="166" fontId="7" fillId="0" borderId="20" xfId="0" applyNumberFormat="1" applyFont="1" applyBorder="1"/>
    <xf numFmtId="166" fontId="7" fillId="0" borderId="24" xfId="0" applyNumberFormat="1" applyFont="1" applyBorder="1"/>
    <xf numFmtId="0" fontId="1" fillId="0" borderId="33" xfId="0" applyFont="1" applyBorder="1" applyAlignment="1">
      <alignment horizontal="center"/>
    </xf>
    <xf numFmtId="0" fontId="1" fillId="0" borderId="36" xfId="0" applyFont="1" applyBorder="1" applyAlignment="1">
      <alignment horizontal="center"/>
    </xf>
    <xf numFmtId="0" fontId="1" fillId="0" borderId="34" xfId="0" applyFont="1" applyBorder="1" applyAlignment="1">
      <alignment horizontal="center"/>
    </xf>
    <xf numFmtId="0" fontId="1" fillId="0" borderId="34" xfId="0" applyFont="1" applyBorder="1"/>
    <xf numFmtId="0" fontId="0" fillId="0" borderId="33" xfId="0" applyBorder="1"/>
    <xf numFmtId="0" fontId="0" fillId="0" borderId="34" xfId="0" applyBorder="1"/>
    <xf numFmtId="0" fontId="0" fillId="0" borderId="0" xfId="0" applyAlignment="1">
      <alignment vertical="top"/>
    </xf>
    <xf numFmtId="164" fontId="0" fillId="0" borderId="0" xfId="0" applyNumberFormat="1" applyAlignment="1">
      <alignment vertical="top"/>
    </xf>
    <xf numFmtId="165" fontId="0" fillId="0" borderId="0" xfId="0" applyNumberFormat="1" applyBorder="1" applyAlignment="1">
      <alignment vertical="top"/>
    </xf>
    <xf numFmtId="165" fontId="0" fillId="0" borderId="0" xfId="0" applyNumberFormat="1" applyBorder="1" applyAlignment="1">
      <alignment horizontal="center" vertical="top"/>
    </xf>
    <xf numFmtId="165" fontId="1" fillId="0" borderId="0" xfId="0" applyNumberFormat="1" applyFont="1" applyBorder="1"/>
    <xf numFmtId="178" fontId="6" fillId="0" borderId="21" xfId="0" applyNumberFormat="1" applyFont="1" applyBorder="1"/>
    <xf numFmtId="178" fontId="6" fillId="0" borderId="25" xfId="0" applyNumberFormat="1" applyFont="1" applyBorder="1"/>
    <xf numFmtId="165" fontId="1" fillId="0" borderId="32" xfId="0" applyNumberFormat="1" applyFont="1" applyBorder="1"/>
    <xf numFmtId="165" fontId="1" fillId="2" borderId="33" xfId="0" applyNumberFormat="1" applyFont="1" applyFill="1" applyBorder="1"/>
    <xf numFmtId="165" fontId="1" fillId="2" borderId="34" xfId="0" applyNumberFormat="1" applyFont="1" applyFill="1" applyBorder="1"/>
    <xf numFmtId="165" fontId="1" fillId="0" borderId="35" xfId="0" applyNumberFormat="1" applyFont="1" applyBorder="1"/>
    <xf numFmtId="0" fontId="2" fillId="0" borderId="30" xfId="0" applyFont="1" applyBorder="1" applyAlignment="1">
      <alignment horizontal="center" wrapText="1"/>
    </xf>
    <xf numFmtId="0" fontId="8" fillId="0" borderId="9" xfId="0" applyFont="1" applyBorder="1" applyAlignment="1">
      <alignment horizontal="center"/>
    </xf>
    <xf numFmtId="0" fontId="0" fillId="0" borderId="37" xfId="0" applyBorder="1"/>
    <xf numFmtId="0" fontId="0" fillId="0" borderId="31" xfId="0" applyBorder="1"/>
    <xf numFmtId="0" fontId="0" fillId="0" borderId="38" xfId="0" applyBorder="1"/>
    <xf numFmtId="0" fontId="0" fillId="0" borderId="39" xfId="0" applyBorder="1"/>
    <xf numFmtId="0" fontId="0" fillId="0" borderId="40" xfId="0" applyBorder="1"/>
    <xf numFmtId="0" fontId="0" fillId="2" borderId="11" xfId="0" applyFill="1" applyBorder="1"/>
    <xf numFmtId="0" fontId="0" fillId="2" borderId="16" xfId="0" applyFill="1" applyBorder="1"/>
    <xf numFmtId="0" fontId="0" fillId="2" borderId="9" xfId="0" applyFill="1" applyBorder="1"/>
    <xf numFmtId="0" fontId="0" fillId="2" borderId="18" xfId="0" applyFill="1" applyBorder="1"/>
    <xf numFmtId="0" fontId="0" fillId="0" borderId="0" xfId="0" applyAlignment="1">
      <alignment horizontal="left" vertical="top"/>
    </xf>
    <xf numFmtId="14" fontId="0" fillId="0" borderId="0" xfId="0" applyNumberFormat="1" applyAlignment="1">
      <alignment horizontal="center"/>
    </xf>
    <xf numFmtId="14" fontId="0" fillId="0" borderId="0" xfId="0" applyNumberFormat="1" applyAlignment="1">
      <alignment horizontal="center" vertical="top"/>
    </xf>
    <xf numFmtId="0" fontId="8" fillId="0" borderId="0" xfId="0" applyFont="1" applyBorder="1"/>
    <xf numFmtId="165" fontId="17" fillId="0" borderId="20" xfId="0" applyNumberFormat="1" applyFont="1" applyBorder="1"/>
    <xf numFmtId="165" fontId="17" fillId="0" borderId="24" xfId="0" applyNumberFormat="1" applyFont="1" applyBorder="1"/>
    <xf numFmtId="0" fontId="18" fillId="2" borderId="7" xfId="0" applyFont="1" applyFill="1" applyBorder="1" applyAlignment="1">
      <alignment horizontal="center"/>
    </xf>
    <xf numFmtId="165" fontId="1" fillId="0" borderId="29" xfId="0" applyNumberFormat="1" applyFont="1" applyBorder="1" applyAlignment="1">
      <alignment horizontal="center"/>
    </xf>
    <xf numFmtId="178" fontId="0" fillId="0" borderId="21" xfId="0" applyNumberFormat="1" applyBorder="1"/>
    <xf numFmtId="178" fontId="0" fillId="0" borderId="11" xfId="0" applyNumberFormat="1" applyBorder="1"/>
    <xf numFmtId="0" fontId="18" fillId="2" borderId="7" xfId="0" applyFont="1" applyFill="1" applyBorder="1"/>
    <xf numFmtId="0" fontId="18" fillId="2" borderId="8" xfId="0" applyFont="1" applyFill="1" applyBorder="1"/>
    <xf numFmtId="0" fontId="18" fillId="0" borderId="0" xfId="0" applyFont="1"/>
    <xf numFmtId="178" fontId="0" fillId="0" borderId="13" xfId="0" applyNumberFormat="1" applyBorder="1"/>
    <xf numFmtId="0" fontId="0" fillId="0" borderId="21" xfId="0" applyBorder="1"/>
    <xf numFmtId="0" fontId="0" fillId="0" borderId="25" xfId="0" applyBorder="1"/>
    <xf numFmtId="0" fontId="1" fillId="0" borderId="13" xfId="0" applyFont="1" applyBorder="1"/>
    <xf numFmtId="178" fontId="2" fillId="0" borderId="19" xfId="0" applyNumberFormat="1" applyFont="1" applyBorder="1"/>
    <xf numFmtId="178" fontId="2" fillId="0" borderId="23" xfId="0" applyNumberFormat="1" applyFont="1" applyBorder="1"/>
    <xf numFmtId="0" fontId="7" fillId="0" borderId="11" xfId="0" applyFont="1" applyBorder="1" applyAlignment="1">
      <alignment horizontal="right"/>
    </xf>
    <xf numFmtId="0" fontId="8" fillId="0" borderId="11" xfId="0" applyFont="1" applyBorder="1"/>
    <xf numFmtId="165" fontId="17" fillId="0" borderId="21" xfId="0" applyNumberFormat="1" applyFont="1" applyBorder="1"/>
    <xf numFmtId="165" fontId="17" fillId="0" borderId="25" xfId="0" applyNumberFormat="1" applyFont="1" applyBorder="1"/>
    <xf numFmtId="169" fontId="17" fillId="0" borderId="25" xfId="0" applyNumberFormat="1" applyFont="1" applyBorder="1"/>
    <xf numFmtId="169" fontId="17" fillId="0" borderId="21" xfId="0" applyNumberFormat="1" applyFont="1" applyBorder="1"/>
    <xf numFmtId="182" fontId="0" fillId="0" borderId="0" xfId="0" applyNumberFormat="1"/>
    <xf numFmtId="172" fontId="0" fillId="0" borderId="0" xfId="0" applyNumberFormat="1"/>
    <xf numFmtId="39" fontId="0" fillId="0" borderId="0" xfId="0" applyNumberFormat="1"/>
    <xf numFmtId="169" fontId="7" fillId="0" borderId="21" xfId="0" applyNumberFormat="1" applyFont="1" applyBorder="1" applyAlignment="1">
      <alignment horizontal="center"/>
    </xf>
    <xf numFmtId="169" fontId="7" fillId="0" borderId="42" xfId="0" applyNumberFormat="1" applyFont="1" applyBorder="1" applyAlignment="1">
      <alignment horizontal="center"/>
    </xf>
    <xf numFmtId="0" fontId="4" fillId="0" borderId="0" xfId="0" applyFont="1" applyAlignment="1">
      <alignment horizontal="center"/>
    </xf>
    <xf numFmtId="0" fontId="1" fillId="0" borderId="9" xfId="0" applyFont="1" applyBorder="1" applyAlignment="1">
      <alignment horizontal="center"/>
    </xf>
    <xf numFmtId="0" fontId="6" fillId="0" borderId="30" xfId="0" applyFont="1" applyBorder="1" applyAlignment="1">
      <alignment horizontal="left" wrapText="1"/>
    </xf>
    <xf numFmtId="0" fontId="6" fillId="0" borderId="0" xfId="0" applyFont="1" applyAlignment="1">
      <alignment horizontal="left" wrapText="1"/>
    </xf>
    <xf numFmtId="0" fontId="3" fillId="0" borderId="0" xfId="0" applyFont="1" applyAlignment="1">
      <alignment vertical="top" wrapText="1"/>
    </xf>
    <xf numFmtId="0" fontId="0" fillId="0" borderId="10" xfId="0" applyBorder="1" applyAlignment="1">
      <alignment wrapText="1"/>
    </xf>
    <xf numFmtId="0" fontId="0" fillId="0" borderId="0" xfId="0" applyAlignment="1">
      <alignment horizontal="left" vertical="top" wrapText="1"/>
    </xf>
    <xf numFmtId="0" fontId="6" fillId="0" borderId="30" xfId="0" applyFont="1" applyBorder="1" applyAlignment="1">
      <alignment vertical="top" wrapText="1"/>
    </xf>
    <xf numFmtId="0" fontId="6" fillId="0" borderId="0" xfId="0" applyFont="1" applyAlignment="1">
      <alignment vertical="top" wrapText="1"/>
    </xf>
    <xf numFmtId="0" fontId="0" fillId="0" borderId="0" xfId="0" applyAlignment="1">
      <alignment horizontal="left" wrapText="1"/>
    </xf>
    <xf numFmtId="0" fontId="1" fillId="0" borderId="31" xfId="0" applyFont="1" applyBorder="1" applyAlignment="1">
      <alignment horizontal="center"/>
    </xf>
    <xf numFmtId="0" fontId="1" fillId="0" borderId="38" xfId="0" applyFont="1" applyBorder="1" applyAlignment="1">
      <alignment horizontal="center"/>
    </xf>
    <xf numFmtId="0" fontId="1" fillId="0" borderId="41" xfId="0" applyFont="1" applyBorder="1" applyAlignment="1">
      <alignment horizontal="center"/>
    </xf>
    <xf numFmtId="0" fontId="15" fillId="0" borderId="0" xfId="0" applyFont="1" applyAlignment="1">
      <alignment horizontal="center"/>
    </xf>
    <xf numFmtId="0" fontId="13"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1" i="0" u="none" strike="noStrike" baseline="0">
                <a:solidFill>
                  <a:srgbClr val="000000"/>
                </a:solidFill>
                <a:latin typeface="Times New Roman"/>
                <a:ea typeface="Times New Roman"/>
                <a:cs typeface="Times New Roman"/>
              </a:defRPr>
            </a:pPr>
            <a:r>
              <a:rPr lang="en-US"/>
              <a:t>IdleAire Technologies Value Projection</a:t>
            </a:r>
          </a:p>
        </c:rich>
      </c:tx>
      <c:layout>
        <c:manualLayout>
          <c:xMode val="edge"/>
          <c:yMode val="edge"/>
          <c:x val="0.19058889219517075"/>
          <c:y val="1.8518566361210218E-2"/>
        </c:manualLayout>
      </c:layout>
      <c:overlay val="0"/>
      <c:spPr>
        <a:noFill/>
        <a:ln w="25400">
          <a:noFill/>
        </a:ln>
      </c:spPr>
    </c:title>
    <c:autoTitleDeleted val="0"/>
    <c:plotArea>
      <c:layout>
        <c:manualLayout>
          <c:layoutTarget val="inner"/>
          <c:xMode val="edge"/>
          <c:yMode val="edge"/>
          <c:x val="0.20941248648605179"/>
          <c:y val="0.21428626789400398"/>
          <c:w val="0.39294253082214203"/>
          <c:h val="0.55026597187596082"/>
        </c:manualLayout>
      </c:layout>
      <c:barChart>
        <c:barDir val="col"/>
        <c:grouping val="clustered"/>
        <c:varyColors val="0"/>
        <c:ser>
          <c:idx val="0"/>
          <c:order val="0"/>
          <c:tx>
            <c:v>Revenues</c:v>
          </c:tx>
          <c:spPr>
            <a:solidFill>
              <a:srgbClr val="9999FF"/>
            </a:solidFill>
            <a:ln w="12700">
              <a:solidFill>
                <a:srgbClr val="000000"/>
              </a:solidFill>
              <a:prstDash val="solid"/>
            </a:ln>
          </c:spPr>
          <c:invertIfNegative val="0"/>
          <c:cat>
            <c:strRef>
              <c:f>Graphs!$D$20:$N$20</c:f>
              <c:strCache>
                <c:ptCount val="11"/>
                <c:pt idx="0">
                  <c:v>3Q00</c:v>
                </c:pt>
                <c:pt idx="1">
                  <c:v>4Q00</c:v>
                </c:pt>
                <c:pt idx="2">
                  <c:v>1Q01</c:v>
                </c:pt>
                <c:pt idx="3">
                  <c:v>2Q01</c:v>
                </c:pt>
                <c:pt idx="4">
                  <c:v>3Q01</c:v>
                </c:pt>
                <c:pt idx="5">
                  <c:v>4Q01</c:v>
                </c:pt>
                <c:pt idx="6">
                  <c:v>1Q02</c:v>
                </c:pt>
                <c:pt idx="7">
                  <c:v>2Q02</c:v>
                </c:pt>
                <c:pt idx="8">
                  <c:v>3Q02</c:v>
                </c:pt>
                <c:pt idx="9">
                  <c:v>4Q02</c:v>
                </c:pt>
                <c:pt idx="10">
                  <c:v>1Q03</c:v>
                </c:pt>
              </c:strCache>
            </c:strRef>
          </c:cat>
          <c:val>
            <c:numRef>
              <c:f>Graphs!$D$22:$N$22</c:f>
              <c:numCache>
                <c:formatCode>"$"#,##0.0;\("$"#,##0.0\);</c:formatCode>
                <c:ptCount val="11"/>
                <c:pt idx="0">
                  <c:v>0</c:v>
                </c:pt>
                <c:pt idx="1">
                  <c:v>0</c:v>
                </c:pt>
                <c:pt idx="2">
                  <c:v>0</c:v>
                </c:pt>
                <c:pt idx="3">
                  <c:v>0</c:v>
                </c:pt>
                <c:pt idx="4">
                  <c:v>0.106</c:v>
                </c:pt>
                <c:pt idx="5">
                  <c:v>2.4102554300000003</c:v>
                </c:pt>
                <c:pt idx="6">
                  <c:v>4.7585923235750007</c:v>
                </c:pt>
                <c:pt idx="7">
                  <c:v>14.615108516249999</c:v>
                </c:pt>
                <c:pt idx="8">
                  <c:v>39.353996656249997</c:v>
                </c:pt>
                <c:pt idx="9">
                  <c:v>64.579181941499996</c:v>
                </c:pt>
                <c:pt idx="10">
                  <c:v>106.9508626141392</c:v>
                </c:pt>
              </c:numCache>
            </c:numRef>
          </c:val>
          <c:extLst>
            <c:ext xmlns:c16="http://schemas.microsoft.com/office/drawing/2014/chart" uri="{C3380CC4-5D6E-409C-BE32-E72D297353CC}">
              <c16:uniqueId val="{00000000-C6C3-4312-8876-777110132654}"/>
            </c:ext>
          </c:extLst>
        </c:ser>
        <c:ser>
          <c:idx val="2"/>
          <c:order val="2"/>
          <c:tx>
            <c:v>EBITDA</c:v>
          </c:tx>
          <c:spPr>
            <a:pattFill prst="pct10">
              <a:fgClr>
                <a:srgbClr xmlns:mc="http://schemas.openxmlformats.org/markup-compatibility/2006" xmlns:a14="http://schemas.microsoft.com/office/drawing/2010/main" val="FF0000" mc:Ignorable="a14" a14:legacySpreadsheetColorIndex="10"/>
              </a:fgClr>
              <a:bgClr>
                <a:srgbClr xmlns:mc="http://schemas.openxmlformats.org/markup-compatibility/2006" xmlns:a14="http://schemas.microsoft.com/office/drawing/2010/main" val="FFFFFF" mc:Ignorable="a14" a14:legacySpreadsheetColorIndex="9"/>
              </a:bgClr>
            </a:pattFill>
            <a:ln w="12700">
              <a:solidFill>
                <a:srgbClr val="000000"/>
              </a:solidFill>
              <a:prstDash val="solid"/>
            </a:ln>
          </c:spPr>
          <c:invertIfNegative val="0"/>
          <c:val>
            <c:numRef>
              <c:f>Graphs!$D$23:$N$23</c:f>
              <c:numCache>
                <c:formatCode>"$"#,##0.0;\("$"#,##0.0\);</c:formatCode>
                <c:ptCount val="11"/>
                <c:pt idx="0">
                  <c:v>-0.76561701000000004</c:v>
                </c:pt>
                <c:pt idx="1">
                  <c:v>-1.4048378699999997</c:v>
                </c:pt>
                <c:pt idx="2">
                  <c:v>-4.6115547599999998</c:v>
                </c:pt>
                <c:pt idx="3">
                  <c:v>-8.1994823999999973</c:v>
                </c:pt>
                <c:pt idx="4">
                  <c:v>-5.1783238035749992</c:v>
                </c:pt>
                <c:pt idx="5">
                  <c:v>-6.9074694152385021</c:v>
                </c:pt>
                <c:pt idx="6">
                  <c:v>-10.728825424206407</c:v>
                </c:pt>
                <c:pt idx="7">
                  <c:v>-3.9692039710234353</c:v>
                </c:pt>
                <c:pt idx="8">
                  <c:v>9.0937259022525616</c:v>
                </c:pt>
                <c:pt idx="9">
                  <c:v>17.501673487325416</c:v>
                </c:pt>
                <c:pt idx="10">
                  <c:v>42.215734300600744</c:v>
                </c:pt>
              </c:numCache>
            </c:numRef>
          </c:val>
          <c:extLst>
            <c:ext xmlns:c16="http://schemas.microsoft.com/office/drawing/2014/chart" uri="{C3380CC4-5D6E-409C-BE32-E72D297353CC}">
              <c16:uniqueId val="{00000001-C6C3-4312-8876-777110132654}"/>
            </c:ext>
          </c:extLst>
        </c:ser>
        <c:dLbls>
          <c:showLegendKey val="0"/>
          <c:showVal val="0"/>
          <c:showCatName val="0"/>
          <c:showSerName val="0"/>
          <c:showPercent val="0"/>
          <c:showBubbleSize val="0"/>
        </c:dLbls>
        <c:gapWidth val="150"/>
        <c:axId val="183454616"/>
        <c:axId val="1"/>
      </c:barChart>
      <c:lineChart>
        <c:grouping val="standard"/>
        <c:varyColors val="0"/>
        <c:ser>
          <c:idx val="1"/>
          <c:order val="1"/>
          <c:tx>
            <c:v>Market Cap</c:v>
          </c:tx>
          <c:spPr>
            <a:ln w="12700">
              <a:solidFill>
                <a:srgbClr val="00FF00"/>
              </a:solidFill>
              <a:prstDash val="solid"/>
            </a:ln>
          </c:spPr>
          <c:marker>
            <c:symbol val="circle"/>
            <c:size val="5"/>
            <c:spPr>
              <a:solidFill>
                <a:srgbClr val="FFFFFF"/>
              </a:solidFill>
              <a:ln>
                <a:solidFill>
                  <a:srgbClr val="00FF00"/>
                </a:solidFill>
                <a:prstDash val="solid"/>
              </a:ln>
            </c:spPr>
          </c:marker>
          <c:cat>
            <c:strRef>
              <c:f>Graphs!$D$20:$N$20</c:f>
              <c:strCache>
                <c:ptCount val="11"/>
                <c:pt idx="0">
                  <c:v>3Q00</c:v>
                </c:pt>
                <c:pt idx="1">
                  <c:v>4Q00</c:v>
                </c:pt>
                <c:pt idx="2">
                  <c:v>1Q01</c:v>
                </c:pt>
                <c:pt idx="3">
                  <c:v>2Q01</c:v>
                </c:pt>
                <c:pt idx="4">
                  <c:v>3Q01</c:v>
                </c:pt>
                <c:pt idx="5">
                  <c:v>4Q01</c:v>
                </c:pt>
                <c:pt idx="6">
                  <c:v>1Q02</c:v>
                </c:pt>
                <c:pt idx="7">
                  <c:v>2Q02</c:v>
                </c:pt>
                <c:pt idx="8">
                  <c:v>3Q02</c:v>
                </c:pt>
                <c:pt idx="9">
                  <c:v>4Q02</c:v>
                </c:pt>
                <c:pt idx="10">
                  <c:v>1Q03</c:v>
                </c:pt>
              </c:strCache>
            </c:strRef>
          </c:cat>
          <c:val>
            <c:numRef>
              <c:f>Graphs!$D$25:$N$25</c:f>
              <c:numCache>
                <c:formatCode>"$"#,##0.0;\("$"#,##0.0\);</c:formatCode>
                <c:ptCount val="11"/>
                <c:pt idx="0">
                  <c:v>31.820600000000002</c:v>
                </c:pt>
                <c:pt idx="1">
                  <c:v>33.736499999999999</c:v>
                </c:pt>
                <c:pt idx="2">
                  <c:v>72</c:v>
                </c:pt>
                <c:pt idx="3">
                  <c:v>90.544599999999988</c:v>
                </c:pt>
                <c:pt idx="4">
                  <c:v>92.5</c:v>
                </c:pt>
                <c:pt idx="5">
                  <c:v>110</c:v>
                </c:pt>
                <c:pt idx="6">
                  <c:v>250</c:v>
                </c:pt>
                <c:pt idx="7">
                  <c:v>263.07195329249998</c:v>
                </c:pt>
                <c:pt idx="8">
                  <c:v>393.53996656249996</c:v>
                </c:pt>
                <c:pt idx="9">
                  <c:v>427.16783964374997</c:v>
                </c:pt>
                <c:pt idx="10">
                  <c:v>641.70517568483524</c:v>
                </c:pt>
              </c:numCache>
            </c:numRef>
          </c:val>
          <c:smooth val="0"/>
          <c:extLst>
            <c:ext xmlns:c16="http://schemas.microsoft.com/office/drawing/2014/chart" uri="{C3380CC4-5D6E-409C-BE32-E72D297353CC}">
              <c16:uniqueId val="{00000002-C6C3-4312-8876-777110132654}"/>
            </c:ext>
          </c:extLst>
        </c:ser>
        <c:dLbls>
          <c:showLegendKey val="0"/>
          <c:showVal val="0"/>
          <c:showCatName val="0"/>
          <c:showSerName val="0"/>
          <c:showPercent val="0"/>
          <c:showBubbleSize val="0"/>
        </c:dLbls>
        <c:marker val="1"/>
        <c:smooth val="0"/>
        <c:axId val="3"/>
        <c:axId val="4"/>
      </c:lineChart>
      <c:catAx>
        <c:axId val="183454616"/>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2"/>
        <c:tickMarkSkip val="1"/>
        <c:noMultiLvlLbl val="0"/>
      </c:catAx>
      <c:valAx>
        <c:axId val="1"/>
        <c:scaling>
          <c:orientation val="minMax"/>
          <c:max val="100"/>
          <c:min val="-6"/>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Times New Roman"/>
                    <a:ea typeface="Times New Roman"/>
                    <a:cs typeface="Times New Roman"/>
                  </a:defRPr>
                </a:pPr>
                <a:r>
                  <a:rPr lang="en-US"/>
                  <a:t>Annualized Sales &amp; EBITDA ($M)</a:t>
                </a:r>
              </a:p>
            </c:rich>
          </c:tx>
          <c:layout>
            <c:manualLayout>
              <c:xMode val="edge"/>
              <c:yMode val="edge"/>
              <c:x val="4.941193501356278E-2"/>
              <c:y val="0.23809585321555993"/>
            </c:manualLayout>
          </c:layout>
          <c:overlay val="0"/>
          <c:spPr>
            <a:noFill/>
            <a:ln w="25400">
              <a:noFill/>
            </a:ln>
          </c:spPr>
        </c:title>
        <c:numFmt formatCode="&quot;$&quot;#,##0.0;\(&quot;$&quot;#,##0.0\);" sourceLinked="1"/>
        <c:majorTickMark val="out"/>
        <c:minorTickMark val="out"/>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83454616"/>
        <c:crosses val="autoZero"/>
        <c:crossBetween val="between"/>
        <c:majorUnit val="10"/>
        <c:minorUnit val="1"/>
      </c:valAx>
      <c:catAx>
        <c:axId val="3"/>
        <c:scaling>
          <c:orientation val="minMax"/>
        </c:scaling>
        <c:delete val="1"/>
        <c:axPos val="b"/>
        <c:numFmt formatCode="General" sourceLinked="1"/>
        <c:majorTickMark val="out"/>
        <c:minorTickMark val="none"/>
        <c:tickLblPos val="nextTo"/>
        <c:crossAx val="4"/>
        <c:crosses val="autoZero"/>
        <c:auto val="1"/>
        <c:lblAlgn val="ctr"/>
        <c:lblOffset val="100"/>
        <c:noMultiLvlLbl val="0"/>
      </c:catAx>
      <c:valAx>
        <c:axId val="4"/>
        <c:scaling>
          <c:orientation val="minMax"/>
        </c:scaling>
        <c:delete val="0"/>
        <c:axPos val="r"/>
        <c:title>
          <c:tx>
            <c:rich>
              <a:bodyPr/>
              <a:lstStyle/>
              <a:p>
                <a:pPr>
                  <a:defRPr sz="800" b="1" i="0" u="none" strike="noStrike" baseline="0">
                    <a:solidFill>
                      <a:srgbClr val="000000"/>
                    </a:solidFill>
                    <a:latin typeface="Arial"/>
                    <a:ea typeface="Arial"/>
                    <a:cs typeface="Arial"/>
                  </a:defRPr>
                </a:pPr>
                <a:r>
                  <a:rPr lang="en-US"/>
                  <a:t>Market Capitalization ($M)</a:t>
                </a:r>
              </a:p>
            </c:rich>
          </c:tx>
          <c:layout>
            <c:manualLayout>
              <c:xMode val="edge"/>
              <c:yMode val="edge"/>
              <c:x val="0.73412017734436119"/>
              <c:y val="0.26719645749746168"/>
            </c:manualLayout>
          </c:layout>
          <c:overlay val="0"/>
          <c:spPr>
            <a:noFill/>
            <a:ln w="25400">
              <a:noFill/>
            </a:ln>
          </c:spPr>
        </c:title>
        <c:numFmt formatCode="&quot;$&quot;#,##0.0;\(&quot;$&quot;#,##0.0\);" sourceLinked="1"/>
        <c:majorTickMark val="cross"/>
        <c:minorTickMark val="out"/>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3"/>
        <c:crosses val="max"/>
        <c:crossBetween val="between"/>
        <c:minorUnit val="1.3475808689381541"/>
      </c:valAx>
      <c:spPr>
        <a:solidFill>
          <a:srgbClr val="FFFFFF"/>
        </a:solidFill>
        <a:ln w="12700">
          <a:solidFill>
            <a:srgbClr val="808080"/>
          </a:solidFill>
          <a:prstDash val="solid"/>
        </a:ln>
      </c:spPr>
    </c:plotArea>
    <c:legend>
      <c:legendPos val="b"/>
      <c:layout>
        <c:manualLayout>
          <c:xMode val="edge"/>
          <c:yMode val="edge"/>
          <c:x val="6.823552930444382E-2"/>
          <c:y val="0.91534628013981922"/>
          <c:w val="0.68706119161715851"/>
          <c:h val="6.3492227524149319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5" b="1" i="0" u="none" strike="noStrike" baseline="0">
                <a:solidFill>
                  <a:srgbClr val="000000"/>
                </a:solidFill>
                <a:latin typeface="Times New Roman"/>
                <a:ea typeface="Times New Roman"/>
                <a:cs typeface="Times New Roman"/>
              </a:defRPr>
            </a:pPr>
            <a:r>
              <a:rPr lang="en-US"/>
              <a:t>Cox Communications (COX)</a:t>
            </a:r>
          </a:p>
        </c:rich>
      </c:tx>
      <c:layout>
        <c:manualLayout>
          <c:xMode val="edge"/>
          <c:yMode val="edge"/>
          <c:x val="0.26655403290889806"/>
          <c:y val="3.5545085388621056E-2"/>
        </c:manualLayout>
      </c:layout>
      <c:overlay val="0"/>
      <c:spPr>
        <a:noFill/>
        <a:ln w="25400">
          <a:noFill/>
        </a:ln>
      </c:spPr>
    </c:title>
    <c:autoTitleDeleted val="0"/>
    <c:plotArea>
      <c:layout>
        <c:manualLayout>
          <c:layoutTarget val="inner"/>
          <c:xMode val="edge"/>
          <c:yMode val="edge"/>
          <c:x val="0.19015319545093368"/>
          <c:y val="0.20379182289476075"/>
          <c:w val="0.59762432856007719"/>
          <c:h val="0.63744186463593766"/>
        </c:manualLayout>
      </c:layout>
      <c:lineChart>
        <c:grouping val="standard"/>
        <c:varyColors val="0"/>
        <c:ser>
          <c:idx val="0"/>
          <c:order val="0"/>
          <c:tx>
            <c:v>Sales</c:v>
          </c:tx>
          <c:spPr>
            <a:ln w="12700">
              <a:solidFill>
                <a:srgbClr val="000080"/>
              </a:solidFill>
              <a:prstDash val="solid"/>
            </a:ln>
          </c:spPr>
          <c:marker>
            <c:symbol val="diamond"/>
            <c:size val="5"/>
            <c:spPr>
              <a:solidFill>
                <a:srgbClr val="000080"/>
              </a:solidFill>
              <a:ln>
                <a:solidFill>
                  <a:srgbClr val="000080"/>
                </a:solidFill>
                <a:prstDash val="solid"/>
              </a:ln>
            </c:spPr>
          </c:marker>
          <c:cat>
            <c:strRef>
              <c:f>'CPA Companies'!$A$6:$A$21</c:f>
              <c:strCache>
                <c:ptCount val="16"/>
                <c:pt idx="0">
                  <c:v>4Q01</c:v>
                </c:pt>
                <c:pt idx="1">
                  <c:v>3Q01</c:v>
                </c:pt>
                <c:pt idx="2">
                  <c:v>2Q01</c:v>
                </c:pt>
                <c:pt idx="3">
                  <c:v>1Q01</c:v>
                </c:pt>
                <c:pt idx="4">
                  <c:v>4Q00</c:v>
                </c:pt>
                <c:pt idx="5">
                  <c:v>3Q00</c:v>
                </c:pt>
                <c:pt idx="6">
                  <c:v>2Q00</c:v>
                </c:pt>
                <c:pt idx="7">
                  <c:v>1Q00</c:v>
                </c:pt>
                <c:pt idx="8">
                  <c:v>4Q99</c:v>
                </c:pt>
                <c:pt idx="9">
                  <c:v>3Q99</c:v>
                </c:pt>
                <c:pt idx="10">
                  <c:v>2Q99</c:v>
                </c:pt>
                <c:pt idx="11">
                  <c:v>1Q99</c:v>
                </c:pt>
                <c:pt idx="12">
                  <c:v>4Q98</c:v>
                </c:pt>
                <c:pt idx="13">
                  <c:v>3Q98</c:v>
                </c:pt>
                <c:pt idx="14">
                  <c:v>2Q98</c:v>
                </c:pt>
                <c:pt idx="15">
                  <c:v>1Q98</c:v>
                </c:pt>
              </c:strCache>
            </c:strRef>
          </c:cat>
          <c:val>
            <c:numRef>
              <c:f>'CPA Companies'!$H$139:$H$154</c:f>
              <c:numCache>
                <c:formatCode>#,##0.0\x_);[Red]\(#,##0.0\x\);</c:formatCode>
                <c:ptCount val="16"/>
                <c:pt idx="0">
                  <c:v>5.6306584141805693</c:v>
                </c:pt>
                <c:pt idx="1">
                  <c:v>5.813105646697891</c:v>
                </c:pt>
                <c:pt idx="2">
                  <c:v>6.4289329735672585</c:v>
                </c:pt>
                <c:pt idx="3">
                  <c:v>6.7415221609167526</c:v>
                </c:pt>
                <c:pt idx="4">
                  <c:v>7.3754659603169896</c:v>
                </c:pt>
                <c:pt idx="5">
                  <c:v>6.3699389836451958</c:v>
                </c:pt>
                <c:pt idx="6">
                  <c:v>8.5746144235005541</c:v>
                </c:pt>
                <c:pt idx="7">
                  <c:v>9.3250096166175158</c:v>
                </c:pt>
                <c:pt idx="8">
                  <c:v>9.2136660665347083</c:v>
                </c:pt>
                <c:pt idx="9">
                  <c:v>7.4318084809510569</c:v>
                </c:pt>
                <c:pt idx="10">
                  <c:v>6.7920230389078311</c:v>
                </c:pt>
                <c:pt idx="11">
                  <c:v>10.521606023127756</c:v>
                </c:pt>
                <c:pt idx="12">
                  <c:v>9.8907226073196117</c:v>
                </c:pt>
                <c:pt idx="13">
                  <c:v>8.2417485460690951</c:v>
                </c:pt>
                <c:pt idx="14">
                  <c:v>8.3450410015959449</c:v>
                </c:pt>
                <c:pt idx="15">
                  <c:v>6.5341883253908239</c:v>
                </c:pt>
              </c:numCache>
            </c:numRef>
          </c:val>
          <c:smooth val="0"/>
          <c:extLst>
            <c:ext xmlns:c16="http://schemas.microsoft.com/office/drawing/2014/chart" uri="{C3380CC4-5D6E-409C-BE32-E72D297353CC}">
              <c16:uniqueId val="{00000000-71E4-48D4-AF26-F4812209D513}"/>
            </c:ext>
          </c:extLst>
        </c:ser>
        <c:ser>
          <c:idx val="1"/>
          <c:order val="1"/>
          <c:tx>
            <c:v>EBITDA</c:v>
          </c:tx>
          <c:spPr>
            <a:ln w="12700">
              <a:solidFill>
                <a:srgbClr val="FF0000"/>
              </a:solidFill>
              <a:prstDash val="solid"/>
            </a:ln>
          </c:spPr>
          <c:marker>
            <c:symbol val="square"/>
            <c:size val="5"/>
            <c:spPr>
              <a:solidFill>
                <a:srgbClr val="FF0000"/>
              </a:solidFill>
              <a:ln>
                <a:solidFill>
                  <a:srgbClr val="FF0000"/>
                </a:solidFill>
                <a:prstDash val="solid"/>
              </a:ln>
            </c:spPr>
          </c:marker>
          <c:val>
            <c:numRef>
              <c:f>'CPA Companies'!$I$139:$I$154</c:f>
              <c:numCache>
                <c:formatCode>#,##0.0\x_);[Red]\(#,##0.0\x\);</c:formatCode>
                <c:ptCount val="16"/>
                <c:pt idx="0">
                  <c:v>12.232036444702917</c:v>
                </c:pt>
                <c:pt idx="1">
                  <c:v>12.948112719751812</c:v>
                </c:pt>
                <c:pt idx="2">
                  <c:v>14.724116147622743</c:v>
                </c:pt>
                <c:pt idx="3">
                  <c:v>15.929502148997136</c:v>
                </c:pt>
                <c:pt idx="4">
                  <c:v>18.052590891447792</c:v>
                </c:pt>
                <c:pt idx="5">
                  <c:v>16.229978509778309</c:v>
                </c:pt>
                <c:pt idx="6">
                  <c:v>20.38377502189984</c:v>
                </c:pt>
                <c:pt idx="7">
                  <c:v>22.340172268675239</c:v>
                </c:pt>
                <c:pt idx="8">
                  <c:v>26.530705144722148</c:v>
                </c:pt>
                <c:pt idx="9">
                  <c:v>19.092343289307408</c:v>
                </c:pt>
                <c:pt idx="10">
                  <c:v>16.20173113698873</c:v>
                </c:pt>
                <c:pt idx="11">
                  <c:v>17.336785802740735</c:v>
                </c:pt>
                <c:pt idx="12">
                  <c:v>43.018898060611754</c:v>
                </c:pt>
                <c:pt idx="13">
                  <c:v>20.585205149421157</c:v>
                </c:pt>
                <c:pt idx="14">
                  <c:v>20.922343489866979</c:v>
                </c:pt>
                <c:pt idx="15">
                  <c:v>16.637617092250316</c:v>
                </c:pt>
              </c:numCache>
            </c:numRef>
          </c:val>
          <c:smooth val="0"/>
          <c:extLst>
            <c:ext xmlns:c16="http://schemas.microsoft.com/office/drawing/2014/chart" uri="{C3380CC4-5D6E-409C-BE32-E72D297353CC}">
              <c16:uniqueId val="{00000001-71E4-48D4-AF26-F4812209D513}"/>
            </c:ext>
          </c:extLst>
        </c:ser>
        <c:ser>
          <c:idx val="2"/>
          <c:order val="2"/>
          <c:tx>
            <c:v>Earnings</c:v>
          </c:tx>
          <c:spPr>
            <a:ln w="12700">
              <a:solidFill>
                <a:srgbClr val="00FF00"/>
              </a:solidFill>
              <a:prstDash val="solid"/>
            </a:ln>
          </c:spPr>
          <c:marker>
            <c:symbol val="triangle"/>
            <c:size val="5"/>
            <c:spPr>
              <a:solidFill>
                <a:srgbClr val="00FF00"/>
              </a:solidFill>
              <a:ln>
                <a:solidFill>
                  <a:srgbClr val="00FF00"/>
                </a:solidFill>
                <a:prstDash val="solid"/>
              </a:ln>
            </c:spPr>
          </c:marker>
          <c:val>
            <c:numRef>
              <c:f>'CPA Companies'!$J$139:$J$154</c:f>
              <c:numCache>
                <c:formatCode>#,##0.0\x_);[Red]\(#,##0.0\x\);</c:formatCode>
                <c:ptCount val="16"/>
                <c:pt idx="0">
                  <c:v>13.12928711581637</c:v>
                </c:pt>
                <c:pt idx="1">
                  <c:v>15.059844504120337</c:v>
                </c:pt>
                <c:pt idx="2">
                  <c:v>18.935689356846058</c:v>
                </c:pt>
                <c:pt idx="3">
                  <c:v>23.333235984372866</c:v>
                </c:pt>
                <c:pt idx="4">
                  <c:v>0</c:v>
                </c:pt>
                <c:pt idx="5">
                  <c:v>6.8568428296651183</c:v>
                </c:pt>
                <c:pt idx="6">
                  <c:v>75.302820476008179</c:v>
                </c:pt>
                <c:pt idx="7">
                  <c:v>6.8126145181898909</c:v>
                </c:pt>
                <c:pt idx="8">
                  <c:v>68.306193390885923</c:v>
                </c:pt>
                <c:pt idx="9">
                  <c:v>507.0047421532463</c:v>
                </c:pt>
                <c:pt idx="10">
                  <c:v>10.099541265441115</c:v>
                </c:pt>
                <c:pt idx="11">
                  <c:v>20.883531650361892</c:v>
                </c:pt>
                <c:pt idx="12">
                  <c:v>15.142543859649122</c:v>
                </c:pt>
                <c:pt idx="13">
                  <c:v>3.4660532994923861</c:v>
                </c:pt>
                <c:pt idx="14">
                  <c:v>0</c:v>
                </c:pt>
                <c:pt idx="15">
                  <c:v>0</c:v>
                </c:pt>
              </c:numCache>
            </c:numRef>
          </c:val>
          <c:smooth val="0"/>
          <c:extLst>
            <c:ext xmlns:c16="http://schemas.microsoft.com/office/drawing/2014/chart" uri="{C3380CC4-5D6E-409C-BE32-E72D297353CC}">
              <c16:uniqueId val="{00000002-71E4-48D4-AF26-F4812209D513}"/>
            </c:ext>
          </c:extLst>
        </c:ser>
        <c:dLbls>
          <c:showLegendKey val="0"/>
          <c:showVal val="0"/>
          <c:showCatName val="0"/>
          <c:showSerName val="0"/>
          <c:showPercent val="0"/>
          <c:showBubbleSize val="0"/>
        </c:dLbls>
        <c:marker val="1"/>
        <c:smooth val="0"/>
        <c:axId val="182876344"/>
        <c:axId val="1"/>
      </c:lineChart>
      <c:catAx>
        <c:axId val="18287634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950"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2"/>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050" b="1" i="0" u="none" strike="noStrike" baseline="0">
                    <a:solidFill>
                      <a:srgbClr val="000000"/>
                    </a:solidFill>
                    <a:latin typeface="Times New Roman"/>
                    <a:ea typeface="Times New Roman"/>
                    <a:cs typeface="Times New Roman"/>
                  </a:defRPr>
                </a:pPr>
                <a:r>
                  <a:rPr lang="en-US"/>
                  <a:t>Maket Cap. Multiple</a:t>
                </a:r>
              </a:p>
            </c:rich>
          </c:tx>
          <c:layout>
            <c:manualLayout>
              <c:xMode val="edge"/>
              <c:yMode val="edge"/>
              <c:x val="3.225813137114053E-2"/>
              <c:y val="0.32227544085683091"/>
            </c:manualLayout>
          </c:layout>
          <c:overlay val="0"/>
          <c:spPr>
            <a:noFill/>
            <a:ln w="25400">
              <a:noFill/>
            </a:ln>
          </c:spPr>
        </c:title>
        <c:numFmt formatCode="#,##0.0\x_);[Red]\(#,##0.0\x\);"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Times New Roman"/>
                <a:ea typeface="Times New Roman"/>
                <a:cs typeface="Times New Roman"/>
              </a:defRPr>
            </a:pPr>
            <a:endParaRPr lang="en-US"/>
          </a:p>
        </c:txPr>
        <c:crossAx val="182876344"/>
        <c:crosses val="autoZero"/>
        <c:crossBetween val="between"/>
      </c:valAx>
      <c:spPr>
        <a:solidFill>
          <a:srgbClr val="FFFFFF"/>
        </a:solidFill>
        <a:ln w="12700">
          <a:solidFill>
            <a:srgbClr val="808080"/>
          </a:solidFill>
          <a:prstDash val="solid"/>
        </a:ln>
      </c:spPr>
    </c:plotArea>
    <c:legend>
      <c:legendPos val="r"/>
      <c:layout>
        <c:manualLayout>
          <c:xMode val="edge"/>
          <c:yMode val="edge"/>
          <c:x val="0.80984887705442277"/>
          <c:y val="0.43601971410041834"/>
          <c:w val="0.17317523157138601"/>
          <c:h val="0.17298608222462247"/>
        </c:manualLayout>
      </c:layout>
      <c:overlay val="0"/>
      <c:spPr>
        <a:solidFill>
          <a:srgbClr val="FFFFFF"/>
        </a:solidFill>
        <a:ln w="3175">
          <a:solidFill>
            <a:srgbClr val="000000"/>
          </a:solidFill>
          <a:prstDash val="solid"/>
        </a:ln>
      </c:spPr>
      <c:txPr>
        <a:bodyPr/>
        <a:lstStyle/>
        <a:p>
          <a:pPr>
            <a:defRPr sz="87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75" b="1" i="0" u="none" strike="noStrike" baseline="0">
                <a:solidFill>
                  <a:srgbClr val="000000"/>
                </a:solidFill>
                <a:latin typeface="Times New Roman"/>
                <a:ea typeface="Times New Roman"/>
                <a:cs typeface="Times New Roman"/>
              </a:defRPr>
            </a:pPr>
            <a:r>
              <a:rPr lang="en-US"/>
              <a:t>USX-Marathon Group (MRO)</a:t>
            </a:r>
          </a:p>
        </c:rich>
      </c:tx>
      <c:overlay val="0"/>
      <c:spPr>
        <a:noFill/>
        <a:ln w="25400">
          <a:noFill/>
        </a:ln>
      </c:spPr>
    </c:title>
    <c:autoTitleDeleted val="0"/>
    <c:plotArea>
      <c:layout/>
      <c:lineChart>
        <c:grouping val="standard"/>
        <c:varyColors val="0"/>
        <c:ser>
          <c:idx val="0"/>
          <c:order val="0"/>
          <c:tx>
            <c:v>Sales</c:v>
          </c:tx>
          <c:spPr>
            <a:ln w="12700">
              <a:solidFill>
                <a:srgbClr val="000080"/>
              </a:solidFill>
              <a:prstDash val="solid"/>
            </a:ln>
          </c:spPr>
          <c:marker>
            <c:symbol val="diamond"/>
            <c:size val="5"/>
            <c:spPr>
              <a:solidFill>
                <a:srgbClr val="000080"/>
              </a:solidFill>
              <a:ln>
                <a:solidFill>
                  <a:srgbClr val="000080"/>
                </a:solidFill>
                <a:prstDash val="solid"/>
              </a:ln>
            </c:spPr>
          </c:marker>
          <c:cat>
            <c:strRef>
              <c:f>'CPA Companies'!$A$6:$A$21</c:f>
              <c:strCache>
                <c:ptCount val="16"/>
                <c:pt idx="0">
                  <c:v>4Q01</c:v>
                </c:pt>
                <c:pt idx="1">
                  <c:v>3Q01</c:v>
                </c:pt>
                <c:pt idx="2">
                  <c:v>2Q01</c:v>
                </c:pt>
                <c:pt idx="3">
                  <c:v>1Q01</c:v>
                </c:pt>
                <c:pt idx="4">
                  <c:v>4Q00</c:v>
                </c:pt>
                <c:pt idx="5">
                  <c:v>3Q00</c:v>
                </c:pt>
                <c:pt idx="6">
                  <c:v>2Q00</c:v>
                </c:pt>
                <c:pt idx="7">
                  <c:v>1Q00</c:v>
                </c:pt>
                <c:pt idx="8">
                  <c:v>4Q99</c:v>
                </c:pt>
                <c:pt idx="9">
                  <c:v>3Q99</c:v>
                </c:pt>
                <c:pt idx="10">
                  <c:v>2Q99</c:v>
                </c:pt>
                <c:pt idx="11">
                  <c:v>1Q99</c:v>
                </c:pt>
                <c:pt idx="12">
                  <c:v>4Q98</c:v>
                </c:pt>
                <c:pt idx="13">
                  <c:v>3Q98</c:v>
                </c:pt>
                <c:pt idx="14">
                  <c:v>2Q98</c:v>
                </c:pt>
                <c:pt idx="15">
                  <c:v>1Q98</c:v>
                </c:pt>
              </c:strCache>
            </c:strRef>
          </c:cat>
          <c:val>
            <c:numRef>
              <c:f>'CPA Companies'!#REF!</c:f>
              <c:numCache>
                <c:formatCode>General</c:formatCode>
                <c:ptCount val="1"/>
                <c:pt idx="0">
                  <c:v>1</c:v>
                </c:pt>
              </c:numCache>
            </c:numRef>
          </c:val>
          <c:smooth val="0"/>
          <c:extLst>
            <c:ext xmlns:c16="http://schemas.microsoft.com/office/drawing/2014/chart" uri="{C3380CC4-5D6E-409C-BE32-E72D297353CC}">
              <c16:uniqueId val="{00000000-D0D3-4EF2-83B5-F9EC15684797}"/>
            </c:ext>
          </c:extLst>
        </c:ser>
        <c:ser>
          <c:idx val="1"/>
          <c:order val="1"/>
          <c:tx>
            <c:v>EBITDA</c:v>
          </c:tx>
          <c:spPr>
            <a:ln w="12700">
              <a:solidFill>
                <a:srgbClr val="FF0000"/>
              </a:solidFill>
              <a:prstDash val="solid"/>
            </a:ln>
          </c:spPr>
          <c:marker>
            <c:symbol val="square"/>
            <c:size val="5"/>
            <c:spPr>
              <a:solidFill>
                <a:srgbClr val="FF0000"/>
              </a:solidFill>
              <a:ln>
                <a:solidFill>
                  <a:srgbClr val="FF0000"/>
                </a:solidFill>
                <a:prstDash val="solid"/>
              </a:ln>
            </c:spPr>
          </c:marker>
          <c:val>
            <c:numRef>
              <c:f>'CPA Companies'!#REF!</c:f>
              <c:numCache>
                <c:formatCode>General</c:formatCode>
                <c:ptCount val="1"/>
                <c:pt idx="0">
                  <c:v>1</c:v>
                </c:pt>
              </c:numCache>
            </c:numRef>
          </c:val>
          <c:smooth val="0"/>
          <c:extLst>
            <c:ext xmlns:c16="http://schemas.microsoft.com/office/drawing/2014/chart" uri="{C3380CC4-5D6E-409C-BE32-E72D297353CC}">
              <c16:uniqueId val="{00000001-D0D3-4EF2-83B5-F9EC15684797}"/>
            </c:ext>
          </c:extLst>
        </c:ser>
        <c:ser>
          <c:idx val="2"/>
          <c:order val="2"/>
          <c:tx>
            <c:v>Earnings</c:v>
          </c:tx>
          <c:spPr>
            <a:ln w="12700">
              <a:solidFill>
                <a:srgbClr val="00FF00"/>
              </a:solidFill>
              <a:prstDash val="solid"/>
            </a:ln>
          </c:spPr>
          <c:marker>
            <c:symbol val="triangle"/>
            <c:size val="5"/>
            <c:spPr>
              <a:solidFill>
                <a:srgbClr val="00FF00"/>
              </a:solidFill>
              <a:ln>
                <a:solidFill>
                  <a:srgbClr val="00FF00"/>
                </a:solidFill>
                <a:prstDash val="solid"/>
              </a:ln>
            </c:spPr>
          </c:marker>
          <c:val>
            <c:numRef>
              <c:f>'CPA Companies'!#REF!</c:f>
              <c:numCache>
                <c:formatCode>General</c:formatCode>
                <c:ptCount val="1"/>
                <c:pt idx="0">
                  <c:v>1</c:v>
                </c:pt>
              </c:numCache>
            </c:numRef>
          </c:val>
          <c:smooth val="0"/>
          <c:extLst>
            <c:ext xmlns:c16="http://schemas.microsoft.com/office/drawing/2014/chart" uri="{C3380CC4-5D6E-409C-BE32-E72D297353CC}">
              <c16:uniqueId val="{00000002-D0D3-4EF2-83B5-F9EC15684797}"/>
            </c:ext>
          </c:extLst>
        </c:ser>
        <c:dLbls>
          <c:showLegendKey val="0"/>
          <c:showVal val="0"/>
          <c:showCatName val="0"/>
          <c:showSerName val="0"/>
          <c:showPercent val="0"/>
          <c:showBubbleSize val="0"/>
        </c:dLbls>
        <c:marker val="1"/>
        <c:smooth val="0"/>
        <c:axId val="182881920"/>
        <c:axId val="1"/>
      </c:lineChart>
      <c:catAx>
        <c:axId val="18288192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200"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title>
          <c:tx>
            <c:rich>
              <a:bodyPr/>
              <a:lstStyle/>
              <a:p>
                <a:pPr>
                  <a:defRPr sz="200" b="1" i="0" u="none" strike="noStrike" baseline="0">
                    <a:solidFill>
                      <a:srgbClr val="000000"/>
                    </a:solidFill>
                    <a:latin typeface="Times New Roman"/>
                    <a:ea typeface="Times New Roman"/>
                    <a:cs typeface="Times New Roman"/>
                  </a:defRPr>
                </a:pPr>
                <a:r>
                  <a:rPr lang="en-US"/>
                  <a:t>Maket Cap. Multiple</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200" b="0" i="0" u="none" strike="noStrike" baseline="0">
                <a:solidFill>
                  <a:srgbClr val="000000"/>
                </a:solidFill>
                <a:latin typeface="Times New Roman"/>
                <a:ea typeface="Times New Roman"/>
                <a:cs typeface="Times New Roman"/>
              </a:defRPr>
            </a:pPr>
            <a:endParaRPr lang="en-US"/>
          </a:p>
        </c:txPr>
        <c:crossAx val="182881920"/>
        <c:crosses val="autoZero"/>
        <c:crossBetween val="between"/>
      </c:valAx>
      <c:spPr>
        <a:solidFill>
          <a:srgbClr val="FFFFFF"/>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8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0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orientation="landscape" horizontalDpi="1200" verticalDpi="1200"/>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75" b="1" i="0" u="none" strike="noStrike" baseline="0">
                <a:solidFill>
                  <a:srgbClr val="000000"/>
                </a:solidFill>
                <a:latin typeface="Times New Roman"/>
                <a:ea typeface="Times New Roman"/>
                <a:cs typeface="Times New Roman"/>
              </a:defRPr>
            </a:pPr>
            <a:r>
              <a:rPr lang="en-US"/>
              <a:t>Tellabs (TLAB)</a:t>
            </a:r>
          </a:p>
        </c:rich>
      </c:tx>
      <c:overlay val="0"/>
      <c:spPr>
        <a:noFill/>
        <a:ln w="25400">
          <a:noFill/>
        </a:ln>
      </c:spPr>
    </c:title>
    <c:autoTitleDeleted val="0"/>
    <c:plotArea>
      <c:layout/>
      <c:lineChart>
        <c:grouping val="standard"/>
        <c:varyColors val="0"/>
        <c:ser>
          <c:idx val="0"/>
          <c:order val="0"/>
          <c:tx>
            <c:v>Sales</c:v>
          </c:tx>
          <c:spPr>
            <a:ln w="12700">
              <a:solidFill>
                <a:srgbClr val="000080"/>
              </a:solidFill>
              <a:prstDash val="solid"/>
            </a:ln>
          </c:spPr>
          <c:marker>
            <c:symbol val="diamond"/>
            <c:size val="5"/>
            <c:spPr>
              <a:solidFill>
                <a:srgbClr val="000080"/>
              </a:solidFill>
              <a:ln>
                <a:solidFill>
                  <a:srgbClr val="000080"/>
                </a:solidFill>
                <a:prstDash val="solid"/>
              </a:ln>
            </c:spPr>
          </c:marker>
          <c:cat>
            <c:strRef>
              <c:f>'CPA Companies'!$A$6:$A$21</c:f>
              <c:strCache>
                <c:ptCount val="16"/>
                <c:pt idx="0">
                  <c:v>4Q01</c:v>
                </c:pt>
                <c:pt idx="1">
                  <c:v>3Q01</c:v>
                </c:pt>
                <c:pt idx="2">
                  <c:v>2Q01</c:v>
                </c:pt>
                <c:pt idx="3">
                  <c:v>1Q01</c:v>
                </c:pt>
                <c:pt idx="4">
                  <c:v>4Q00</c:v>
                </c:pt>
                <c:pt idx="5">
                  <c:v>3Q00</c:v>
                </c:pt>
                <c:pt idx="6">
                  <c:v>2Q00</c:v>
                </c:pt>
                <c:pt idx="7">
                  <c:v>1Q00</c:v>
                </c:pt>
                <c:pt idx="8">
                  <c:v>4Q99</c:v>
                </c:pt>
                <c:pt idx="9">
                  <c:v>3Q99</c:v>
                </c:pt>
                <c:pt idx="10">
                  <c:v>2Q99</c:v>
                </c:pt>
                <c:pt idx="11">
                  <c:v>1Q99</c:v>
                </c:pt>
                <c:pt idx="12">
                  <c:v>4Q98</c:v>
                </c:pt>
                <c:pt idx="13">
                  <c:v>3Q98</c:v>
                </c:pt>
                <c:pt idx="14">
                  <c:v>2Q98</c:v>
                </c:pt>
                <c:pt idx="15">
                  <c:v>1Q98</c:v>
                </c:pt>
              </c:strCache>
            </c:strRef>
          </c:cat>
          <c:val>
            <c:numRef>
              <c:f>'CPA Companies'!#REF!</c:f>
              <c:numCache>
                <c:formatCode>General</c:formatCode>
                <c:ptCount val="1"/>
                <c:pt idx="0">
                  <c:v>1</c:v>
                </c:pt>
              </c:numCache>
            </c:numRef>
          </c:val>
          <c:smooth val="0"/>
          <c:extLst>
            <c:ext xmlns:c16="http://schemas.microsoft.com/office/drawing/2014/chart" uri="{C3380CC4-5D6E-409C-BE32-E72D297353CC}">
              <c16:uniqueId val="{00000000-4161-44DF-AE53-ABCCA4401996}"/>
            </c:ext>
          </c:extLst>
        </c:ser>
        <c:ser>
          <c:idx val="1"/>
          <c:order val="1"/>
          <c:tx>
            <c:v>EBITDA</c:v>
          </c:tx>
          <c:spPr>
            <a:ln w="12700">
              <a:solidFill>
                <a:srgbClr val="FF0000"/>
              </a:solidFill>
              <a:prstDash val="solid"/>
            </a:ln>
          </c:spPr>
          <c:marker>
            <c:symbol val="square"/>
            <c:size val="5"/>
            <c:spPr>
              <a:solidFill>
                <a:srgbClr val="FF0000"/>
              </a:solidFill>
              <a:ln>
                <a:solidFill>
                  <a:srgbClr val="FF0000"/>
                </a:solidFill>
                <a:prstDash val="solid"/>
              </a:ln>
            </c:spPr>
          </c:marker>
          <c:val>
            <c:numRef>
              <c:f>'CPA Companies'!#REF!</c:f>
              <c:numCache>
                <c:formatCode>General</c:formatCode>
                <c:ptCount val="1"/>
                <c:pt idx="0">
                  <c:v>1</c:v>
                </c:pt>
              </c:numCache>
            </c:numRef>
          </c:val>
          <c:smooth val="0"/>
          <c:extLst>
            <c:ext xmlns:c16="http://schemas.microsoft.com/office/drawing/2014/chart" uri="{C3380CC4-5D6E-409C-BE32-E72D297353CC}">
              <c16:uniqueId val="{00000001-4161-44DF-AE53-ABCCA4401996}"/>
            </c:ext>
          </c:extLst>
        </c:ser>
        <c:ser>
          <c:idx val="2"/>
          <c:order val="2"/>
          <c:tx>
            <c:v>Earnings</c:v>
          </c:tx>
          <c:spPr>
            <a:ln w="12700">
              <a:solidFill>
                <a:srgbClr val="00FF00"/>
              </a:solidFill>
              <a:prstDash val="solid"/>
            </a:ln>
          </c:spPr>
          <c:marker>
            <c:symbol val="triangle"/>
            <c:size val="5"/>
            <c:spPr>
              <a:solidFill>
                <a:srgbClr val="00FF00"/>
              </a:solidFill>
              <a:ln>
                <a:solidFill>
                  <a:srgbClr val="00FF00"/>
                </a:solidFill>
                <a:prstDash val="solid"/>
              </a:ln>
            </c:spPr>
          </c:marker>
          <c:val>
            <c:numRef>
              <c:f>'CPA Companies'!#REF!</c:f>
              <c:numCache>
                <c:formatCode>General</c:formatCode>
                <c:ptCount val="1"/>
                <c:pt idx="0">
                  <c:v>1</c:v>
                </c:pt>
              </c:numCache>
            </c:numRef>
          </c:val>
          <c:smooth val="0"/>
          <c:extLst>
            <c:ext xmlns:c16="http://schemas.microsoft.com/office/drawing/2014/chart" uri="{C3380CC4-5D6E-409C-BE32-E72D297353CC}">
              <c16:uniqueId val="{00000002-4161-44DF-AE53-ABCCA4401996}"/>
            </c:ext>
          </c:extLst>
        </c:ser>
        <c:dLbls>
          <c:showLegendKey val="0"/>
          <c:showVal val="0"/>
          <c:showCatName val="0"/>
          <c:showSerName val="0"/>
          <c:showPercent val="0"/>
          <c:showBubbleSize val="0"/>
        </c:dLbls>
        <c:marker val="1"/>
        <c:smooth val="0"/>
        <c:axId val="182877984"/>
        <c:axId val="1"/>
      </c:lineChart>
      <c:catAx>
        <c:axId val="18287798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200"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200" b="1" i="0" u="none" strike="noStrike" baseline="0">
                    <a:solidFill>
                      <a:srgbClr val="000000"/>
                    </a:solidFill>
                    <a:latin typeface="Times New Roman"/>
                    <a:ea typeface="Times New Roman"/>
                    <a:cs typeface="Times New Roman"/>
                  </a:defRPr>
                </a:pPr>
                <a:r>
                  <a:rPr lang="en-US"/>
                  <a:t>Maket Cap. Multiple</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200" b="0" i="0" u="none" strike="noStrike" baseline="0">
                <a:solidFill>
                  <a:srgbClr val="000000"/>
                </a:solidFill>
                <a:latin typeface="Times New Roman"/>
                <a:ea typeface="Times New Roman"/>
                <a:cs typeface="Times New Roman"/>
              </a:defRPr>
            </a:pPr>
            <a:endParaRPr lang="en-US"/>
          </a:p>
        </c:txPr>
        <c:crossAx val="182877984"/>
        <c:crosses val="autoZero"/>
        <c:crossBetween val="between"/>
      </c:valAx>
      <c:spPr>
        <a:solidFill>
          <a:srgbClr val="FFFFFF"/>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8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0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5" b="1" i="0" u="none" strike="noStrike" baseline="0">
                <a:solidFill>
                  <a:srgbClr val="000000"/>
                </a:solidFill>
                <a:latin typeface="Times New Roman"/>
                <a:ea typeface="Times New Roman"/>
                <a:cs typeface="Times New Roman"/>
              </a:defRPr>
            </a:pPr>
            <a:r>
              <a:rPr lang="en-US"/>
              <a:t>Metricom (MCOM)</a:t>
            </a:r>
          </a:p>
        </c:rich>
      </c:tx>
      <c:layout>
        <c:manualLayout>
          <c:xMode val="edge"/>
          <c:yMode val="edge"/>
          <c:x val="0.3416668056912458"/>
          <c:y val="3.5545085388621056E-2"/>
        </c:manualLayout>
      </c:layout>
      <c:overlay val="0"/>
      <c:spPr>
        <a:noFill/>
        <a:ln w="25400">
          <a:noFill/>
        </a:ln>
      </c:spPr>
    </c:title>
    <c:autoTitleDeleted val="0"/>
    <c:plotArea>
      <c:layout>
        <c:manualLayout>
          <c:layoutTarget val="inner"/>
          <c:xMode val="edge"/>
          <c:yMode val="edge"/>
          <c:x val="0.18666674262155869"/>
          <c:y val="0.20379182289476075"/>
          <c:w val="0.64333359510644339"/>
          <c:h val="0.63744186463593766"/>
        </c:manualLayout>
      </c:layout>
      <c:lineChart>
        <c:grouping val="standard"/>
        <c:varyColors val="0"/>
        <c:ser>
          <c:idx val="0"/>
          <c:order val="0"/>
          <c:tx>
            <c:v>Sales</c:v>
          </c:tx>
          <c:spPr>
            <a:ln w="12700">
              <a:solidFill>
                <a:srgbClr val="000080"/>
              </a:solidFill>
              <a:prstDash val="solid"/>
            </a:ln>
          </c:spPr>
          <c:marker>
            <c:symbol val="diamond"/>
            <c:size val="5"/>
            <c:spPr>
              <a:solidFill>
                <a:srgbClr val="000080"/>
              </a:solidFill>
              <a:ln>
                <a:solidFill>
                  <a:srgbClr val="000080"/>
                </a:solidFill>
                <a:prstDash val="solid"/>
              </a:ln>
            </c:spPr>
          </c:marker>
          <c:cat>
            <c:strRef>
              <c:f>'CPA Companies'!$A$6:$A$21</c:f>
              <c:strCache>
                <c:ptCount val="16"/>
                <c:pt idx="0">
                  <c:v>4Q01</c:v>
                </c:pt>
                <c:pt idx="1">
                  <c:v>3Q01</c:v>
                </c:pt>
                <c:pt idx="2">
                  <c:v>2Q01</c:v>
                </c:pt>
                <c:pt idx="3">
                  <c:v>1Q01</c:v>
                </c:pt>
                <c:pt idx="4">
                  <c:v>4Q00</c:v>
                </c:pt>
                <c:pt idx="5">
                  <c:v>3Q00</c:v>
                </c:pt>
                <c:pt idx="6">
                  <c:v>2Q00</c:v>
                </c:pt>
                <c:pt idx="7">
                  <c:v>1Q00</c:v>
                </c:pt>
                <c:pt idx="8">
                  <c:v>4Q99</c:v>
                </c:pt>
                <c:pt idx="9">
                  <c:v>3Q99</c:v>
                </c:pt>
                <c:pt idx="10">
                  <c:v>2Q99</c:v>
                </c:pt>
                <c:pt idx="11">
                  <c:v>1Q99</c:v>
                </c:pt>
                <c:pt idx="12">
                  <c:v>4Q98</c:v>
                </c:pt>
                <c:pt idx="13">
                  <c:v>3Q98</c:v>
                </c:pt>
                <c:pt idx="14">
                  <c:v>2Q98</c:v>
                </c:pt>
                <c:pt idx="15">
                  <c:v>1Q98</c:v>
                </c:pt>
              </c:strCache>
            </c:strRef>
          </c:cat>
          <c:val>
            <c:numRef>
              <c:f>'CPA Companies'!$H$158:$H$173</c:f>
              <c:numCache>
                <c:formatCode>#,##0.0\x_);[Red]\(#,##0.0\x\);</c:formatCode>
                <c:ptCount val="16"/>
                <c:pt idx="0">
                  <c:v>7.5061746987951787</c:v>
                </c:pt>
                <c:pt idx="1">
                  <c:v>8.5469622733953923</c:v>
                </c:pt>
                <c:pt idx="2">
                  <c:v>9.9228384527872571</c:v>
                </c:pt>
                <c:pt idx="3">
                  <c:v>11.826677966101695</c:v>
                </c:pt>
                <c:pt idx="4">
                  <c:v>32.484696151426178</c:v>
                </c:pt>
                <c:pt idx="5">
                  <c:v>50.33921986266531</c:v>
                </c:pt>
                <c:pt idx="6">
                  <c:v>92.596472691807534</c:v>
                </c:pt>
                <c:pt idx="7">
                  <c:v>101.29692832764506</c:v>
                </c:pt>
                <c:pt idx="8">
                  <c:v>90.217353995901647</c:v>
                </c:pt>
                <c:pt idx="9">
                  <c:v>24.777098540145985</c:v>
                </c:pt>
                <c:pt idx="10">
                  <c:v>20.690542569161479</c:v>
                </c:pt>
                <c:pt idx="11">
                  <c:v>7.2549883855634638</c:v>
                </c:pt>
                <c:pt idx="12">
                  <c:v>6.569022381756759</c:v>
                </c:pt>
                <c:pt idx="13">
                  <c:v>5.5452920143027411</c:v>
                </c:pt>
                <c:pt idx="14">
                  <c:v>8.920865306122451</c:v>
                </c:pt>
                <c:pt idx="15">
                  <c:v>11.609908409658617</c:v>
                </c:pt>
              </c:numCache>
            </c:numRef>
          </c:val>
          <c:smooth val="0"/>
          <c:extLst>
            <c:ext xmlns:c16="http://schemas.microsoft.com/office/drawing/2014/chart" uri="{C3380CC4-5D6E-409C-BE32-E72D297353CC}">
              <c16:uniqueId val="{00000000-0056-4E4E-8993-E53FB31C0E5A}"/>
            </c:ext>
          </c:extLst>
        </c:ser>
        <c:dLbls>
          <c:showLegendKey val="0"/>
          <c:showVal val="0"/>
          <c:showCatName val="0"/>
          <c:showSerName val="0"/>
          <c:showPercent val="0"/>
          <c:showBubbleSize val="0"/>
        </c:dLbls>
        <c:marker val="1"/>
        <c:smooth val="0"/>
        <c:axId val="182879624"/>
        <c:axId val="1"/>
      </c:lineChart>
      <c:catAx>
        <c:axId val="18287962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950"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2"/>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050" b="1" i="0" u="none" strike="noStrike" baseline="0">
                    <a:solidFill>
                      <a:srgbClr val="000000"/>
                    </a:solidFill>
                    <a:latin typeface="Times New Roman"/>
                    <a:ea typeface="Times New Roman"/>
                    <a:cs typeface="Times New Roman"/>
                  </a:defRPr>
                </a:pPr>
                <a:r>
                  <a:rPr lang="en-US"/>
                  <a:t>Maket Cap. Multiple</a:t>
                </a:r>
              </a:p>
            </c:rich>
          </c:tx>
          <c:layout>
            <c:manualLayout>
              <c:xMode val="edge"/>
              <c:yMode val="edge"/>
              <c:x val="3.1666679551871565E-2"/>
              <c:y val="0.32227544085683091"/>
            </c:manualLayout>
          </c:layout>
          <c:overlay val="0"/>
          <c:spPr>
            <a:noFill/>
            <a:ln w="25400">
              <a:noFill/>
            </a:ln>
          </c:spPr>
        </c:title>
        <c:numFmt formatCode="#,##0.0\x_);[Red]\(#,##0.0\x\);"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Times New Roman"/>
                <a:ea typeface="Times New Roman"/>
                <a:cs typeface="Times New Roman"/>
              </a:defRPr>
            </a:pPr>
            <a:endParaRPr lang="en-US"/>
          </a:p>
        </c:txPr>
        <c:crossAx val="182879624"/>
        <c:crosses val="autoZero"/>
        <c:crossBetween val="between"/>
      </c:valAx>
      <c:spPr>
        <a:solidFill>
          <a:srgbClr val="FFFFFF"/>
        </a:solidFill>
        <a:ln w="12700">
          <a:solidFill>
            <a:srgbClr val="808080"/>
          </a:solidFill>
          <a:prstDash val="solid"/>
        </a:ln>
      </c:spPr>
    </c:plotArea>
    <c:legend>
      <c:legendPos val="r"/>
      <c:layout>
        <c:manualLayout>
          <c:xMode val="edge"/>
          <c:yMode val="edge"/>
          <c:x val="0.85166701321086158"/>
          <c:y val="0.49289185072221209"/>
          <c:w val="0.1316667202419923"/>
          <c:h val="5.92418089810351E-2"/>
        </c:manualLayout>
      </c:layout>
      <c:overlay val="0"/>
      <c:spPr>
        <a:solidFill>
          <a:srgbClr val="FFFFFF"/>
        </a:solidFill>
        <a:ln w="3175">
          <a:solidFill>
            <a:srgbClr val="000000"/>
          </a:solidFill>
          <a:prstDash val="solid"/>
        </a:ln>
      </c:spPr>
      <c:txPr>
        <a:bodyPr/>
        <a:lstStyle/>
        <a:p>
          <a:pPr>
            <a:defRPr sz="87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75" b="1" i="0" u="none" strike="noStrike" baseline="0">
                <a:solidFill>
                  <a:srgbClr val="000000"/>
                </a:solidFill>
                <a:latin typeface="Times New Roman"/>
                <a:ea typeface="Times New Roman"/>
                <a:cs typeface="Times New Roman"/>
              </a:defRPr>
            </a:pPr>
            <a:r>
              <a:rPr lang="en-US"/>
              <a:t>Hilton Hotels (HLT)</a:t>
            </a:r>
          </a:p>
        </c:rich>
      </c:tx>
      <c:overlay val="0"/>
      <c:spPr>
        <a:noFill/>
        <a:ln w="25400">
          <a:noFill/>
        </a:ln>
      </c:spPr>
    </c:title>
    <c:autoTitleDeleted val="0"/>
    <c:plotArea>
      <c:layout/>
      <c:lineChart>
        <c:grouping val="standard"/>
        <c:varyColors val="0"/>
        <c:ser>
          <c:idx val="0"/>
          <c:order val="0"/>
          <c:tx>
            <c:v>Sales</c:v>
          </c:tx>
          <c:spPr>
            <a:ln w="12700">
              <a:solidFill>
                <a:srgbClr val="000080"/>
              </a:solidFill>
              <a:prstDash val="solid"/>
            </a:ln>
          </c:spPr>
          <c:marker>
            <c:symbol val="diamond"/>
            <c:size val="5"/>
            <c:spPr>
              <a:solidFill>
                <a:srgbClr val="000080"/>
              </a:solidFill>
              <a:ln>
                <a:solidFill>
                  <a:srgbClr val="000080"/>
                </a:solidFill>
                <a:prstDash val="solid"/>
              </a:ln>
            </c:spPr>
          </c:marker>
          <c:cat>
            <c:strRef>
              <c:f>'CPA Companies'!$A$6:$A$21</c:f>
              <c:strCache>
                <c:ptCount val="16"/>
                <c:pt idx="0">
                  <c:v>4Q01</c:v>
                </c:pt>
                <c:pt idx="1">
                  <c:v>3Q01</c:v>
                </c:pt>
                <c:pt idx="2">
                  <c:v>2Q01</c:v>
                </c:pt>
                <c:pt idx="3">
                  <c:v>1Q01</c:v>
                </c:pt>
                <c:pt idx="4">
                  <c:v>4Q00</c:v>
                </c:pt>
                <c:pt idx="5">
                  <c:v>3Q00</c:v>
                </c:pt>
                <c:pt idx="6">
                  <c:v>2Q00</c:v>
                </c:pt>
                <c:pt idx="7">
                  <c:v>1Q00</c:v>
                </c:pt>
                <c:pt idx="8">
                  <c:v>4Q99</c:v>
                </c:pt>
                <c:pt idx="9">
                  <c:v>3Q99</c:v>
                </c:pt>
                <c:pt idx="10">
                  <c:v>2Q99</c:v>
                </c:pt>
                <c:pt idx="11">
                  <c:v>1Q99</c:v>
                </c:pt>
                <c:pt idx="12">
                  <c:v>4Q98</c:v>
                </c:pt>
                <c:pt idx="13">
                  <c:v>3Q98</c:v>
                </c:pt>
                <c:pt idx="14">
                  <c:v>2Q98</c:v>
                </c:pt>
                <c:pt idx="15">
                  <c:v>1Q98</c:v>
                </c:pt>
              </c:strCache>
            </c:strRef>
          </c:cat>
          <c:val>
            <c:numRef>
              <c:f>'CPA Companies'!#REF!</c:f>
              <c:numCache>
                <c:formatCode>General</c:formatCode>
                <c:ptCount val="1"/>
                <c:pt idx="0">
                  <c:v>1</c:v>
                </c:pt>
              </c:numCache>
            </c:numRef>
          </c:val>
          <c:smooth val="0"/>
          <c:extLst>
            <c:ext xmlns:c16="http://schemas.microsoft.com/office/drawing/2014/chart" uri="{C3380CC4-5D6E-409C-BE32-E72D297353CC}">
              <c16:uniqueId val="{00000000-F702-4C9E-81EF-FE1D06ADC5AF}"/>
            </c:ext>
          </c:extLst>
        </c:ser>
        <c:ser>
          <c:idx val="1"/>
          <c:order val="1"/>
          <c:tx>
            <c:v>EBITDA</c:v>
          </c:tx>
          <c:spPr>
            <a:ln w="12700">
              <a:solidFill>
                <a:srgbClr val="FF0000"/>
              </a:solidFill>
              <a:prstDash val="solid"/>
            </a:ln>
          </c:spPr>
          <c:marker>
            <c:symbol val="square"/>
            <c:size val="5"/>
            <c:spPr>
              <a:solidFill>
                <a:srgbClr val="FF0000"/>
              </a:solidFill>
              <a:ln>
                <a:solidFill>
                  <a:srgbClr val="FF0000"/>
                </a:solidFill>
                <a:prstDash val="solid"/>
              </a:ln>
            </c:spPr>
          </c:marker>
          <c:val>
            <c:numRef>
              <c:f>'CPA Companies'!#REF!</c:f>
              <c:numCache>
                <c:formatCode>General</c:formatCode>
                <c:ptCount val="1"/>
                <c:pt idx="0">
                  <c:v>1</c:v>
                </c:pt>
              </c:numCache>
            </c:numRef>
          </c:val>
          <c:smooth val="0"/>
          <c:extLst>
            <c:ext xmlns:c16="http://schemas.microsoft.com/office/drawing/2014/chart" uri="{C3380CC4-5D6E-409C-BE32-E72D297353CC}">
              <c16:uniqueId val="{00000001-F702-4C9E-81EF-FE1D06ADC5AF}"/>
            </c:ext>
          </c:extLst>
        </c:ser>
        <c:ser>
          <c:idx val="2"/>
          <c:order val="2"/>
          <c:tx>
            <c:v>Earnings</c:v>
          </c:tx>
          <c:spPr>
            <a:ln w="12700">
              <a:solidFill>
                <a:srgbClr val="00FF00"/>
              </a:solidFill>
              <a:prstDash val="solid"/>
            </a:ln>
          </c:spPr>
          <c:marker>
            <c:symbol val="triangle"/>
            <c:size val="5"/>
            <c:spPr>
              <a:solidFill>
                <a:srgbClr val="00FF00"/>
              </a:solidFill>
              <a:ln>
                <a:solidFill>
                  <a:srgbClr val="00FF00"/>
                </a:solidFill>
                <a:prstDash val="solid"/>
              </a:ln>
            </c:spPr>
          </c:marker>
          <c:val>
            <c:numRef>
              <c:f>'CPA Companies'!#REF!</c:f>
              <c:numCache>
                <c:formatCode>General</c:formatCode>
                <c:ptCount val="1"/>
                <c:pt idx="0">
                  <c:v>1</c:v>
                </c:pt>
              </c:numCache>
            </c:numRef>
          </c:val>
          <c:smooth val="0"/>
          <c:extLst>
            <c:ext xmlns:c16="http://schemas.microsoft.com/office/drawing/2014/chart" uri="{C3380CC4-5D6E-409C-BE32-E72D297353CC}">
              <c16:uniqueId val="{00000002-F702-4C9E-81EF-FE1D06ADC5AF}"/>
            </c:ext>
          </c:extLst>
        </c:ser>
        <c:dLbls>
          <c:showLegendKey val="0"/>
          <c:showVal val="0"/>
          <c:showCatName val="0"/>
          <c:showSerName val="0"/>
          <c:showPercent val="0"/>
          <c:showBubbleSize val="0"/>
        </c:dLbls>
        <c:marker val="1"/>
        <c:smooth val="0"/>
        <c:axId val="182880608"/>
        <c:axId val="1"/>
      </c:lineChart>
      <c:catAx>
        <c:axId val="18288060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200"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200" b="1" i="0" u="none" strike="noStrike" baseline="0">
                    <a:solidFill>
                      <a:srgbClr val="000000"/>
                    </a:solidFill>
                    <a:latin typeface="Times New Roman"/>
                    <a:ea typeface="Times New Roman"/>
                    <a:cs typeface="Times New Roman"/>
                  </a:defRPr>
                </a:pPr>
                <a:r>
                  <a:rPr lang="en-US"/>
                  <a:t>Maket Cap. Multiple</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200" b="0" i="0" u="none" strike="noStrike" baseline="0">
                <a:solidFill>
                  <a:srgbClr val="000000"/>
                </a:solidFill>
                <a:latin typeface="Times New Roman"/>
                <a:ea typeface="Times New Roman"/>
                <a:cs typeface="Times New Roman"/>
              </a:defRPr>
            </a:pPr>
            <a:endParaRPr lang="en-US"/>
          </a:p>
        </c:txPr>
        <c:crossAx val="182880608"/>
        <c:crosses val="autoZero"/>
        <c:crossBetween val="between"/>
      </c:valAx>
      <c:spPr>
        <a:solidFill>
          <a:srgbClr val="FFFFFF"/>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8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0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none" strike="noStrike" baseline="0">
                <a:solidFill>
                  <a:srgbClr val="000000"/>
                </a:solidFill>
                <a:latin typeface="Times New Roman"/>
                <a:ea typeface="Times New Roman"/>
                <a:cs typeface="Times New Roman"/>
              </a:defRPr>
            </a:pPr>
            <a:r>
              <a:rPr lang="en-US"/>
              <a:t>Enron (ENE)</a:t>
            </a:r>
          </a:p>
        </c:rich>
      </c:tx>
      <c:layout>
        <c:manualLayout>
          <c:xMode val="edge"/>
          <c:yMode val="edge"/>
          <c:x val="0.39373978264240245"/>
          <c:y val="3.5714306474555008E-2"/>
        </c:manualLayout>
      </c:layout>
      <c:overlay val="0"/>
      <c:spPr>
        <a:noFill/>
        <a:ln w="25400">
          <a:noFill/>
        </a:ln>
      </c:spPr>
    </c:title>
    <c:autoTitleDeleted val="0"/>
    <c:plotArea>
      <c:layout>
        <c:manualLayout>
          <c:layoutTarget val="inner"/>
          <c:xMode val="edge"/>
          <c:yMode val="edge"/>
          <c:x val="0.18286659361216187"/>
          <c:y val="0.20476202378744873"/>
          <c:w val="0.61120275882983832"/>
          <c:h val="0.63571465524707926"/>
        </c:manualLayout>
      </c:layout>
      <c:lineChart>
        <c:grouping val="standard"/>
        <c:varyColors val="0"/>
        <c:ser>
          <c:idx val="0"/>
          <c:order val="0"/>
          <c:tx>
            <c:v>Sales</c:v>
          </c:tx>
          <c:spPr>
            <a:ln w="12700">
              <a:solidFill>
                <a:srgbClr val="000080"/>
              </a:solidFill>
              <a:prstDash val="solid"/>
            </a:ln>
          </c:spPr>
          <c:marker>
            <c:symbol val="diamond"/>
            <c:size val="5"/>
            <c:spPr>
              <a:solidFill>
                <a:srgbClr val="000080"/>
              </a:solidFill>
              <a:ln>
                <a:solidFill>
                  <a:srgbClr val="000080"/>
                </a:solidFill>
                <a:prstDash val="solid"/>
              </a:ln>
            </c:spPr>
          </c:marker>
          <c:cat>
            <c:strRef>
              <c:f>'CPA Companies'!$A$6:$A$21</c:f>
              <c:strCache>
                <c:ptCount val="16"/>
                <c:pt idx="0">
                  <c:v>4Q01</c:v>
                </c:pt>
                <c:pt idx="1">
                  <c:v>3Q01</c:v>
                </c:pt>
                <c:pt idx="2">
                  <c:v>2Q01</c:v>
                </c:pt>
                <c:pt idx="3">
                  <c:v>1Q01</c:v>
                </c:pt>
                <c:pt idx="4">
                  <c:v>4Q00</c:v>
                </c:pt>
                <c:pt idx="5">
                  <c:v>3Q00</c:v>
                </c:pt>
                <c:pt idx="6">
                  <c:v>2Q00</c:v>
                </c:pt>
                <c:pt idx="7">
                  <c:v>1Q00</c:v>
                </c:pt>
                <c:pt idx="8">
                  <c:v>4Q99</c:v>
                </c:pt>
                <c:pt idx="9">
                  <c:v>3Q99</c:v>
                </c:pt>
                <c:pt idx="10">
                  <c:v>2Q99</c:v>
                </c:pt>
                <c:pt idx="11">
                  <c:v>1Q99</c:v>
                </c:pt>
                <c:pt idx="12">
                  <c:v>4Q98</c:v>
                </c:pt>
                <c:pt idx="13">
                  <c:v>3Q98</c:v>
                </c:pt>
                <c:pt idx="14">
                  <c:v>2Q98</c:v>
                </c:pt>
                <c:pt idx="15">
                  <c:v>1Q98</c:v>
                </c:pt>
              </c:strCache>
            </c:strRef>
          </c:cat>
          <c:val>
            <c:numRef>
              <c:f>'CPA Companies'!$H$177:$H$192</c:f>
              <c:numCache>
                <c:formatCode>#,##0.0\x_);[Red]\(#,##0.0\x\);</c:formatCode>
                <c:ptCount val="16"/>
                <c:pt idx="0">
                  <c:v>9.6652946703900261E-2</c:v>
                </c:pt>
                <c:pt idx="1">
                  <c:v>8.8788608522667789E-2</c:v>
                </c:pt>
                <c:pt idx="2">
                  <c:v>0.18405640099733472</c:v>
                </c:pt>
                <c:pt idx="3">
                  <c:v>0.25611793015590562</c:v>
                </c:pt>
                <c:pt idx="4">
                  <c:v>0.44338529545287236</c:v>
                </c:pt>
                <c:pt idx="5">
                  <c:v>0.63311004932182491</c:v>
                </c:pt>
                <c:pt idx="6">
                  <c:v>1.1147128656875518</c:v>
                </c:pt>
                <c:pt idx="7">
                  <c:v>1.2052494408520351</c:v>
                </c:pt>
                <c:pt idx="8">
                  <c:v>0.84368918154062933</c:v>
                </c:pt>
                <c:pt idx="9">
                  <c:v>0.66945426066751157</c:v>
                </c:pt>
                <c:pt idx="10">
                  <c:v>0.77628713249999992</c:v>
                </c:pt>
                <c:pt idx="11">
                  <c:v>0.76980648912473792</c:v>
                </c:pt>
                <c:pt idx="12">
                  <c:v>1.3504272984028047</c:v>
                </c:pt>
                <c:pt idx="13">
                  <c:v>0.84243595406360428</c:v>
                </c:pt>
                <c:pt idx="14">
                  <c:v>1.4263859234405978</c:v>
                </c:pt>
                <c:pt idx="15">
                  <c:v>1.3466869060190074</c:v>
                </c:pt>
              </c:numCache>
            </c:numRef>
          </c:val>
          <c:smooth val="0"/>
          <c:extLst>
            <c:ext xmlns:c16="http://schemas.microsoft.com/office/drawing/2014/chart" uri="{C3380CC4-5D6E-409C-BE32-E72D297353CC}">
              <c16:uniqueId val="{00000000-C19A-4746-AC94-FA5430A530A6}"/>
            </c:ext>
          </c:extLst>
        </c:ser>
        <c:ser>
          <c:idx val="1"/>
          <c:order val="1"/>
          <c:tx>
            <c:v>EBITDA</c:v>
          </c:tx>
          <c:spPr>
            <a:ln w="12700">
              <a:solidFill>
                <a:srgbClr val="FF0000"/>
              </a:solidFill>
              <a:prstDash val="solid"/>
            </a:ln>
          </c:spPr>
          <c:marker>
            <c:symbol val="square"/>
            <c:size val="5"/>
            <c:spPr>
              <a:solidFill>
                <a:srgbClr val="FF0000"/>
              </a:solidFill>
              <a:ln>
                <a:solidFill>
                  <a:srgbClr val="FF0000"/>
                </a:solidFill>
                <a:prstDash val="solid"/>
              </a:ln>
            </c:spPr>
          </c:marker>
          <c:val>
            <c:numRef>
              <c:f>'CPA Companies'!$I$177:$I$192</c:f>
              <c:numCache>
                <c:formatCode>#,##0.0\x_);[Red]\(#,##0.0\x\);</c:formatCode>
                <c:ptCount val="16"/>
                <c:pt idx="0">
                  <c:v>5.9313641428717743</c:v>
                </c:pt>
                <c:pt idx="1">
                  <c:v>5.3907005119992757</c:v>
                </c:pt>
                <c:pt idx="2">
                  <c:v>10.705804161023165</c:v>
                </c:pt>
                <c:pt idx="3">
                  <c:v>18.73639053254438</c:v>
                </c:pt>
                <c:pt idx="4">
                  <c:v>24.751224897260276</c:v>
                </c:pt>
                <c:pt idx="5">
                  <c:v>35.710024906015043</c:v>
                </c:pt>
                <c:pt idx="6">
                  <c:v>44.92372661097852</c:v>
                </c:pt>
                <c:pt idx="7">
                  <c:v>58.246337867647064</c:v>
                </c:pt>
                <c:pt idx="8">
                  <c:v>40.823051534090908</c:v>
                </c:pt>
                <c:pt idx="9">
                  <c:v>0</c:v>
                </c:pt>
                <c:pt idx="10">
                  <c:v>33.31704431330472</c:v>
                </c:pt>
                <c:pt idx="11">
                  <c:v>15.260163961038961</c:v>
                </c:pt>
                <c:pt idx="12">
                  <c:v>10.912529512067156</c:v>
                </c:pt>
                <c:pt idx="13">
                  <c:v>24.452243589743588</c:v>
                </c:pt>
                <c:pt idx="14">
                  <c:v>47.236426767676768</c:v>
                </c:pt>
                <c:pt idx="15">
                  <c:v>18.572512135922331</c:v>
                </c:pt>
              </c:numCache>
            </c:numRef>
          </c:val>
          <c:smooth val="0"/>
          <c:extLst>
            <c:ext xmlns:c16="http://schemas.microsoft.com/office/drawing/2014/chart" uri="{C3380CC4-5D6E-409C-BE32-E72D297353CC}">
              <c16:uniqueId val="{00000001-C19A-4746-AC94-FA5430A530A6}"/>
            </c:ext>
          </c:extLst>
        </c:ser>
        <c:ser>
          <c:idx val="2"/>
          <c:order val="2"/>
          <c:tx>
            <c:v>Earnings</c:v>
          </c:tx>
          <c:spPr>
            <a:ln w="12700">
              <a:solidFill>
                <a:srgbClr val="00FF00"/>
              </a:solidFill>
              <a:prstDash val="solid"/>
            </a:ln>
          </c:spPr>
          <c:marker>
            <c:symbol val="triangle"/>
            <c:size val="5"/>
            <c:spPr>
              <a:solidFill>
                <a:srgbClr val="00FF00"/>
              </a:solidFill>
              <a:ln>
                <a:solidFill>
                  <a:srgbClr val="00FF00"/>
                </a:solidFill>
                <a:prstDash val="solid"/>
              </a:ln>
            </c:spPr>
          </c:marker>
          <c:val>
            <c:numRef>
              <c:f>'CPA Companies'!$J$177:$J$192</c:f>
              <c:numCache>
                <c:formatCode>#,##0.0\x_);[Red]\(#,##0.0\x\);</c:formatCode>
                <c:ptCount val="16"/>
                <c:pt idx="0">
                  <c:v>14.367569534187036</c:v>
                </c:pt>
                <c:pt idx="1">
                  <c:v>12.66761864643745</c:v>
                </c:pt>
                <c:pt idx="2">
                  <c:v>23.671276179673171</c:v>
                </c:pt>
                <c:pt idx="3">
                  <c:v>31.273580246913582</c:v>
                </c:pt>
                <c:pt idx="4">
                  <c:v>148.10159159836067</c:v>
                </c:pt>
                <c:pt idx="5">
                  <c:v>70.102336715867168</c:v>
                </c:pt>
                <c:pt idx="6">
                  <c:v>70.235229291044774</c:v>
                </c:pt>
                <c:pt idx="7">
                  <c:v>49.820766981132081</c:v>
                </c:pt>
                <c:pt idx="8">
                  <c:v>11.426299411577608</c:v>
                </c:pt>
                <c:pt idx="9">
                  <c:v>29.236129797047969</c:v>
                </c:pt>
                <c:pt idx="10">
                  <c:v>38.240745443349752</c:v>
                </c:pt>
                <c:pt idx="11">
                  <c:v>49.789518008474573</c:v>
                </c:pt>
                <c:pt idx="12">
                  <c:v>55.024553571428569</c:v>
                </c:pt>
                <c:pt idx="13">
                  <c:v>58.148628048780488</c:v>
                </c:pt>
                <c:pt idx="14">
                  <c:v>66.805803571428569</c:v>
                </c:pt>
                <c:pt idx="15">
                  <c:v>36.4375</c:v>
                </c:pt>
              </c:numCache>
            </c:numRef>
          </c:val>
          <c:smooth val="0"/>
          <c:extLst>
            <c:ext xmlns:c16="http://schemas.microsoft.com/office/drawing/2014/chart" uri="{C3380CC4-5D6E-409C-BE32-E72D297353CC}">
              <c16:uniqueId val="{00000002-C19A-4746-AC94-FA5430A530A6}"/>
            </c:ext>
          </c:extLst>
        </c:ser>
        <c:dLbls>
          <c:showLegendKey val="0"/>
          <c:showVal val="0"/>
          <c:showCatName val="0"/>
          <c:showSerName val="0"/>
          <c:showPercent val="0"/>
          <c:showBubbleSize val="0"/>
        </c:dLbls>
        <c:marker val="1"/>
        <c:smooth val="0"/>
        <c:axId val="183211736"/>
        <c:axId val="1"/>
      </c:lineChart>
      <c:catAx>
        <c:axId val="183211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950"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2"/>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025" b="1" i="0" u="none" strike="noStrike" baseline="0">
                    <a:solidFill>
                      <a:srgbClr val="000000"/>
                    </a:solidFill>
                    <a:latin typeface="Times New Roman"/>
                    <a:ea typeface="Times New Roman"/>
                    <a:cs typeface="Times New Roman"/>
                  </a:defRPr>
                </a:pPr>
                <a:r>
                  <a:rPr lang="en-US"/>
                  <a:t>Maket Cap. Multiple</a:t>
                </a:r>
              </a:p>
            </c:rich>
          </c:tx>
          <c:layout>
            <c:manualLayout>
              <c:xMode val="edge"/>
              <c:yMode val="edge"/>
              <c:x val="3.1301488996676355E-2"/>
              <c:y val="0.33333352709584679"/>
            </c:manualLayout>
          </c:layout>
          <c:overlay val="0"/>
          <c:spPr>
            <a:noFill/>
            <a:ln w="25400">
              <a:noFill/>
            </a:ln>
          </c:spPr>
        </c:title>
        <c:numFmt formatCode="#,##0.0\x_);[Red]\(#,##0.0\x\);"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Times New Roman"/>
                <a:ea typeface="Times New Roman"/>
                <a:cs typeface="Times New Roman"/>
              </a:defRPr>
            </a:pPr>
            <a:endParaRPr lang="en-US"/>
          </a:p>
        </c:txPr>
        <c:crossAx val="183211736"/>
        <c:crosses val="autoZero"/>
        <c:crossBetween val="between"/>
      </c:valAx>
      <c:spPr>
        <a:solidFill>
          <a:srgbClr val="FFFFFF"/>
        </a:solidFill>
        <a:ln w="12700">
          <a:solidFill>
            <a:srgbClr val="808080"/>
          </a:solidFill>
          <a:prstDash val="solid"/>
        </a:ln>
      </c:spPr>
    </c:plotArea>
    <c:legend>
      <c:legendPos val="r"/>
      <c:layout>
        <c:manualLayout>
          <c:xMode val="edge"/>
          <c:yMode val="edge"/>
          <c:x val="0.81548616070288371"/>
          <c:y val="0.43571453898957108"/>
          <c:w val="0.16803957250847304"/>
          <c:h val="0.17380962484283435"/>
        </c:manualLayout>
      </c:layout>
      <c:overlay val="0"/>
      <c:spPr>
        <a:solidFill>
          <a:srgbClr val="FFFFFF"/>
        </a:solidFill>
        <a:ln w="3175">
          <a:solidFill>
            <a:srgbClr val="000000"/>
          </a:solidFill>
          <a:prstDash val="solid"/>
        </a:ln>
      </c:spPr>
      <c:txPr>
        <a:bodyPr/>
        <a:lstStyle/>
        <a:p>
          <a:pPr>
            <a:defRPr sz="87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none" strike="noStrike" baseline="0">
                <a:solidFill>
                  <a:srgbClr val="000000"/>
                </a:solidFill>
                <a:latin typeface="Times New Roman"/>
                <a:ea typeface="Times New Roman"/>
                <a:cs typeface="Times New Roman"/>
              </a:defRPr>
            </a:pPr>
            <a:r>
              <a:rPr lang="en-US"/>
              <a:t>Ballard Power Systems (BLDP)</a:t>
            </a:r>
          </a:p>
        </c:rich>
      </c:tx>
      <c:layout>
        <c:manualLayout>
          <c:xMode val="edge"/>
          <c:yMode val="edge"/>
          <c:x val="0.25164488841301069"/>
          <c:y val="3.5461074775309305E-2"/>
        </c:manualLayout>
      </c:layout>
      <c:overlay val="0"/>
      <c:spPr>
        <a:noFill/>
        <a:ln w="25400">
          <a:noFill/>
        </a:ln>
      </c:spPr>
    </c:title>
    <c:autoTitleDeleted val="0"/>
    <c:plotArea>
      <c:layout>
        <c:manualLayout>
          <c:layoutTarget val="inner"/>
          <c:xMode val="edge"/>
          <c:yMode val="edge"/>
          <c:x val="0.17434221027306626"/>
          <c:y val="0.20567423369679397"/>
          <c:w val="0.51973715515366914"/>
          <c:h val="0.63593527430388019"/>
        </c:manualLayout>
      </c:layout>
      <c:lineChart>
        <c:grouping val="standard"/>
        <c:varyColors val="0"/>
        <c:ser>
          <c:idx val="0"/>
          <c:order val="0"/>
          <c:tx>
            <c:v>Sales</c:v>
          </c:tx>
          <c:spPr>
            <a:ln w="12700">
              <a:solidFill>
                <a:srgbClr val="000080"/>
              </a:solidFill>
              <a:prstDash val="solid"/>
            </a:ln>
          </c:spPr>
          <c:marker>
            <c:symbol val="diamond"/>
            <c:size val="5"/>
            <c:spPr>
              <a:solidFill>
                <a:srgbClr val="000080"/>
              </a:solidFill>
              <a:ln>
                <a:solidFill>
                  <a:srgbClr val="000080"/>
                </a:solidFill>
                <a:prstDash val="solid"/>
              </a:ln>
            </c:spPr>
          </c:marker>
          <c:cat>
            <c:strRef>
              <c:f>'CPA Companies'!$A$6:$A$21</c:f>
              <c:strCache>
                <c:ptCount val="16"/>
                <c:pt idx="0">
                  <c:v>4Q01</c:v>
                </c:pt>
                <c:pt idx="1">
                  <c:v>3Q01</c:v>
                </c:pt>
                <c:pt idx="2">
                  <c:v>2Q01</c:v>
                </c:pt>
                <c:pt idx="3">
                  <c:v>1Q01</c:v>
                </c:pt>
                <c:pt idx="4">
                  <c:v>4Q00</c:v>
                </c:pt>
                <c:pt idx="5">
                  <c:v>3Q00</c:v>
                </c:pt>
                <c:pt idx="6">
                  <c:v>2Q00</c:v>
                </c:pt>
                <c:pt idx="7">
                  <c:v>1Q00</c:v>
                </c:pt>
                <c:pt idx="8">
                  <c:v>4Q99</c:v>
                </c:pt>
                <c:pt idx="9">
                  <c:v>3Q99</c:v>
                </c:pt>
                <c:pt idx="10">
                  <c:v>2Q99</c:v>
                </c:pt>
                <c:pt idx="11">
                  <c:v>1Q99</c:v>
                </c:pt>
                <c:pt idx="12">
                  <c:v>4Q98</c:v>
                </c:pt>
                <c:pt idx="13">
                  <c:v>3Q98</c:v>
                </c:pt>
                <c:pt idx="14">
                  <c:v>2Q98</c:v>
                </c:pt>
                <c:pt idx="15">
                  <c:v>1Q98</c:v>
                </c:pt>
              </c:strCache>
            </c:strRef>
          </c:cat>
          <c:val>
            <c:numRef>
              <c:f>'CPA Companies'!$H$196:$H$211</c:f>
              <c:numCache>
                <c:formatCode>#,##0.0\x_);[Red]\(#,##0.0\x\);</c:formatCode>
                <c:ptCount val="16"/>
                <c:pt idx="0">
                  <c:v>23.127139839041892</c:v>
                </c:pt>
                <c:pt idx="1">
                  <c:v>19.165437874786083</c:v>
                </c:pt>
                <c:pt idx="2">
                  <c:v>54.087903054530166</c:v>
                </c:pt>
                <c:pt idx="3">
                  <c:v>44.612025099734041</c:v>
                </c:pt>
                <c:pt idx="4">
                  <c:v>45.242871031622414</c:v>
                </c:pt>
                <c:pt idx="5">
                  <c:v>133.18875123125753</c:v>
                </c:pt>
                <c:pt idx="6">
                  <c:v>106.69725</c:v>
                </c:pt>
                <c:pt idx="7">
                  <c:v>103.18235367142857</c:v>
                </c:pt>
                <c:pt idx="8">
                  <c:v>32.598365186611865</c:v>
                </c:pt>
                <c:pt idx="9">
                  <c:v>39.580961538461537</c:v>
                </c:pt>
                <c:pt idx="10">
                  <c:v>47.519999999999996</c:v>
                </c:pt>
                <c:pt idx="11">
                  <c:v>50.017499999999991</c:v>
                </c:pt>
                <c:pt idx="12">
                  <c:v>49.005000000000003</c:v>
                </c:pt>
                <c:pt idx="13">
                  <c:v>44.55</c:v>
                </c:pt>
                <c:pt idx="14">
                  <c:v>72.532968749999995</c:v>
                </c:pt>
                <c:pt idx="15">
                  <c:v>96.312008571428564</c:v>
                </c:pt>
              </c:numCache>
            </c:numRef>
          </c:val>
          <c:smooth val="0"/>
          <c:extLst>
            <c:ext xmlns:c16="http://schemas.microsoft.com/office/drawing/2014/chart" uri="{C3380CC4-5D6E-409C-BE32-E72D297353CC}">
              <c16:uniqueId val="{00000000-01A0-490F-8C85-2B801AE1C49F}"/>
            </c:ext>
          </c:extLst>
        </c:ser>
        <c:dLbls>
          <c:showLegendKey val="0"/>
          <c:showVal val="0"/>
          <c:showCatName val="0"/>
          <c:showSerName val="0"/>
          <c:showPercent val="0"/>
          <c:showBubbleSize val="0"/>
        </c:dLbls>
        <c:marker val="1"/>
        <c:smooth val="0"/>
        <c:axId val="183212392"/>
        <c:axId val="1"/>
      </c:lineChart>
      <c:lineChart>
        <c:grouping val="standard"/>
        <c:varyColors val="0"/>
        <c:ser>
          <c:idx val="1"/>
          <c:order val="1"/>
          <c:tx>
            <c:v>Price</c:v>
          </c:tx>
          <c:spPr>
            <a:ln w="12700">
              <a:solidFill>
                <a:srgbClr val="FF00FF"/>
              </a:solidFill>
              <a:prstDash val="solid"/>
            </a:ln>
          </c:spPr>
          <c:marker>
            <c:symbol val="square"/>
            <c:size val="5"/>
            <c:spPr>
              <a:solidFill>
                <a:srgbClr val="FF00FF"/>
              </a:solidFill>
              <a:ln>
                <a:solidFill>
                  <a:srgbClr val="FF00FF"/>
                </a:solidFill>
                <a:prstDash val="solid"/>
              </a:ln>
            </c:spPr>
          </c:marker>
          <c:cat>
            <c:strRef>
              <c:f>'CPA Companies'!$A$6:$A$21</c:f>
              <c:strCache>
                <c:ptCount val="16"/>
                <c:pt idx="0">
                  <c:v>4Q01</c:v>
                </c:pt>
                <c:pt idx="1">
                  <c:v>3Q01</c:v>
                </c:pt>
                <c:pt idx="2">
                  <c:v>2Q01</c:v>
                </c:pt>
                <c:pt idx="3">
                  <c:v>1Q01</c:v>
                </c:pt>
                <c:pt idx="4">
                  <c:v>4Q00</c:v>
                </c:pt>
                <c:pt idx="5">
                  <c:v>3Q00</c:v>
                </c:pt>
                <c:pt idx="6">
                  <c:v>2Q00</c:v>
                </c:pt>
                <c:pt idx="7">
                  <c:v>1Q00</c:v>
                </c:pt>
                <c:pt idx="8">
                  <c:v>4Q99</c:v>
                </c:pt>
                <c:pt idx="9">
                  <c:v>3Q99</c:v>
                </c:pt>
                <c:pt idx="10">
                  <c:v>2Q99</c:v>
                </c:pt>
                <c:pt idx="11">
                  <c:v>1Q99</c:v>
                </c:pt>
                <c:pt idx="12">
                  <c:v>4Q98</c:v>
                </c:pt>
                <c:pt idx="13">
                  <c:v>3Q98</c:v>
                </c:pt>
                <c:pt idx="14">
                  <c:v>2Q98</c:v>
                </c:pt>
                <c:pt idx="15">
                  <c:v>1Q98</c:v>
                </c:pt>
              </c:strCache>
            </c:strRef>
          </c:cat>
          <c:val>
            <c:numRef>
              <c:f>'CPA Companies'!$E$196:$E$211</c:f>
              <c:numCache>
                <c:formatCode>"$"#,##0.0_);[Red]\("$"#,##0.0\)</c:formatCode>
                <c:ptCount val="16"/>
                <c:pt idx="0">
                  <c:v>95.855687500000002</c:v>
                </c:pt>
                <c:pt idx="1">
                  <c:v>91.303750000000008</c:v>
                </c:pt>
                <c:pt idx="2">
                  <c:v>88.043000000000006</c:v>
                </c:pt>
                <c:pt idx="3">
                  <c:v>80.087999999999994</c:v>
                </c:pt>
                <c:pt idx="4">
                  <c:v>123.988</c:v>
                </c:pt>
                <c:pt idx="5">
                  <c:v>73.096000000000004</c:v>
                </c:pt>
                <c:pt idx="6">
                  <c:v>75</c:v>
                </c:pt>
                <c:pt idx="7">
                  <c:v>70</c:v>
                </c:pt>
                <c:pt idx="8">
                  <c:v>72.623999999999995</c:v>
                </c:pt>
                <c:pt idx="9">
                  <c:v>65</c:v>
                </c:pt>
                <c:pt idx="10">
                  <c:v>60</c:v>
                </c:pt>
                <c:pt idx="11">
                  <c:v>55</c:v>
                </c:pt>
                <c:pt idx="12">
                  <c:v>50</c:v>
                </c:pt>
                <c:pt idx="13">
                  <c:v>45</c:v>
                </c:pt>
                <c:pt idx="14">
                  <c:v>40</c:v>
                </c:pt>
                <c:pt idx="15">
                  <c:v>35</c:v>
                </c:pt>
              </c:numCache>
            </c:numRef>
          </c:val>
          <c:smooth val="0"/>
          <c:extLst>
            <c:ext xmlns:c16="http://schemas.microsoft.com/office/drawing/2014/chart" uri="{C3380CC4-5D6E-409C-BE32-E72D297353CC}">
              <c16:uniqueId val="{00000001-01A0-490F-8C85-2B801AE1C49F}"/>
            </c:ext>
          </c:extLst>
        </c:ser>
        <c:dLbls>
          <c:showLegendKey val="0"/>
          <c:showVal val="0"/>
          <c:showCatName val="0"/>
          <c:showSerName val="0"/>
          <c:showPercent val="0"/>
          <c:showBubbleSize val="0"/>
        </c:dLbls>
        <c:marker val="1"/>
        <c:smooth val="0"/>
        <c:axId val="3"/>
        <c:axId val="4"/>
      </c:lineChart>
      <c:catAx>
        <c:axId val="18321239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950"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2"/>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925" b="1" i="0" u="none" strike="noStrike" baseline="0">
                    <a:solidFill>
                      <a:srgbClr val="000000"/>
                    </a:solidFill>
                    <a:latin typeface="Times New Roman"/>
                    <a:ea typeface="Times New Roman"/>
                    <a:cs typeface="Times New Roman"/>
                  </a:defRPr>
                </a:pPr>
                <a:r>
                  <a:rPr lang="en-US"/>
                  <a:t>Revenue Multiple</a:t>
                </a:r>
              </a:p>
            </c:rich>
          </c:tx>
          <c:layout>
            <c:manualLayout>
              <c:xMode val="edge"/>
              <c:yMode val="edge"/>
              <c:x val="3.1250018822530742E-2"/>
              <c:y val="0.37825146426996592"/>
            </c:manualLayout>
          </c:layout>
          <c:overlay val="0"/>
          <c:spPr>
            <a:noFill/>
            <a:ln w="25400">
              <a:noFill/>
            </a:ln>
          </c:spPr>
        </c:title>
        <c:numFmt formatCode="#,##0.0\x_);[Red]\(#,##0.0\x\);"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Times New Roman"/>
                <a:ea typeface="Times New Roman"/>
                <a:cs typeface="Times New Roman"/>
              </a:defRPr>
            </a:pPr>
            <a:endParaRPr lang="en-US"/>
          </a:p>
        </c:txPr>
        <c:crossAx val="183212392"/>
        <c:crosses val="autoZero"/>
        <c:crossBetween val="between"/>
      </c:valAx>
      <c:catAx>
        <c:axId val="3"/>
        <c:scaling>
          <c:orientation val="minMax"/>
        </c:scaling>
        <c:delete val="1"/>
        <c:axPos val="b"/>
        <c:numFmt formatCode="General" sourceLinked="1"/>
        <c:majorTickMark val="out"/>
        <c:minorTickMark val="none"/>
        <c:tickLblPos val="nextTo"/>
        <c:crossAx val="4"/>
        <c:crosses val="autoZero"/>
        <c:auto val="1"/>
        <c:lblAlgn val="ctr"/>
        <c:lblOffset val="100"/>
        <c:noMultiLvlLbl val="0"/>
      </c:catAx>
      <c:valAx>
        <c:axId val="4"/>
        <c:scaling>
          <c:orientation val="minMax"/>
        </c:scaling>
        <c:delete val="0"/>
        <c:axPos val="r"/>
        <c:title>
          <c:tx>
            <c:rich>
              <a:bodyPr/>
              <a:lstStyle/>
              <a:p>
                <a:pPr>
                  <a:defRPr sz="925" b="1" i="0" u="none" strike="noStrike" baseline="0">
                    <a:solidFill>
                      <a:srgbClr val="000000"/>
                    </a:solidFill>
                    <a:latin typeface="Times New Roman"/>
                    <a:ea typeface="Times New Roman"/>
                    <a:cs typeface="Times New Roman"/>
                  </a:defRPr>
                </a:pPr>
                <a:r>
                  <a:rPr lang="en-US"/>
                  <a:t>Annaulized Revenues ($M)</a:t>
                </a:r>
              </a:p>
            </c:rich>
          </c:tx>
          <c:layout>
            <c:manualLayout>
              <c:xMode val="edge"/>
              <c:yMode val="edge"/>
              <c:x val="0.78947415972709245"/>
              <c:y val="0.30732931471934727"/>
            </c:manualLayout>
          </c:layout>
          <c:overlay val="0"/>
          <c:spPr>
            <a:noFill/>
            <a:ln w="25400">
              <a:noFill/>
            </a:ln>
          </c:spPr>
        </c:title>
        <c:numFmt formatCode="\$#,##0_);[Red]\(\$#,##0\)" sourceLinked="0"/>
        <c:majorTickMark val="cross"/>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Times New Roman"/>
                <a:ea typeface="Times New Roman"/>
                <a:cs typeface="Times New Roman"/>
              </a:defRPr>
            </a:pPr>
            <a:endParaRPr lang="en-US"/>
          </a:p>
        </c:txPr>
        <c:crossAx val="3"/>
        <c:crosses val="max"/>
        <c:crossBetween val="between"/>
      </c:valAx>
      <c:spPr>
        <a:solidFill>
          <a:srgbClr val="FFFFFF"/>
        </a:solidFill>
        <a:ln w="12700">
          <a:solidFill>
            <a:srgbClr val="808080"/>
          </a:solidFill>
          <a:prstDash val="solid"/>
        </a:ln>
      </c:spPr>
    </c:plotArea>
    <c:legend>
      <c:legendPos val="r"/>
      <c:layout>
        <c:manualLayout>
          <c:xMode val="edge"/>
          <c:yMode val="edge"/>
          <c:x val="0.85361893520491861"/>
          <c:y val="0.4657221153823955"/>
          <c:w val="0.12993428878841728"/>
          <c:h val="0.11583951093267705"/>
        </c:manualLayout>
      </c:layout>
      <c:overlay val="0"/>
      <c:spPr>
        <a:solidFill>
          <a:srgbClr val="FFFFFF"/>
        </a:solidFill>
        <a:ln w="3175">
          <a:solidFill>
            <a:srgbClr val="000000"/>
          </a:solidFill>
          <a:prstDash val="solid"/>
        </a:ln>
      </c:spPr>
      <c:txPr>
        <a:bodyPr/>
        <a:lstStyle/>
        <a:p>
          <a:pPr>
            <a:defRPr sz="87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orientation="landscape" horizontalDpi="-4" verticalDpi="0"/>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5" b="1" i="0" u="none" strike="noStrike" baseline="0">
                <a:solidFill>
                  <a:srgbClr val="000000"/>
                </a:solidFill>
                <a:latin typeface="Times New Roman"/>
                <a:ea typeface="Times New Roman"/>
                <a:cs typeface="Times New Roman"/>
              </a:defRPr>
            </a:pPr>
            <a:r>
              <a:rPr lang="en-US"/>
              <a:t>Itron (ITRI)</a:t>
            </a:r>
          </a:p>
        </c:rich>
      </c:tx>
      <c:layout>
        <c:manualLayout>
          <c:xMode val="edge"/>
          <c:yMode val="edge"/>
          <c:x val="0.39590476674551944"/>
          <c:y val="3.5629495005259755E-2"/>
        </c:manualLayout>
      </c:layout>
      <c:overlay val="0"/>
      <c:spPr>
        <a:noFill/>
        <a:ln w="25400">
          <a:noFill/>
        </a:ln>
      </c:spPr>
    </c:title>
    <c:autoTitleDeleted val="0"/>
    <c:plotArea>
      <c:layout>
        <c:manualLayout>
          <c:layoutTarget val="inner"/>
          <c:xMode val="edge"/>
          <c:yMode val="edge"/>
          <c:x val="0.17576806454650218"/>
          <c:y val="0.20665107103050659"/>
          <c:w val="0.46928366747852523"/>
          <c:h val="0.63420501109362371"/>
        </c:manualLayout>
      </c:layout>
      <c:barChart>
        <c:barDir val="col"/>
        <c:grouping val="clustered"/>
        <c:varyColors val="0"/>
        <c:ser>
          <c:idx val="0"/>
          <c:order val="2"/>
          <c:tx>
            <c:v>Sales</c:v>
          </c:tx>
          <c:spPr>
            <a:solidFill>
              <a:srgbClr val="9999FF"/>
            </a:solidFill>
            <a:ln w="12700">
              <a:solidFill>
                <a:srgbClr val="000000"/>
              </a:solidFill>
              <a:prstDash val="solid"/>
            </a:ln>
          </c:spPr>
          <c:invertIfNegative val="0"/>
          <c:cat>
            <c:strRef>
              <c:f>'CPA Companies'!$A$6:$A$21</c:f>
              <c:strCache>
                <c:ptCount val="16"/>
                <c:pt idx="0">
                  <c:v>4Q01</c:v>
                </c:pt>
                <c:pt idx="1">
                  <c:v>3Q01</c:v>
                </c:pt>
                <c:pt idx="2">
                  <c:v>2Q01</c:v>
                </c:pt>
                <c:pt idx="3">
                  <c:v>1Q01</c:v>
                </c:pt>
                <c:pt idx="4">
                  <c:v>4Q00</c:v>
                </c:pt>
                <c:pt idx="5">
                  <c:v>3Q00</c:v>
                </c:pt>
                <c:pt idx="6">
                  <c:v>2Q00</c:v>
                </c:pt>
                <c:pt idx="7">
                  <c:v>1Q00</c:v>
                </c:pt>
                <c:pt idx="8">
                  <c:v>4Q99</c:v>
                </c:pt>
                <c:pt idx="9">
                  <c:v>3Q99</c:v>
                </c:pt>
                <c:pt idx="10">
                  <c:v>2Q99</c:v>
                </c:pt>
                <c:pt idx="11">
                  <c:v>1Q99</c:v>
                </c:pt>
                <c:pt idx="12">
                  <c:v>4Q98</c:v>
                </c:pt>
                <c:pt idx="13">
                  <c:v>3Q98</c:v>
                </c:pt>
                <c:pt idx="14">
                  <c:v>2Q98</c:v>
                </c:pt>
                <c:pt idx="15">
                  <c:v>1Q98</c:v>
                </c:pt>
              </c:strCache>
            </c:strRef>
          </c:cat>
          <c:val>
            <c:numRef>
              <c:f>'CPA Companies'!$H$215:$H$230</c:f>
              <c:numCache>
                <c:formatCode>#,##0.0\x_);[Red]\(#,##0.0\x\);</c:formatCode>
                <c:ptCount val="16"/>
                <c:pt idx="0">
                  <c:v>1.7303922065546846</c:v>
                </c:pt>
                <c:pt idx="1">
                  <c:v>1.8619788170047742</c:v>
                </c:pt>
                <c:pt idx="2">
                  <c:v>1.3918771986231417</c:v>
                </c:pt>
                <c:pt idx="3">
                  <c:v>0.98107939466700356</c:v>
                </c:pt>
                <c:pt idx="4">
                  <c:v>0.28611847679617791</c:v>
                </c:pt>
                <c:pt idx="5">
                  <c:v>0.54870902024881829</c:v>
                </c:pt>
                <c:pt idx="6">
                  <c:v>0.71336524300441828</c:v>
                </c:pt>
                <c:pt idx="7">
                  <c:v>0.55963781002140256</c:v>
                </c:pt>
                <c:pt idx="8">
                  <c:v>0.55559814341893865</c:v>
                </c:pt>
                <c:pt idx="9">
                  <c:v>0.45037067651360652</c:v>
                </c:pt>
                <c:pt idx="10">
                  <c:v>0.61877147556666212</c:v>
                </c:pt>
                <c:pt idx="11">
                  <c:v>0.69087496390412928</c:v>
                </c:pt>
                <c:pt idx="12">
                  <c:v>0.43376387692072299</c:v>
                </c:pt>
                <c:pt idx="13">
                  <c:v>0.44285260033917467</c:v>
                </c:pt>
                <c:pt idx="14">
                  <c:v>0.77032080501571532</c:v>
                </c:pt>
                <c:pt idx="15">
                  <c:v>1.1327016230300748</c:v>
                </c:pt>
              </c:numCache>
            </c:numRef>
          </c:val>
          <c:extLst>
            <c:ext xmlns:c16="http://schemas.microsoft.com/office/drawing/2014/chart" uri="{C3380CC4-5D6E-409C-BE32-E72D297353CC}">
              <c16:uniqueId val="{00000000-3AE6-4B5D-9ABB-93FD0EF334AA}"/>
            </c:ext>
          </c:extLst>
        </c:ser>
        <c:dLbls>
          <c:showLegendKey val="0"/>
          <c:showVal val="0"/>
          <c:showCatName val="0"/>
          <c:showSerName val="0"/>
          <c:showPercent val="0"/>
          <c:showBubbleSize val="0"/>
        </c:dLbls>
        <c:gapWidth val="150"/>
        <c:axId val="3"/>
        <c:axId val="4"/>
      </c:barChart>
      <c:lineChart>
        <c:grouping val="standard"/>
        <c:varyColors val="0"/>
        <c:ser>
          <c:idx val="1"/>
          <c:order val="0"/>
          <c:tx>
            <c:v>EBITDA</c:v>
          </c:tx>
          <c:spPr>
            <a:ln w="12700">
              <a:solidFill>
                <a:srgbClr val="FF0000"/>
              </a:solidFill>
              <a:prstDash val="solid"/>
            </a:ln>
          </c:spPr>
          <c:marker>
            <c:symbol val="square"/>
            <c:size val="5"/>
            <c:spPr>
              <a:solidFill>
                <a:srgbClr val="FF0000"/>
              </a:solidFill>
              <a:ln>
                <a:solidFill>
                  <a:srgbClr val="FF0000"/>
                </a:solidFill>
                <a:prstDash val="solid"/>
              </a:ln>
            </c:spPr>
          </c:marker>
          <c:cat>
            <c:strRef>
              <c:f>'CPA Companies'!$A$6:$A$21</c:f>
              <c:strCache>
                <c:ptCount val="16"/>
                <c:pt idx="0">
                  <c:v>4Q01</c:v>
                </c:pt>
                <c:pt idx="1">
                  <c:v>3Q01</c:v>
                </c:pt>
                <c:pt idx="2">
                  <c:v>2Q01</c:v>
                </c:pt>
                <c:pt idx="3">
                  <c:v>1Q01</c:v>
                </c:pt>
                <c:pt idx="4">
                  <c:v>4Q00</c:v>
                </c:pt>
                <c:pt idx="5">
                  <c:v>3Q00</c:v>
                </c:pt>
                <c:pt idx="6">
                  <c:v>2Q00</c:v>
                </c:pt>
                <c:pt idx="7">
                  <c:v>1Q00</c:v>
                </c:pt>
                <c:pt idx="8">
                  <c:v>4Q99</c:v>
                </c:pt>
                <c:pt idx="9">
                  <c:v>3Q99</c:v>
                </c:pt>
                <c:pt idx="10">
                  <c:v>2Q99</c:v>
                </c:pt>
                <c:pt idx="11">
                  <c:v>1Q99</c:v>
                </c:pt>
                <c:pt idx="12">
                  <c:v>4Q98</c:v>
                </c:pt>
                <c:pt idx="13">
                  <c:v>3Q98</c:v>
                </c:pt>
                <c:pt idx="14">
                  <c:v>2Q98</c:v>
                </c:pt>
                <c:pt idx="15">
                  <c:v>1Q98</c:v>
                </c:pt>
              </c:strCache>
            </c:strRef>
          </c:cat>
          <c:val>
            <c:numRef>
              <c:f>'CPA Companies'!$I$215:$I$230</c:f>
              <c:numCache>
                <c:formatCode>#,##0.0\x_);[Red]\(#,##0.0\x\);</c:formatCode>
                <c:ptCount val="16"/>
                <c:pt idx="0">
                  <c:v>18.399881428783161</c:v>
                </c:pt>
                <c:pt idx="1">
                  <c:v>21.251969778095066</c:v>
                </c:pt>
                <c:pt idx="2">
                  <c:v>12.673345100740486</c:v>
                </c:pt>
                <c:pt idx="3">
                  <c:v>12.26426737756714</c:v>
                </c:pt>
                <c:pt idx="4">
                  <c:v>2.9521375342321456</c:v>
                </c:pt>
                <c:pt idx="5">
                  <c:v>9.4959935897435912</c:v>
                </c:pt>
                <c:pt idx="6">
                  <c:v>15.001759737212577</c:v>
                </c:pt>
                <c:pt idx="7">
                  <c:v>13.443154611895162</c:v>
                </c:pt>
                <c:pt idx="8">
                  <c:v>0</c:v>
                </c:pt>
                <c:pt idx="9">
                  <c:v>0</c:v>
                </c:pt>
                <c:pt idx="10">
                  <c:v>0</c:v>
                </c:pt>
                <c:pt idx="11">
                  <c:v>22.03038674033149</c:v>
                </c:pt>
                <c:pt idx="12">
                  <c:v>9.5027043269230784</c:v>
                </c:pt>
                <c:pt idx="13">
                  <c:v>0</c:v>
                </c:pt>
                <c:pt idx="14">
                  <c:v>390.09687500000001</c:v>
                </c:pt>
                <c:pt idx="15">
                  <c:v>43.210871257485032</c:v>
                </c:pt>
              </c:numCache>
            </c:numRef>
          </c:val>
          <c:smooth val="0"/>
          <c:extLst>
            <c:ext xmlns:c16="http://schemas.microsoft.com/office/drawing/2014/chart" uri="{C3380CC4-5D6E-409C-BE32-E72D297353CC}">
              <c16:uniqueId val="{00000001-3AE6-4B5D-9ABB-93FD0EF334AA}"/>
            </c:ext>
          </c:extLst>
        </c:ser>
        <c:ser>
          <c:idx val="2"/>
          <c:order val="1"/>
          <c:tx>
            <c:v>Earnings</c:v>
          </c:tx>
          <c:spPr>
            <a:ln w="12700">
              <a:solidFill>
                <a:srgbClr val="00FF00"/>
              </a:solidFill>
              <a:prstDash val="solid"/>
            </a:ln>
          </c:spPr>
          <c:marker>
            <c:symbol val="triangle"/>
            <c:size val="5"/>
            <c:spPr>
              <a:solidFill>
                <a:srgbClr val="00FF00"/>
              </a:solidFill>
              <a:ln>
                <a:solidFill>
                  <a:srgbClr val="00FF00"/>
                </a:solidFill>
                <a:prstDash val="solid"/>
              </a:ln>
            </c:spPr>
          </c:marker>
          <c:val>
            <c:numRef>
              <c:f>'CPA Companies'!$J$215:$J$230</c:f>
              <c:numCache>
                <c:formatCode>#,##0.0\x_);[Red]\(#,##0.0\x\);</c:formatCode>
                <c:ptCount val="16"/>
                <c:pt idx="0">
                  <c:v>47.27657953955341</c:v>
                </c:pt>
                <c:pt idx="1">
                  <c:v>54.051196852776513</c:v>
                </c:pt>
                <c:pt idx="2">
                  <c:v>23.512496805111823</c:v>
                </c:pt>
                <c:pt idx="3">
                  <c:v>30.246550324675322</c:v>
                </c:pt>
                <c:pt idx="4">
                  <c:v>15.58820564516129</c:v>
                </c:pt>
                <c:pt idx="5">
                  <c:v>22.434284855769231</c:v>
                </c:pt>
                <c:pt idx="6">
                  <c:v>36.082110609480814</c:v>
                </c:pt>
                <c:pt idx="7">
                  <c:v>14.558525518558952</c:v>
                </c:pt>
                <c:pt idx="8">
                  <c:v>0</c:v>
                </c:pt>
                <c:pt idx="9">
                  <c:v>0</c:v>
                </c:pt>
                <c:pt idx="10">
                  <c:v>0</c:v>
                </c:pt>
                <c:pt idx="11">
                  <c:v>10.465879265091862</c:v>
                </c:pt>
                <c:pt idx="12">
                  <c:v>42.951617324561298</c:v>
                </c:pt>
                <c:pt idx="13">
                  <c:v>0</c:v>
                </c:pt>
                <c:pt idx="14">
                  <c:v>0</c:v>
                </c:pt>
                <c:pt idx="15">
                  <c:v>471.64807189542483</c:v>
                </c:pt>
              </c:numCache>
            </c:numRef>
          </c:val>
          <c:smooth val="0"/>
          <c:extLst>
            <c:ext xmlns:c16="http://schemas.microsoft.com/office/drawing/2014/chart" uri="{C3380CC4-5D6E-409C-BE32-E72D297353CC}">
              <c16:uniqueId val="{00000002-3AE6-4B5D-9ABB-93FD0EF334AA}"/>
            </c:ext>
          </c:extLst>
        </c:ser>
        <c:dLbls>
          <c:showLegendKey val="0"/>
          <c:showVal val="0"/>
          <c:showCatName val="0"/>
          <c:showSerName val="0"/>
          <c:showPercent val="0"/>
          <c:showBubbleSize val="0"/>
        </c:dLbls>
        <c:marker val="1"/>
        <c:smooth val="0"/>
        <c:axId val="183218624"/>
        <c:axId val="1"/>
      </c:lineChart>
      <c:catAx>
        <c:axId val="18321862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950"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2"/>
        <c:tickMarkSkip val="1"/>
        <c:noMultiLvlLbl val="0"/>
      </c:catAx>
      <c:valAx>
        <c:axId val="1"/>
        <c:scaling>
          <c:orientation val="minMax"/>
          <c:max val="50"/>
        </c:scaling>
        <c:delete val="0"/>
        <c:axPos val="l"/>
        <c:majorGridlines>
          <c:spPr>
            <a:ln w="3175">
              <a:solidFill>
                <a:srgbClr val="000000"/>
              </a:solidFill>
              <a:prstDash val="solid"/>
            </a:ln>
          </c:spPr>
        </c:majorGridlines>
        <c:title>
          <c:tx>
            <c:rich>
              <a:bodyPr/>
              <a:lstStyle/>
              <a:p>
                <a:pPr>
                  <a:defRPr sz="1025" b="1" i="0" u="none" strike="noStrike" baseline="0">
                    <a:solidFill>
                      <a:srgbClr val="000000"/>
                    </a:solidFill>
                    <a:latin typeface="Times New Roman"/>
                    <a:ea typeface="Times New Roman"/>
                    <a:cs typeface="Times New Roman"/>
                  </a:defRPr>
                </a:pPr>
                <a:r>
                  <a:rPr lang="en-US"/>
                  <a:t>Price to EBITDA &amp; Income</a:t>
                </a:r>
              </a:p>
            </c:rich>
          </c:tx>
          <c:layout>
            <c:manualLayout>
              <c:xMode val="edge"/>
              <c:yMode val="edge"/>
              <c:x val="3.2423235207607197E-2"/>
              <c:y val="0.27791006104102611"/>
            </c:manualLayout>
          </c:layout>
          <c:overlay val="0"/>
          <c:spPr>
            <a:noFill/>
            <a:ln w="25400">
              <a:noFill/>
            </a:ln>
          </c:spPr>
        </c:title>
        <c:numFmt formatCode="#,##0.0\x_);[Red]\(#,##0.0\x\);"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Times New Roman"/>
                <a:ea typeface="Times New Roman"/>
                <a:cs typeface="Times New Roman"/>
              </a:defRPr>
            </a:pPr>
            <a:endParaRPr lang="en-US"/>
          </a:p>
        </c:txPr>
        <c:crossAx val="183218624"/>
        <c:crosses val="autoZero"/>
        <c:crossBetween val="between"/>
        <c:majorUnit val="5"/>
        <c:minorUnit val="1"/>
      </c:valAx>
      <c:catAx>
        <c:axId val="3"/>
        <c:scaling>
          <c:orientation val="minMax"/>
        </c:scaling>
        <c:delete val="1"/>
        <c:axPos val="b"/>
        <c:numFmt formatCode="General" sourceLinked="1"/>
        <c:majorTickMark val="out"/>
        <c:minorTickMark val="none"/>
        <c:tickLblPos val="nextTo"/>
        <c:crossAx val="4"/>
        <c:crosses val="autoZero"/>
        <c:auto val="1"/>
        <c:lblAlgn val="ctr"/>
        <c:lblOffset val="100"/>
        <c:noMultiLvlLbl val="0"/>
      </c:catAx>
      <c:valAx>
        <c:axId val="4"/>
        <c:scaling>
          <c:orientation val="minMax"/>
          <c:max val="5"/>
        </c:scaling>
        <c:delete val="0"/>
        <c:axPos val="r"/>
        <c:title>
          <c:tx>
            <c:rich>
              <a:bodyPr/>
              <a:lstStyle/>
              <a:p>
                <a:pPr>
                  <a:defRPr sz="1025" b="1" i="0" u="none" strike="noStrike" baseline="0">
                    <a:solidFill>
                      <a:srgbClr val="000000"/>
                    </a:solidFill>
                    <a:latin typeface="Times New Roman"/>
                    <a:ea typeface="Times New Roman"/>
                    <a:cs typeface="Times New Roman"/>
                  </a:defRPr>
                </a:pPr>
                <a:r>
                  <a:rPr lang="en-US"/>
                  <a:t>Pice to Sales</a:t>
                </a:r>
              </a:p>
            </c:rich>
          </c:tx>
          <c:layout>
            <c:manualLayout>
              <c:xMode val="edge"/>
              <c:yMode val="edge"/>
              <c:x val="0.73378900733005759"/>
              <c:y val="0.40617624305996125"/>
            </c:manualLayout>
          </c:layout>
          <c:overlay val="0"/>
          <c:spPr>
            <a:noFill/>
            <a:ln w="25400">
              <a:noFill/>
            </a:ln>
          </c:spPr>
        </c:title>
        <c:numFmt formatCode="#,##0.0\x_);[Red]\(#,##0.0\x\);"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Times New Roman"/>
                <a:ea typeface="Times New Roman"/>
                <a:cs typeface="Times New Roman"/>
              </a:defRPr>
            </a:pPr>
            <a:endParaRPr lang="en-US"/>
          </a:p>
        </c:txPr>
        <c:crossAx val="3"/>
        <c:crosses val="max"/>
        <c:crossBetween val="between"/>
      </c:valAx>
      <c:spPr>
        <a:solidFill>
          <a:srgbClr val="FFFFFF"/>
        </a:solidFill>
        <a:ln w="12700">
          <a:solidFill>
            <a:srgbClr val="808080"/>
          </a:solidFill>
          <a:prstDash val="solid"/>
        </a:ln>
      </c:spPr>
    </c:plotArea>
    <c:legend>
      <c:legendPos val="r"/>
      <c:layout>
        <c:manualLayout>
          <c:xMode val="edge"/>
          <c:yMode val="edge"/>
          <c:x val="0.80887439412662154"/>
          <c:y val="0.4370551387311864"/>
          <c:w val="0.17406157848294387"/>
          <c:h val="0.17339687569226414"/>
        </c:manualLayout>
      </c:layout>
      <c:overlay val="0"/>
      <c:spPr>
        <a:solidFill>
          <a:srgbClr val="FFFFFF"/>
        </a:solidFill>
        <a:ln w="3175">
          <a:solidFill>
            <a:srgbClr val="000000"/>
          </a:solidFill>
          <a:prstDash val="solid"/>
        </a:ln>
      </c:spPr>
      <c:txPr>
        <a:bodyPr/>
        <a:lstStyle/>
        <a:p>
          <a:pPr>
            <a:defRPr sz="87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1" i="0" u="none" strike="noStrike" baseline="0">
                <a:solidFill>
                  <a:srgbClr val="000000"/>
                </a:solidFill>
                <a:latin typeface="Times New Roman"/>
                <a:ea typeface="Times New Roman"/>
                <a:cs typeface="Times New Roman"/>
              </a:defRPr>
            </a:pPr>
            <a:r>
              <a:rPr lang="en-US"/>
              <a:t>IdleAire Technologies Value Projection</a:t>
            </a:r>
          </a:p>
        </c:rich>
      </c:tx>
      <c:layout>
        <c:manualLayout>
          <c:xMode val="edge"/>
          <c:yMode val="edge"/>
          <c:x val="0.15348867710436154"/>
          <c:y val="3.713535065979618E-2"/>
        </c:manualLayout>
      </c:layout>
      <c:overlay val="0"/>
      <c:spPr>
        <a:noFill/>
        <a:ln w="25400">
          <a:noFill/>
        </a:ln>
      </c:spPr>
    </c:title>
    <c:autoTitleDeleted val="0"/>
    <c:plotArea>
      <c:layout>
        <c:manualLayout>
          <c:layoutTarget val="inner"/>
          <c:xMode val="edge"/>
          <c:yMode val="edge"/>
          <c:x val="0.22558184362307682"/>
          <c:y val="0.19628685348749411"/>
          <c:w val="0.55348947198239473"/>
          <c:h val="0.57825046027396909"/>
        </c:manualLayout>
      </c:layout>
      <c:barChart>
        <c:barDir val="col"/>
        <c:grouping val="clustered"/>
        <c:varyColors val="0"/>
        <c:ser>
          <c:idx val="1"/>
          <c:order val="1"/>
          <c:tx>
            <c:v>Share Price</c:v>
          </c:tx>
          <c:spPr>
            <a:solidFill>
              <a:srgbClr val="FF0000"/>
            </a:solidFill>
            <a:ln w="12700">
              <a:solidFill>
                <a:srgbClr val="FF0000"/>
              </a:solidFill>
              <a:prstDash val="solid"/>
            </a:ln>
          </c:spPr>
          <c:invertIfNegative val="0"/>
          <c:cat>
            <c:strRef>
              <c:f>Graphs!$D$20:$Y$20</c:f>
              <c:strCache>
                <c:ptCount val="22"/>
                <c:pt idx="0">
                  <c:v>3Q00</c:v>
                </c:pt>
                <c:pt idx="1">
                  <c:v>4Q00</c:v>
                </c:pt>
                <c:pt idx="2">
                  <c:v>1Q01</c:v>
                </c:pt>
                <c:pt idx="3">
                  <c:v>2Q01</c:v>
                </c:pt>
                <c:pt idx="4">
                  <c:v>3Q01</c:v>
                </c:pt>
                <c:pt idx="5">
                  <c:v>4Q01</c:v>
                </c:pt>
                <c:pt idx="6">
                  <c:v>1Q02</c:v>
                </c:pt>
                <c:pt idx="7">
                  <c:v>2Q02</c:v>
                </c:pt>
                <c:pt idx="8">
                  <c:v>3Q02</c:v>
                </c:pt>
                <c:pt idx="9">
                  <c:v>4Q02</c:v>
                </c:pt>
                <c:pt idx="10">
                  <c:v>1Q03</c:v>
                </c:pt>
                <c:pt idx="11">
                  <c:v>2Q03</c:v>
                </c:pt>
                <c:pt idx="12">
                  <c:v>3Q03</c:v>
                </c:pt>
                <c:pt idx="13">
                  <c:v>4Q03</c:v>
                </c:pt>
                <c:pt idx="14">
                  <c:v>1Q04</c:v>
                </c:pt>
                <c:pt idx="15">
                  <c:v>2Q04</c:v>
                </c:pt>
                <c:pt idx="16">
                  <c:v>3Q04</c:v>
                </c:pt>
                <c:pt idx="17">
                  <c:v>4Q04</c:v>
                </c:pt>
                <c:pt idx="18">
                  <c:v>1Q05</c:v>
                </c:pt>
                <c:pt idx="19">
                  <c:v>2Q05</c:v>
                </c:pt>
                <c:pt idx="20">
                  <c:v>3Q05</c:v>
                </c:pt>
                <c:pt idx="21">
                  <c:v>4Q05</c:v>
                </c:pt>
              </c:strCache>
            </c:strRef>
          </c:cat>
          <c:val>
            <c:numRef>
              <c:f>Graphs!$D$30:$Y$30</c:f>
              <c:numCache>
                <c:formatCode>"$"#,##0.00_);[Red]\("$"#,##0.00\);</c:formatCode>
                <c:ptCount val="22"/>
                <c:pt idx="0">
                  <c:v>0.83299999999999996</c:v>
                </c:pt>
                <c:pt idx="1">
                  <c:v>0.83258884501480745</c:v>
                </c:pt>
                <c:pt idx="2">
                  <c:v>1.5936607715974236</c:v>
                </c:pt>
                <c:pt idx="3">
                  <c:v>2</c:v>
                </c:pt>
                <c:pt idx="4">
                  <c:v>1.9870391344672347</c:v>
                </c:pt>
                <c:pt idx="5">
                  <c:v>2.3629654572042793</c:v>
                </c:pt>
                <c:pt idx="6">
                  <c:v>4.21958117357907</c:v>
                </c:pt>
                <c:pt idx="7">
                  <c:v>4.4402138456388212</c:v>
                </c:pt>
                <c:pt idx="8">
                  <c:v>6.6422953358322463</c:v>
                </c:pt>
                <c:pt idx="9">
                  <c:v>7.2098774964768415</c:v>
                </c:pt>
                <c:pt idx="10">
                  <c:v>8.7763618294116554</c:v>
                </c:pt>
                <c:pt idx="11">
                  <c:v>14.61865920519465</c:v>
                </c:pt>
                <c:pt idx="12">
                  <c:v>25.404890464078829</c:v>
                </c:pt>
                <c:pt idx="13">
                  <c:v>41.956542158399444</c:v>
                </c:pt>
                <c:pt idx="14">
                  <c:v>44.848698898043679</c:v>
                </c:pt>
                <c:pt idx="15">
                  <c:v>60.183245057932943</c:v>
                </c:pt>
                <c:pt idx="16">
                  <c:v>87.051015117787585</c:v>
                </c:pt>
                <c:pt idx="17">
                  <c:v>121.3051991052405</c:v>
                </c:pt>
                <c:pt idx="18">
                  <c:v>121.3051991052405</c:v>
                </c:pt>
                <c:pt idx="19">
                  <c:v>142.47137321680239</c:v>
                </c:pt>
                <c:pt idx="20">
                  <c:v>197.40222377316792</c:v>
                </c:pt>
                <c:pt idx="21">
                  <c:v>270.35557140031307</c:v>
                </c:pt>
              </c:numCache>
            </c:numRef>
          </c:val>
          <c:extLst>
            <c:ext xmlns:c16="http://schemas.microsoft.com/office/drawing/2014/chart" uri="{C3380CC4-5D6E-409C-BE32-E72D297353CC}">
              <c16:uniqueId val="{00000000-84A5-4522-9C0D-49B1EB8E59AD}"/>
            </c:ext>
          </c:extLst>
        </c:ser>
        <c:dLbls>
          <c:showLegendKey val="0"/>
          <c:showVal val="0"/>
          <c:showCatName val="0"/>
          <c:showSerName val="0"/>
          <c:showPercent val="0"/>
          <c:showBubbleSize val="0"/>
        </c:dLbls>
        <c:gapWidth val="150"/>
        <c:axId val="183447728"/>
        <c:axId val="1"/>
      </c:barChart>
      <c:lineChart>
        <c:grouping val="standard"/>
        <c:varyColors val="0"/>
        <c:ser>
          <c:idx val="0"/>
          <c:order val="0"/>
          <c:tx>
            <c:v>Revenues</c:v>
          </c:tx>
          <c:spPr>
            <a:ln w="12700">
              <a:solidFill>
                <a:srgbClr val="000080"/>
              </a:solidFill>
              <a:prstDash val="solid"/>
            </a:ln>
          </c:spPr>
          <c:marker>
            <c:symbol val="diamond"/>
            <c:size val="5"/>
            <c:spPr>
              <a:solidFill>
                <a:srgbClr val="000080"/>
              </a:solidFill>
              <a:ln>
                <a:solidFill>
                  <a:srgbClr val="000080"/>
                </a:solidFill>
                <a:prstDash val="solid"/>
              </a:ln>
            </c:spPr>
          </c:marker>
          <c:cat>
            <c:strRef>
              <c:f>Graphs!$D$20:$Y$20</c:f>
              <c:strCache>
                <c:ptCount val="22"/>
                <c:pt idx="0">
                  <c:v>3Q00</c:v>
                </c:pt>
                <c:pt idx="1">
                  <c:v>4Q00</c:v>
                </c:pt>
                <c:pt idx="2">
                  <c:v>1Q01</c:v>
                </c:pt>
                <c:pt idx="3">
                  <c:v>2Q01</c:v>
                </c:pt>
                <c:pt idx="4">
                  <c:v>3Q01</c:v>
                </c:pt>
                <c:pt idx="5">
                  <c:v>4Q01</c:v>
                </c:pt>
                <c:pt idx="6">
                  <c:v>1Q02</c:v>
                </c:pt>
                <c:pt idx="7">
                  <c:v>2Q02</c:v>
                </c:pt>
                <c:pt idx="8">
                  <c:v>3Q02</c:v>
                </c:pt>
                <c:pt idx="9">
                  <c:v>4Q02</c:v>
                </c:pt>
                <c:pt idx="10">
                  <c:v>1Q03</c:v>
                </c:pt>
                <c:pt idx="11">
                  <c:v>2Q03</c:v>
                </c:pt>
                <c:pt idx="12">
                  <c:v>3Q03</c:v>
                </c:pt>
                <c:pt idx="13">
                  <c:v>4Q03</c:v>
                </c:pt>
                <c:pt idx="14">
                  <c:v>1Q04</c:v>
                </c:pt>
                <c:pt idx="15">
                  <c:v>2Q04</c:v>
                </c:pt>
                <c:pt idx="16">
                  <c:v>3Q04</c:v>
                </c:pt>
                <c:pt idx="17">
                  <c:v>4Q04</c:v>
                </c:pt>
                <c:pt idx="18">
                  <c:v>1Q05</c:v>
                </c:pt>
                <c:pt idx="19">
                  <c:v>2Q05</c:v>
                </c:pt>
                <c:pt idx="20">
                  <c:v>3Q05</c:v>
                </c:pt>
                <c:pt idx="21">
                  <c:v>4Q05</c:v>
                </c:pt>
              </c:strCache>
            </c:strRef>
          </c:cat>
          <c:val>
            <c:numRef>
              <c:f>Graphs!$D$22:$Y$22</c:f>
              <c:numCache>
                <c:formatCode>"$"#,##0.0;\("$"#,##0.0\);</c:formatCode>
                <c:ptCount val="22"/>
                <c:pt idx="0">
                  <c:v>0</c:v>
                </c:pt>
                <c:pt idx="1">
                  <c:v>0</c:v>
                </c:pt>
                <c:pt idx="2">
                  <c:v>0</c:v>
                </c:pt>
                <c:pt idx="3">
                  <c:v>0</c:v>
                </c:pt>
                <c:pt idx="4">
                  <c:v>0.106</c:v>
                </c:pt>
                <c:pt idx="5">
                  <c:v>2.4102554300000003</c:v>
                </c:pt>
                <c:pt idx="6">
                  <c:v>4.7585923235750007</c:v>
                </c:pt>
                <c:pt idx="7">
                  <c:v>14.615108516249999</c:v>
                </c:pt>
                <c:pt idx="8">
                  <c:v>39.353996656249997</c:v>
                </c:pt>
                <c:pt idx="9">
                  <c:v>64.579181941499996</c:v>
                </c:pt>
                <c:pt idx="10">
                  <c:v>106.9508626141392</c:v>
                </c:pt>
                <c:pt idx="11">
                  <c:v>178.14650793203521</c:v>
                </c:pt>
                <c:pt idx="12">
                  <c:v>309.59012430929999</c:v>
                </c:pt>
                <c:pt idx="13">
                  <c:v>511.29254506227835</c:v>
                </c:pt>
                <c:pt idx="14">
                  <c:v>563.57780477353924</c:v>
                </c:pt>
                <c:pt idx="15">
                  <c:v>756.2748076818192</c:v>
                </c:pt>
                <c:pt idx="16">
                  <c:v>1093.9006305382679</c:v>
                </c:pt>
                <c:pt idx="17">
                  <c:v>1524.3456220383384</c:v>
                </c:pt>
                <c:pt idx="18">
                  <c:v>1450.6382602828512</c:v>
                </c:pt>
                <c:pt idx="19">
                  <c:v>1790.3240391238987</c:v>
                </c:pt>
                <c:pt idx="20">
                  <c:v>2480.5961971028278</c:v>
                </c:pt>
                <c:pt idx="21">
                  <c:v>3397.342691801714</c:v>
                </c:pt>
              </c:numCache>
            </c:numRef>
          </c:val>
          <c:smooth val="0"/>
          <c:extLst>
            <c:ext xmlns:c16="http://schemas.microsoft.com/office/drawing/2014/chart" uri="{C3380CC4-5D6E-409C-BE32-E72D297353CC}">
              <c16:uniqueId val="{00000001-84A5-4522-9C0D-49B1EB8E59AD}"/>
            </c:ext>
          </c:extLst>
        </c:ser>
        <c:dLbls>
          <c:showLegendKey val="0"/>
          <c:showVal val="0"/>
          <c:showCatName val="0"/>
          <c:showSerName val="0"/>
          <c:showPercent val="0"/>
          <c:showBubbleSize val="0"/>
        </c:dLbls>
        <c:marker val="1"/>
        <c:smooth val="0"/>
        <c:axId val="3"/>
        <c:axId val="4"/>
      </c:lineChart>
      <c:catAx>
        <c:axId val="18344772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2"/>
        <c:tickMarkSkip val="1"/>
        <c:noMultiLvlLbl val="0"/>
      </c:catAx>
      <c:valAx>
        <c:axId val="1"/>
        <c:scaling>
          <c:orientation val="minMax"/>
          <c:max val="280"/>
          <c:min val="0"/>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Times New Roman"/>
                    <a:ea typeface="Times New Roman"/>
                    <a:cs typeface="Times New Roman"/>
                  </a:defRPr>
                </a:pPr>
                <a:r>
                  <a:rPr lang="en-US"/>
                  <a:t>Share Price</a:t>
                </a:r>
              </a:p>
            </c:rich>
          </c:tx>
          <c:layout>
            <c:manualLayout>
              <c:xMode val="edge"/>
              <c:yMode val="edge"/>
              <c:x val="4.418613431792226E-2"/>
              <c:y val="0.39257370697498822"/>
            </c:manualLayout>
          </c:layout>
          <c:overlay val="0"/>
          <c:spPr>
            <a:noFill/>
            <a:ln w="25400">
              <a:noFill/>
            </a:ln>
          </c:spPr>
        </c:title>
        <c:numFmt formatCode="&quot;$&quot;#,##0.00_);[Red]\(&quot;$&quot;#,##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83447728"/>
        <c:crosses val="autoZero"/>
        <c:crossBetween val="between"/>
      </c:valAx>
      <c:catAx>
        <c:axId val="3"/>
        <c:scaling>
          <c:orientation val="minMax"/>
        </c:scaling>
        <c:delete val="1"/>
        <c:axPos val="b"/>
        <c:numFmt formatCode="General" sourceLinked="1"/>
        <c:majorTickMark val="out"/>
        <c:minorTickMark val="none"/>
        <c:tickLblPos val="nextTo"/>
        <c:crossAx val="4"/>
        <c:crosses val="autoZero"/>
        <c:auto val="1"/>
        <c:lblAlgn val="ctr"/>
        <c:lblOffset val="100"/>
        <c:noMultiLvlLbl val="0"/>
      </c:catAx>
      <c:valAx>
        <c:axId val="4"/>
        <c:scaling>
          <c:orientation val="minMax"/>
          <c:max val="3500"/>
        </c:scaling>
        <c:delete val="0"/>
        <c:axPos val="r"/>
        <c:title>
          <c:tx>
            <c:rich>
              <a:bodyPr/>
              <a:lstStyle/>
              <a:p>
                <a:pPr>
                  <a:defRPr sz="800" b="1" i="0" u="none" strike="noStrike" baseline="0">
                    <a:solidFill>
                      <a:srgbClr val="000000"/>
                    </a:solidFill>
                    <a:latin typeface="Times New Roman"/>
                    <a:ea typeface="Times New Roman"/>
                    <a:cs typeface="Times New Roman"/>
                  </a:defRPr>
                </a:pPr>
                <a:r>
                  <a:rPr lang="en-US"/>
                  <a:t>Annualized Revenues ($M)</a:t>
                </a:r>
              </a:p>
            </c:rich>
          </c:tx>
          <c:layout>
            <c:manualLayout>
              <c:xMode val="edge"/>
              <c:yMode val="edge"/>
              <c:x val="0.90465296050903987"/>
              <c:y val="0.28912523013698449"/>
            </c:manualLayout>
          </c:layout>
          <c:overlay val="0"/>
          <c:spPr>
            <a:noFill/>
            <a:ln w="25400">
              <a:noFill/>
            </a:ln>
          </c:spPr>
        </c:title>
        <c:numFmt formatCode="&quot;$&quot;#,##0.0;\(&quot;$&quot;#,##0.0\);"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3"/>
        <c:crosses val="max"/>
        <c:crossBetween val="between"/>
      </c:valAx>
      <c:spPr>
        <a:solidFill>
          <a:srgbClr val="FFFFFF"/>
        </a:solidFill>
        <a:ln w="12700">
          <a:solidFill>
            <a:srgbClr val="808080"/>
          </a:solidFill>
          <a:prstDash val="solid"/>
        </a:ln>
      </c:spPr>
    </c:plotArea>
    <c:legend>
      <c:legendPos val="b"/>
      <c:layout>
        <c:manualLayout>
          <c:xMode val="edge"/>
          <c:yMode val="edge"/>
          <c:x val="0.26744239192426633"/>
          <c:y val="0.91246861621213449"/>
          <c:w val="0.46744278936328287"/>
          <c:h val="6.3660601131079159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0.75" l="0.5" r="0.5" t="1" header="0.5" footer="0.5"/>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Times New Roman"/>
                <a:ea typeface="Times New Roman"/>
                <a:cs typeface="Times New Roman"/>
              </a:defRPr>
            </a:pPr>
            <a:r>
              <a:rPr lang="en-US"/>
              <a:t>Qualcomm (QCOM)</a:t>
            </a:r>
          </a:p>
        </c:rich>
      </c:tx>
      <c:layout>
        <c:manualLayout>
          <c:xMode val="edge"/>
          <c:yMode val="edge"/>
          <c:x val="0.28911612642851575"/>
          <c:y val="3.6057787534299356E-2"/>
        </c:manualLayout>
      </c:layout>
      <c:overlay val="0"/>
      <c:spPr>
        <a:noFill/>
        <a:ln w="25400">
          <a:noFill/>
        </a:ln>
      </c:spPr>
    </c:title>
    <c:autoTitleDeleted val="0"/>
    <c:plotArea>
      <c:layout>
        <c:manualLayout>
          <c:layoutTarget val="inner"/>
          <c:xMode val="edge"/>
          <c:yMode val="edge"/>
          <c:x val="0.21938811946634423"/>
          <c:y val="0.23317369272180249"/>
          <c:w val="0.54251790782762643"/>
          <c:h val="0.58413615805564945"/>
        </c:manualLayout>
      </c:layout>
      <c:lineChart>
        <c:grouping val="standard"/>
        <c:varyColors val="0"/>
        <c:ser>
          <c:idx val="0"/>
          <c:order val="0"/>
          <c:tx>
            <c:v>Sales</c:v>
          </c:tx>
          <c:spPr>
            <a:ln w="12700">
              <a:solidFill>
                <a:srgbClr val="000080"/>
              </a:solidFill>
              <a:prstDash val="solid"/>
            </a:ln>
          </c:spPr>
          <c:marker>
            <c:symbol val="diamond"/>
            <c:size val="5"/>
            <c:spPr>
              <a:solidFill>
                <a:srgbClr val="000080"/>
              </a:solidFill>
              <a:ln>
                <a:solidFill>
                  <a:srgbClr val="000080"/>
                </a:solidFill>
                <a:prstDash val="solid"/>
              </a:ln>
            </c:spPr>
          </c:marker>
          <c:cat>
            <c:strRef>
              <c:f>'CPA Companies'!$A$6:$A$21</c:f>
              <c:strCache>
                <c:ptCount val="16"/>
                <c:pt idx="0">
                  <c:v>4Q01</c:v>
                </c:pt>
                <c:pt idx="1">
                  <c:v>3Q01</c:v>
                </c:pt>
                <c:pt idx="2">
                  <c:v>2Q01</c:v>
                </c:pt>
                <c:pt idx="3">
                  <c:v>1Q01</c:v>
                </c:pt>
                <c:pt idx="4">
                  <c:v>4Q00</c:v>
                </c:pt>
                <c:pt idx="5">
                  <c:v>3Q00</c:v>
                </c:pt>
                <c:pt idx="6">
                  <c:v>2Q00</c:v>
                </c:pt>
                <c:pt idx="7">
                  <c:v>1Q00</c:v>
                </c:pt>
                <c:pt idx="8">
                  <c:v>4Q99</c:v>
                </c:pt>
                <c:pt idx="9">
                  <c:v>3Q99</c:v>
                </c:pt>
                <c:pt idx="10">
                  <c:v>2Q99</c:v>
                </c:pt>
                <c:pt idx="11">
                  <c:v>1Q99</c:v>
                </c:pt>
                <c:pt idx="12">
                  <c:v>4Q98</c:v>
                </c:pt>
                <c:pt idx="13">
                  <c:v>3Q98</c:v>
                </c:pt>
                <c:pt idx="14">
                  <c:v>2Q98</c:v>
                </c:pt>
                <c:pt idx="15">
                  <c:v>1Q98</c:v>
                </c:pt>
              </c:strCache>
            </c:strRef>
          </c:cat>
          <c:val>
            <c:numRef>
              <c:f>'CPA Companies'!$H$6:$H$21</c:f>
              <c:numCache>
                <c:formatCode>#,##0.0\x_);[Red]\(#,##0.0\x\);</c:formatCode>
                <c:ptCount val="16"/>
                <c:pt idx="0">
                  <c:v>11.86968986517185</c:v>
                </c:pt>
                <c:pt idx="1">
                  <c:v>13.108422941869019</c:v>
                </c:pt>
                <c:pt idx="2">
                  <c:v>15.966656980703085</c:v>
                </c:pt>
                <c:pt idx="3">
                  <c:v>14.881572859636455</c:v>
                </c:pt>
                <c:pt idx="4">
                  <c:v>22.513216653801564</c:v>
                </c:pt>
                <c:pt idx="5">
                  <c:v>20.900552221278005</c:v>
                </c:pt>
                <c:pt idx="6">
                  <c:v>15.593129003911589</c:v>
                </c:pt>
                <c:pt idx="7">
                  <c:v>36.767849971693231</c:v>
                </c:pt>
                <c:pt idx="8">
                  <c:v>26.125576022723518</c:v>
                </c:pt>
                <c:pt idx="9">
                  <c:v>28.270203172296391</c:v>
                </c:pt>
                <c:pt idx="10">
                  <c:v>21.462180031964458</c:v>
                </c:pt>
                <c:pt idx="11">
                  <c:v>19.29050053893468</c:v>
                </c:pt>
                <c:pt idx="12">
                  <c:v>7.764198548059281</c:v>
                </c:pt>
                <c:pt idx="13">
                  <c:v>7.2379481941021604</c:v>
                </c:pt>
                <c:pt idx="14">
                  <c:v>8.8933789893055035</c:v>
                </c:pt>
                <c:pt idx="15">
                  <c:v>9.6981249170011825</c:v>
                </c:pt>
              </c:numCache>
            </c:numRef>
          </c:val>
          <c:smooth val="0"/>
          <c:extLst>
            <c:ext xmlns:c16="http://schemas.microsoft.com/office/drawing/2014/chart" uri="{C3380CC4-5D6E-409C-BE32-E72D297353CC}">
              <c16:uniqueId val="{00000000-00E4-4945-AF30-88B21DB12F67}"/>
            </c:ext>
          </c:extLst>
        </c:ser>
        <c:ser>
          <c:idx val="1"/>
          <c:order val="1"/>
          <c:tx>
            <c:v>EBITDA</c:v>
          </c:tx>
          <c:spPr>
            <a:ln w="12700">
              <a:solidFill>
                <a:srgbClr val="FF0000"/>
              </a:solidFill>
              <a:prstDash val="solid"/>
            </a:ln>
          </c:spPr>
          <c:marker>
            <c:symbol val="square"/>
            <c:size val="5"/>
            <c:spPr>
              <a:solidFill>
                <a:srgbClr val="FF0000"/>
              </a:solidFill>
              <a:ln>
                <a:solidFill>
                  <a:srgbClr val="FF0000"/>
                </a:solidFill>
                <a:prstDash val="solid"/>
              </a:ln>
            </c:spPr>
          </c:marker>
          <c:val>
            <c:numRef>
              <c:f>'CPA Companies'!$I$6:$I$21</c:f>
              <c:numCache>
                <c:formatCode>#,##0.0\x_);[Red]\(#,##0.0\x\);</c:formatCode>
                <c:ptCount val="16"/>
                <c:pt idx="0">
                  <c:v>40.132520098140574</c:v>
                </c:pt>
                <c:pt idx="1">
                  <c:v>44.320791288161331</c:v>
                </c:pt>
                <c:pt idx="2">
                  <c:v>53.984745132926513</c:v>
                </c:pt>
                <c:pt idx="3">
                  <c:v>50.315975283711133</c:v>
                </c:pt>
                <c:pt idx="4">
                  <c:v>0</c:v>
                </c:pt>
                <c:pt idx="5">
                  <c:v>76.728857522300288</c:v>
                </c:pt>
                <c:pt idx="6">
                  <c:v>51.099162280580892</c:v>
                </c:pt>
                <c:pt idx="7">
                  <c:v>372.71345859857087</c:v>
                </c:pt>
                <c:pt idx="8">
                  <c:v>112.58248588032518</c:v>
                </c:pt>
                <c:pt idx="9">
                  <c:v>133.85376870047494</c:v>
                </c:pt>
                <c:pt idx="10">
                  <c:v>219.21970135902984</c:v>
                </c:pt>
                <c:pt idx="11">
                  <c:v>3466.2490364232026</c:v>
                </c:pt>
                <c:pt idx="12">
                  <c:v>93.752787114486594</c:v>
                </c:pt>
                <c:pt idx="13">
                  <c:v>78.740706065839618</c:v>
                </c:pt>
                <c:pt idx="14">
                  <c:v>145.93606029651568</c:v>
                </c:pt>
                <c:pt idx="15">
                  <c:v>143.77766515272606</c:v>
                </c:pt>
              </c:numCache>
            </c:numRef>
          </c:val>
          <c:smooth val="0"/>
          <c:extLst>
            <c:ext xmlns:c16="http://schemas.microsoft.com/office/drawing/2014/chart" uri="{C3380CC4-5D6E-409C-BE32-E72D297353CC}">
              <c16:uniqueId val="{00000001-00E4-4945-AF30-88B21DB12F67}"/>
            </c:ext>
          </c:extLst>
        </c:ser>
        <c:ser>
          <c:idx val="2"/>
          <c:order val="2"/>
          <c:tx>
            <c:v>Earnings</c:v>
          </c:tx>
          <c:spPr>
            <a:ln w="12700">
              <a:solidFill>
                <a:srgbClr val="00FF00"/>
              </a:solidFill>
              <a:prstDash val="solid"/>
            </a:ln>
          </c:spPr>
          <c:marker>
            <c:symbol val="triangle"/>
            <c:size val="5"/>
            <c:spPr>
              <a:solidFill>
                <a:srgbClr val="00FF00"/>
              </a:solidFill>
              <a:ln>
                <a:solidFill>
                  <a:srgbClr val="00FF00"/>
                </a:solidFill>
                <a:prstDash val="solid"/>
              </a:ln>
            </c:spPr>
          </c:marker>
          <c:val>
            <c:numRef>
              <c:f>'CPA Companies'!$J$6:$J$21</c:f>
              <c:numCache>
                <c:formatCode>#,##0.0\x_);[Red]\(#,##0.0\x\);</c:formatCode>
                <c:ptCount val="16"/>
                <c:pt idx="0">
                  <c:v>56.79212491133913</c:v>
                </c:pt>
                <c:pt idx="1">
                  <c:v>62.719009642339181</c:v>
                </c:pt>
                <c:pt idx="2">
                  <c:v>76.394614178191603</c:v>
                </c:pt>
                <c:pt idx="3">
                  <c:v>71.202883505956848</c:v>
                </c:pt>
                <c:pt idx="4">
                  <c:v>0</c:v>
                </c:pt>
                <c:pt idx="5">
                  <c:v>95.771778664142801</c:v>
                </c:pt>
                <c:pt idx="6">
                  <c:v>71.919541567281399</c:v>
                </c:pt>
                <c:pt idx="7">
                  <c:v>133.97760773423261</c:v>
                </c:pt>
                <c:pt idx="8">
                  <c:v>165.21407817625439</c:v>
                </c:pt>
                <c:pt idx="9">
                  <c:v>220.07716414021664</c:v>
                </c:pt>
                <c:pt idx="10">
                  <c:v>365.79624478442281</c:v>
                </c:pt>
                <c:pt idx="11">
                  <c:v>0</c:v>
                </c:pt>
                <c:pt idx="12">
                  <c:v>150.58401504224193</c:v>
                </c:pt>
                <c:pt idx="13">
                  <c:v>167.90494883004314</c:v>
                </c:pt>
                <c:pt idx="14">
                  <c:v>1332.556328084888</c:v>
                </c:pt>
                <c:pt idx="15">
                  <c:v>283.5699511745031</c:v>
                </c:pt>
              </c:numCache>
            </c:numRef>
          </c:val>
          <c:smooth val="0"/>
          <c:extLst>
            <c:ext xmlns:c16="http://schemas.microsoft.com/office/drawing/2014/chart" uri="{C3380CC4-5D6E-409C-BE32-E72D297353CC}">
              <c16:uniqueId val="{00000002-00E4-4945-AF30-88B21DB12F67}"/>
            </c:ext>
          </c:extLst>
        </c:ser>
        <c:dLbls>
          <c:showLegendKey val="0"/>
          <c:showVal val="0"/>
          <c:showCatName val="0"/>
          <c:showSerName val="0"/>
          <c:showPercent val="0"/>
          <c:showBubbleSize val="0"/>
        </c:dLbls>
        <c:marker val="1"/>
        <c:smooth val="0"/>
        <c:axId val="182278328"/>
        <c:axId val="1"/>
      </c:lineChart>
      <c:catAx>
        <c:axId val="18227832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125"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2"/>
        <c:tickMarkSkip val="1"/>
        <c:noMultiLvlLbl val="0"/>
      </c:catAx>
      <c:valAx>
        <c:axId val="1"/>
        <c:scaling>
          <c:orientation val="minMax"/>
          <c:max val="200"/>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Times New Roman"/>
                    <a:ea typeface="Times New Roman"/>
                    <a:cs typeface="Times New Roman"/>
                  </a:defRPr>
                </a:pPr>
                <a:r>
                  <a:rPr lang="en-US"/>
                  <a:t>Maket Cap. Multiple</a:t>
                </a:r>
              </a:p>
            </c:rich>
          </c:tx>
          <c:layout>
            <c:manualLayout>
              <c:xMode val="edge"/>
              <c:yMode val="edge"/>
              <c:x val="3.2312978836128228E-2"/>
              <c:y val="0.30769312029268781"/>
            </c:manualLayout>
          </c:layout>
          <c:overlay val="0"/>
          <c:spPr>
            <a:noFill/>
            <a:ln w="25400">
              <a:noFill/>
            </a:ln>
          </c:spPr>
        </c:title>
        <c:numFmt formatCode="#,##0.0\x_);[Red]\(#,##0.0\x\);" sourceLinked="1"/>
        <c:majorTickMark val="out"/>
        <c:minorTickMark val="out"/>
        <c:tickLblPos val="nextTo"/>
        <c:spPr>
          <a:ln w="3175">
            <a:solidFill>
              <a:srgbClr val="000000"/>
            </a:solidFill>
            <a:prstDash val="solid"/>
          </a:ln>
        </c:spPr>
        <c:txPr>
          <a:bodyPr rot="0" vert="horz"/>
          <a:lstStyle/>
          <a:p>
            <a:pPr>
              <a:defRPr sz="1125" b="0" i="0" u="none" strike="noStrike" baseline="0">
                <a:solidFill>
                  <a:srgbClr val="000000"/>
                </a:solidFill>
                <a:latin typeface="Times New Roman"/>
                <a:ea typeface="Times New Roman"/>
                <a:cs typeface="Times New Roman"/>
              </a:defRPr>
            </a:pPr>
            <a:endParaRPr lang="en-US"/>
          </a:p>
        </c:txPr>
        <c:crossAx val="182278328"/>
        <c:crosses val="autoZero"/>
        <c:crossBetween val="between"/>
        <c:majorUnit val="25"/>
        <c:minorUnit val="5"/>
      </c:valAx>
      <c:spPr>
        <a:solidFill>
          <a:srgbClr val="FFFFFF"/>
        </a:solidFill>
        <a:ln w="12700">
          <a:solidFill>
            <a:srgbClr val="808080"/>
          </a:solidFill>
          <a:prstDash val="solid"/>
        </a:ln>
      </c:spPr>
    </c:plotArea>
    <c:legend>
      <c:legendPos val="r"/>
      <c:layout>
        <c:manualLayout>
          <c:xMode val="edge"/>
          <c:yMode val="edge"/>
          <c:x val="0.78401490755026892"/>
          <c:y val="0.42307804040244579"/>
          <c:w val="0.19897992230668435"/>
          <c:h val="0.204327462694363"/>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Times New Roman"/>
                <a:ea typeface="Times New Roman"/>
                <a:cs typeface="Times New Roman"/>
              </a:defRPr>
            </a:pPr>
            <a:r>
              <a:rPr lang="en-US"/>
              <a:t>Motorola (MOT)</a:t>
            </a:r>
          </a:p>
        </c:rich>
      </c:tx>
      <c:layout>
        <c:manualLayout>
          <c:xMode val="edge"/>
          <c:yMode val="edge"/>
          <c:x val="0.32538371093381208"/>
          <c:y val="3.5461074775309305E-2"/>
        </c:manualLayout>
      </c:layout>
      <c:overlay val="0"/>
      <c:spPr>
        <a:noFill/>
        <a:ln w="25400">
          <a:noFill/>
        </a:ln>
      </c:spPr>
    </c:title>
    <c:autoTitleDeleted val="0"/>
    <c:plotArea>
      <c:layout>
        <c:manualLayout>
          <c:layoutTarget val="inner"/>
          <c:xMode val="edge"/>
          <c:yMode val="edge"/>
          <c:x val="0.21976177335320288"/>
          <c:y val="0.22931495021366682"/>
          <c:w val="0.54173832501022101"/>
          <c:h val="0.59101791292182171"/>
        </c:manualLayout>
      </c:layout>
      <c:lineChart>
        <c:grouping val="standard"/>
        <c:varyColors val="0"/>
        <c:ser>
          <c:idx val="0"/>
          <c:order val="0"/>
          <c:tx>
            <c:v>Sales</c:v>
          </c:tx>
          <c:spPr>
            <a:ln w="12700">
              <a:solidFill>
                <a:srgbClr val="000080"/>
              </a:solidFill>
              <a:prstDash val="solid"/>
            </a:ln>
          </c:spPr>
          <c:marker>
            <c:symbol val="diamond"/>
            <c:size val="5"/>
            <c:spPr>
              <a:solidFill>
                <a:srgbClr val="000080"/>
              </a:solidFill>
              <a:ln>
                <a:solidFill>
                  <a:srgbClr val="000080"/>
                </a:solidFill>
                <a:prstDash val="solid"/>
              </a:ln>
            </c:spPr>
          </c:marker>
          <c:cat>
            <c:strRef>
              <c:f>'CPA Companies'!$A$6:$A$21</c:f>
              <c:strCache>
                <c:ptCount val="16"/>
                <c:pt idx="0">
                  <c:v>4Q01</c:v>
                </c:pt>
                <c:pt idx="1">
                  <c:v>3Q01</c:v>
                </c:pt>
                <c:pt idx="2">
                  <c:v>2Q01</c:v>
                </c:pt>
                <c:pt idx="3">
                  <c:v>1Q01</c:v>
                </c:pt>
                <c:pt idx="4">
                  <c:v>4Q00</c:v>
                </c:pt>
                <c:pt idx="5">
                  <c:v>3Q00</c:v>
                </c:pt>
                <c:pt idx="6">
                  <c:v>2Q00</c:v>
                </c:pt>
                <c:pt idx="7">
                  <c:v>1Q00</c:v>
                </c:pt>
                <c:pt idx="8">
                  <c:v>4Q99</c:v>
                </c:pt>
                <c:pt idx="9">
                  <c:v>3Q99</c:v>
                </c:pt>
                <c:pt idx="10">
                  <c:v>2Q99</c:v>
                </c:pt>
                <c:pt idx="11">
                  <c:v>1Q99</c:v>
                </c:pt>
                <c:pt idx="12">
                  <c:v>4Q98</c:v>
                </c:pt>
                <c:pt idx="13">
                  <c:v>3Q98</c:v>
                </c:pt>
                <c:pt idx="14">
                  <c:v>2Q98</c:v>
                </c:pt>
                <c:pt idx="15">
                  <c:v>1Q98</c:v>
                </c:pt>
              </c:strCache>
            </c:strRef>
          </c:cat>
          <c:val>
            <c:numRef>
              <c:f>'CPA Companies'!$H$25:$H$40</c:f>
              <c:numCache>
                <c:formatCode>#,##0.0\x_);[Red]\(#,##0.0\x\);</c:formatCode>
                <c:ptCount val="16"/>
                <c:pt idx="0">
                  <c:v>0.92664488258750555</c:v>
                </c:pt>
                <c:pt idx="1">
                  <c:v>0.93213463436026756</c:v>
                </c:pt>
                <c:pt idx="2">
                  <c:v>0.97950944215324498</c:v>
                </c:pt>
                <c:pt idx="3">
                  <c:v>0.83503814333297521</c:v>
                </c:pt>
                <c:pt idx="4">
                  <c:v>1.1740691489361703</c:v>
                </c:pt>
                <c:pt idx="5">
                  <c:v>1.6598787478273467</c:v>
                </c:pt>
                <c:pt idx="6">
                  <c:v>1.7693231496488384</c:v>
                </c:pt>
                <c:pt idx="7">
                  <c:v>2.9723511490647807</c:v>
                </c:pt>
                <c:pt idx="8">
                  <c:v>2.9383873541712524</c:v>
                </c:pt>
                <c:pt idx="9">
                  <c:v>1.8903705411650253</c:v>
                </c:pt>
                <c:pt idx="10">
                  <c:v>2.0727123287671234</c:v>
                </c:pt>
                <c:pt idx="11">
                  <c:v>1.6604467631851081</c:v>
                </c:pt>
                <c:pt idx="12">
                  <c:v>0.96458224353049915</c:v>
                </c:pt>
                <c:pt idx="13">
                  <c:v>0.89554495281040269</c:v>
                </c:pt>
                <c:pt idx="14">
                  <c:v>1.1165546251601877</c:v>
                </c:pt>
                <c:pt idx="15">
                  <c:v>1.3150521260528607</c:v>
                </c:pt>
              </c:numCache>
            </c:numRef>
          </c:val>
          <c:smooth val="0"/>
          <c:extLst>
            <c:ext xmlns:c16="http://schemas.microsoft.com/office/drawing/2014/chart" uri="{C3380CC4-5D6E-409C-BE32-E72D297353CC}">
              <c16:uniqueId val="{00000000-58BE-4E4D-93AB-644BF597CAA0}"/>
            </c:ext>
          </c:extLst>
        </c:ser>
        <c:ser>
          <c:idx val="1"/>
          <c:order val="1"/>
          <c:tx>
            <c:v>EBITDA</c:v>
          </c:tx>
          <c:spPr>
            <a:ln w="12700">
              <a:solidFill>
                <a:srgbClr val="FF0000"/>
              </a:solidFill>
              <a:prstDash val="solid"/>
            </a:ln>
          </c:spPr>
          <c:marker>
            <c:symbol val="square"/>
            <c:size val="5"/>
            <c:spPr>
              <a:solidFill>
                <a:srgbClr val="FF0000"/>
              </a:solidFill>
              <a:ln>
                <a:solidFill>
                  <a:srgbClr val="FF0000"/>
                </a:solidFill>
                <a:prstDash val="solid"/>
              </a:ln>
            </c:spPr>
          </c:marker>
          <c:val>
            <c:numRef>
              <c:f>'CPA Companies'!$I$25:$I$40</c:f>
              <c:numCache>
                <c:formatCode>#,##0.0\x_);[Red]\(#,##0.0\x\);</c:formatCode>
                <c:ptCount val="16"/>
                <c:pt idx="0">
                  <c:v>9.2281692811175677</c:v>
                </c:pt>
                <c:pt idx="1">
                  <c:v>9.6962266672606585</c:v>
                </c:pt>
                <c:pt idx="2">
                  <c:v>11.490208872090708</c:v>
                </c:pt>
                <c:pt idx="3">
                  <c:v>10.274929763675425</c:v>
                </c:pt>
                <c:pt idx="4">
                  <c:v>9.1397515527950315</c:v>
                </c:pt>
                <c:pt idx="5">
                  <c:v>20.787900993568606</c:v>
                </c:pt>
                <c:pt idx="6">
                  <c:v>38.988299404761904</c:v>
                </c:pt>
                <c:pt idx="7">
                  <c:v>40.721210742187495</c:v>
                </c:pt>
                <c:pt idx="8">
                  <c:v>58.292985807860262</c:v>
                </c:pt>
                <c:pt idx="9">
                  <c:v>94.78364000000002</c:v>
                </c:pt>
                <c:pt idx="10">
                  <c:v>44.741612903225807</c:v>
                </c:pt>
                <c:pt idx="11">
                  <c:v>44.447114740484416</c:v>
                </c:pt>
                <c:pt idx="12">
                  <c:v>30.887666296728973</c:v>
                </c:pt>
                <c:pt idx="13">
                  <c:v>164.22916673076924</c:v>
                </c:pt>
                <c:pt idx="14">
                  <c:v>0</c:v>
                </c:pt>
                <c:pt idx="15">
                  <c:v>35.235209883268475</c:v>
                </c:pt>
              </c:numCache>
            </c:numRef>
          </c:val>
          <c:smooth val="0"/>
          <c:extLst>
            <c:ext xmlns:c16="http://schemas.microsoft.com/office/drawing/2014/chart" uri="{C3380CC4-5D6E-409C-BE32-E72D297353CC}">
              <c16:uniqueId val="{00000001-58BE-4E4D-93AB-644BF597CAA0}"/>
            </c:ext>
          </c:extLst>
        </c:ser>
        <c:ser>
          <c:idx val="2"/>
          <c:order val="2"/>
          <c:tx>
            <c:v>Earnings</c:v>
          </c:tx>
          <c:spPr>
            <a:ln w="12700">
              <a:solidFill>
                <a:srgbClr val="00FF00"/>
              </a:solidFill>
              <a:prstDash val="solid"/>
            </a:ln>
          </c:spPr>
          <c:marker>
            <c:symbol val="triangle"/>
            <c:size val="5"/>
            <c:spPr>
              <a:solidFill>
                <a:srgbClr val="00FF00"/>
              </a:solidFill>
              <a:ln>
                <a:solidFill>
                  <a:srgbClr val="00FF00"/>
                </a:solidFill>
                <a:prstDash val="solid"/>
              </a:ln>
            </c:spPr>
          </c:marker>
          <c:val>
            <c:numRef>
              <c:f>'CPA Companies'!$J$25:$J$40</c:f>
              <c:numCache>
                <c:formatCode>#,##0.0\x_);[Red]\(#,##0.0\x\);</c:formatCode>
                <c:ptCount val="16"/>
                <c:pt idx="0">
                  <c:v>22.778230395337211</c:v>
                </c:pt>
                <c:pt idx="1">
                  <c:v>21.25416975899379</c:v>
                </c:pt>
                <c:pt idx="2">
                  <c:v>25.013545816733064</c:v>
                </c:pt>
                <c:pt idx="3">
                  <c:v>20.546463978849967</c:v>
                </c:pt>
                <c:pt idx="4">
                  <c:v>33.44318181818182</c:v>
                </c:pt>
                <c:pt idx="5">
                  <c:v>29.67463079684558</c:v>
                </c:pt>
                <c:pt idx="6">
                  <c:v>80.270028186274516</c:v>
                </c:pt>
                <c:pt idx="7">
                  <c:v>58.173158203124999</c:v>
                </c:pt>
                <c:pt idx="8">
                  <c:v>82.65692724458205</c:v>
                </c:pt>
                <c:pt idx="9">
                  <c:v>136.35541192982458</c:v>
                </c:pt>
                <c:pt idx="10">
                  <c:v>65.270117647058825</c:v>
                </c:pt>
                <c:pt idx="11">
                  <c:v>64.548824924623091</c:v>
                </c:pt>
                <c:pt idx="12">
                  <c:v>46.331499445093463</c:v>
                </c:pt>
                <c:pt idx="13">
                  <c:v>237.21990750000001</c:v>
                </c:pt>
                <c:pt idx="14">
                  <c:v>0</c:v>
                </c:pt>
                <c:pt idx="15">
                  <c:v>50.308049666666655</c:v>
                </c:pt>
              </c:numCache>
            </c:numRef>
          </c:val>
          <c:smooth val="0"/>
          <c:extLst>
            <c:ext xmlns:c16="http://schemas.microsoft.com/office/drawing/2014/chart" uri="{C3380CC4-5D6E-409C-BE32-E72D297353CC}">
              <c16:uniqueId val="{00000002-58BE-4E4D-93AB-644BF597CAA0}"/>
            </c:ext>
          </c:extLst>
        </c:ser>
        <c:dLbls>
          <c:showLegendKey val="0"/>
          <c:showVal val="0"/>
          <c:showCatName val="0"/>
          <c:showSerName val="0"/>
          <c:showPercent val="0"/>
          <c:showBubbleSize val="0"/>
        </c:dLbls>
        <c:marker val="1"/>
        <c:smooth val="0"/>
        <c:axId val="182449080"/>
        <c:axId val="1"/>
      </c:lineChart>
      <c:catAx>
        <c:axId val="18244908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125"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2"/>
        <c:tickMarkSkip val="1"/>
        <c:noMultiLvlLbl val="0"/>
      </c:catAx>
      <c:valAx>
        <c:axId val="1"/>
        <c:scaling>
          <c:orientation val="minMax"/>
          <c:max val="100"/>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Times New Roman"/>
                    <a:ea typeface="Times New Roman"/>
                    <a:cs typeface="Times New Roman"/>
                  </a:defRPr>
                </a:pPr>
                <a:r>
                  <a:rPr lang="en-US"/>
                  <a:t>Maket Cap. Multiple</a:t>
                </a:r>
              </a:p>
            </c:rich>
          </c:tx>
          <c:layout>
            <c:manualLayout>
              <c:xMode val="edge"/>
              <c:yMode val="edge"/>
              <c:x val="3.236801312954151E-2"/>
              <c:y val="0.31205745802272189"/>
            </c:manualLayout>
          </c:layout>
          <c:overlay val="0"/>
          <c:spPr>
            <a:noFill/>
            <a:ln w="25400">
              <a:noFill/>
            </a:ln>
          </c:spPr>
        </c:title>
        <c:numFmt formatCode="#,##0.0\x_);[Red]\(#,##0.0\x\);" sourceLinked="1"/>
        <c:majorTickMark val="out"/>
        <c:minorTickMark val="out"/>
        <c:tickLblPos val="nextTo"/>
        <c:spPr>
          <a:ln w="3175">
            <a:solidFill>
              <a:srgbClr val="000000"/>
            </a:solidFill>
            <a:prstDash val="solid"/>
          </a:ln>
        </c:spPr>
        <c:txPr>
          <a:bodyPr rot="0" vert="horz"/>
          <a:lstStyle/>
          <a:p>
            <a:pPr>
              <a:defRPr sz="1125" b="0" i="0" u="none" strike="noStrike" baseline="0">
                <a:solidFill>
                  <a:srgbClr val="000000"/>
                </a:solidFill>
                <a:latin typeface="Times New Roman"/>
                <a:ea typeface="Times New Roman"/>
                <a:cs typeface="Times New Roman"/>
              </a:defRPr>
            </a:pPr>
            <a:endParaRPr lang="en-US"/>
          </a:p>
        </c:txPr>
        <c:crossAx val="182449080"/>
        <c:crosses val="autoZero"/>
        <c:crossBetween val="between"/>
        <c:majorUnit val="20"/>
      </c:valAx>
      <c:spPr>
        <a:solidFill>
          <a:srgbClr val="FFFFFF"/>
        </a:solidFill>
        <a:ln w="12700">
          <a:solidFill>
            <a:srgbClr val="808080"/>
          </a:solidFill>
          <a:prstDash val="solid"/>
        </a:ln>
      </c:spPr>
    </c:plotArea>
    <c:legend>
      <c:legendPos val="r"/>
      <c:layout>
        <c:manualLayout>
          <c:xMode val="edge"/>
          <c:yMode val="edge"/>
          <c:x val="0.78364663366258402"/>
          <c:y val="0.42553289730371163"/>
          <c:w val="0.19931881769243984"/>
          <c:h val="0.20094609039341937"/>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75" b="1" i="0" u="none" strike="noStrike" baseline="0">
                <a:solidFill>
                  <a:srgbClr val="000000"/>
                </a:solidFill>
                <a:latin typeface="Times New Roman"/>
                <a:ea typeface="Times New Roman"/>
                <a:cs typeface="Times New Roman"/>
              </a:defRPr>
            </a:pPr>
            <a:r>
              <a:rPr lang="en-US"/>
              <a:t>Williams Companies (WMB)</a:t>
            </a:r>
          </a:p>
        </c:rich>
      </c:tx>
      <c:layout>
        <c:manualLayout>
          <c:xMode val="edge"/>
          <c:yMode val="edge"/>
          <c:x val="0.21134069378465614"/>
          <c:y val="3.5461074775309305E-2"/>
        </c:manualLayout>
      </c:layout>
      <c:overlay val="0"/>
      <c:spPr>
        <a:noFill/>
        <a:ln w="25400">
          <a:noFill/>
        </a:ln>
      </c:spPr>
    </c:title>
    <c:autoTitleDeleted val="0"/>
    <c:plotArea>
      <c:layout>
        <c:manualLayout>
          <c:layoutTarget val="inner"/>
          <c:xMode val="edge"/>
          <c:yMode val="edge"/>
          <c:x val="0.22164999592049303"/>
          <c:y val="0.22695087856197957"/>
          <c:w val="0.53780192808615757"/>
          <c:h val="0.5933819845735091"/>
        </c:manualLayout>
      </c:layout>
      <c:lineChart>
        <c:grouping val="standard"/>
        <c:varyColors val="0"/>
        <c:ser>
          <c:idx val="0"/>
          <c:order val="0"/>
          <c:tx>
            <c:v>Sales</c:v>
          </c:tx>
          <c:spPr>
            <a:ln w="12700">
              <a:solidFill>
                <a:srgbClr val="000080"/>
              </a:solidFill>
              <a:prstDash val="solid"/>
            </a:ln>
          </c:spPr>
          <c:marker>
            <c:symbol val="diamond"/>
            <c:size val="5"/>
            <c:spPr>
              <a:solidFill>
                <a:srgbClr val="000080"/>
              </a:solidFill>
              <a:ln>
                <a:solidFill>
                  <a:srgbClr val="000080"/>
                </a:solidFill>
                <a:prstDash val="solid"/>
              </a:ln>
            </c:spPr>
          </c:marker>
          <c:cat>
            <c:strRef>
              <c:f>'CPA Companies'!$A$6:$A$21</c:f>
              <c:strCache>
                <c:ptCount val="16"/>
                <c:pt idx="0">
                  <c:v>4Q01</c:v>
                </c:pt>
                <c:pt idx="1">
                  <c:v>3Q01</c:v>
                </c:pt>
                <c:pt idx="2">
                  <c:v>2Q01</c:v>
                </c:pt>
                <c:pt idx="3">
                  <c:v>1Q01</c:v>
                </c:pt>
                <c:pt idx="4">
                  <c:v>4Q00</c:v>
                </c:pt>
                <c:pt idx="5">
                  <c:v>3Q00</c:v>
                </c:pt>
                <c:pt idx="6">
                  <c:v>2Q00</c:v>
                </c:pt>
                <c:pt idx="7">
                  <c:v>1Q00</c:v>
                </c:pt>
                <c:pt idx="8">
                  <c:v>4Q99</c:v>
                </c:pt>
                <c:pt idx="9">
                  <c:v>3Q99</c:v>
                </c:pt>
                <c:pt idx="10">
                  <c:v>2Q99</c:v>
                </c:pt>
                <c:pt idx="11">
                  <c:v>1Q99</c:v>
                </c:pt>
                <c:pt idx="12">
                  <c:v>4Q98</c:v>
                </c:pt>
                <c:pt idx="13">
                  <c:v>3Q98</c:v>
                </c:pt>
                <c:pt idx="14">
                  <c:v>2Q98</c:v>
                </c:pt>
                <c:pt idx="15">
                  <c:v>1Q98</c:v>
                </c:pt>
              </c:strCache>
            </c:strRef>
          </c:cat>
          <c:val>
            <c:numRef>
              <c:f>'CPA Companies'!$H$44:$H$59</c:f>
              <c:numCache>
                <c:formatCode>#,##0.0\x_);[Red]\(#,##0.0\x\);</c:formatCode>
                <c:ptCount val="16"/>
                <c:pt idx="0">
                  <c:v>0.78269212941503674</c:v>
                </c:pt>
                <c:pt idx="1">
                  <c:v>0.80910751565762018</c:v>
                </c:pt>
                <c:pt idx="2">
                  <c:v>1.0527509109420214</c:v>
                </c:pt>
                <c:pt idx="3">
                  <c:v>1.4849071544809951</c:v>
                </c:pt>
                <c:pt idx="4">
                  <c:v>1.5119196428571429</c:v>
                </c:pt>
                <c:pt idx="5">
                  <c:v>1.6570293111445358</c:v>
                </c:pt>
                <c:pt idx="6">
                  <c:v>1.6233436251267883</c:v>
                </c:pt>
                <c:pt idx="7">
                  <c:v>1.982305876591012</c:v>
                </c:pt>
                <c:pt idx="8">
                  <c:v>1.3620732738634964</c:v>
                </c:pt>
                <c:pt idx="9">
                  <c:v>1.84944910363727</c:v>
                </c:pt>
                <c:pt idx="10">
                  <c:v>2.3070644771199196</c:v>
                </c:pt>
                <c:pt idx="11">
                  <c:v>2.1408852183272469</c:v>
                </c:pt>
                <c:pt idx="12">
                  <c:v>1.5984368646983074</c:v>
                </c:pt>
                <c:pt idx="13">
                  <c:v>1.5770557817203734</c:v>
                </c:pt>
                <c:pt idx="14">
                  <c:v>1.9475303211870141</c:v>
                </c:pt>
                <c:pt idx="15">
                  <c:v>1.6301738304318971</c:v>
                </c:pt>
              </c:numCache>
            </c:numRef>
          </c:val>
          <c:smooth val="0"/>
          <c:extLst>
            <c:ext xmlns:c16="http://schemas.microsoft.com/office/drawing/2014/chart" uri="{C3380CC4-5D6E-409C-BE32-E72D297353CC}">
              <c16:uniqueId val="{00000000-1F4A-488E-A28A-891DB968D970}"/>
            </c:ext>
          </c:extLst>
        </c:ser>
        <c:ser>
          <c:idx val="1"/>
          <c:order val="1"/>
          <c:tx>
            <c:v>EBITDA</c:v>
          </c:tx>
          <c:spPr>
            <a:ln w="12700">
              <a:solidFill>
                <a:srgbClr val="FF0000"/>
              </a:solidFill>
              <a:prstDash val="solid"/>
            </a:ln>
          </c:spPr>
          <c:marker>
            <c:symbol val="square"/>
            <c:size val="5"/>
            <c:spPr>
              <a:solidFill>
                <a:srgbClr val="FF0000"/>
              </a:solidFill>
              <a:ln>
                <a:solidFill>
                  <a:srgbClr val="FF0000"/>
                </a:solidFill>
                <a:prstDash val="solid"/>
              </a:ln>
            </c:spPr>
          </c:marker>
          <c:val>
            <c:numRef>
              <c:f>'CPA Companies'!$I$44:$I$59</c:f>
              <c:numCache>
                <c:formatCode>#,##0.0\x_);[Red]\(#,##0.0\x\);</c:formatCode>
                <c:ptCount val="16"/>
                <c:pt idx="0">
                  <c:v>2.4828407587119545</c:v>
                </c:pt>
                <c:pt idx="1">
                  <c:v>2.8274491922876503</c:v>
                </c:pt>
                <c:pt idx="2">
                  <c:v>4.1685630171865062</c:v>
                </c:pt>
                <c:pt idx="3">
                  <c:v>6.9635629599345874</c:v>
                </c:pt>
                <c:pt idx="4">
                  <c:v>9.0715178571428563</c:v>
                </c:pt>
                <c:pt idx="5">
                  <c:v>14.981389610056924</c:v>
                </c:pt>
                <c:pt idx="6">
                  <c:v>9.7938420734332148</c:v>
                </c:pt>
                <c:pt idx="7">
                  <c:v>18.003905636363633</c:v>
                </c:pt>
                <c:pt idx="8">
                  <c:v>7.5378933010849902</c:v>
                </c:pt>
                <c:pt idx="9">
                  <c:v>18.342447376909256</c:v>
                </c:pt>
                <c:pt idx="10">
                  <c:v>25.043461344771242</c:v>
                </c:pt>
                <c:pt idx="11">
                  <c:v>18.375695156512144</c:v>
                </c:pt>
                <c:pt idx="12">
                  <c:v>10.141343133169935</c:v>
                </c:pt>
                <c:pt idx="13">
                  <c:v>17.140488761232721</c:v>
                </c:pt>
                <c:pt idx="14">
                  <c:v>15.571465956962598</c:v>
                </c:pt>
                <c:pt idx="15">
                  <c:v>14.042148192832013</c:v>
                </c:pt>
              </c:numCache>
            </c:numRef>
          </c:val>
          <c:smooth val="0"/>
          <c:extLst>
            <c:ext xmlns:c16="http://schemas.microsoft.com/office/drawing/2014/chart" uri="{C3380CC4-5D6E-409C-BE32-E72D297353CC}">
              <c16:uniqueId val="{00000001-1F4A-488E-A28A-891DB968D970}"/>
            </c:ext>
          </c:extLst>
        </c:ser>
        <c:ser>
          <c:idx val="2"/>
          <c:order val="2"/>
          <c:tx>
            <c:v>Earnings</c:v>
          </c:tx>
          <c:spPr>
            <a:ln w="12700">
              <a:solidFill>
                <a:srgbClr val="00FF00"/>
              </a:solidFill>
              <a:prstDash val="solid"/>
            </a:ln>
          </c:spPr>
          <c:marker>
            <c:symbol val="triangle"/>
            <c:size val="5"/>
            <c:spPr>
              <a:solidFill>
                <a:srgbClr val="00FF00"/>
              </a:solidFill>
              <a:ln>
                <a:solidFill>
                  <a:srgbClr val="00FF00"/>
                </a:solidFill>
                <a:prstDash val="solid"/>
              </a:ln>
            </c:spPr>
          </c:marker>
          <c:val>
            <c:numRef>
              <c:f>'CPA Companies'!$J$44:$J$59</c:f>
              <c:numCache>
                <c:formatCode>#,##0.0\x_);[Red]\(#,##0.0\x\);</c:formatCode>
                <c:ptCount val="16"/>
                <c:pt idx="0">
                  <c:v>10.242353476381831</c:v>
                </c:pt>
                <c:pt idx="1">
                  <c:v>11.303906250000001</c:v>
                </c:pt>
                <c:pt idx="2">
                  <c:v>15.954877677393162</c:v>
                </c:pt>
                <c:pt idx="3">
                  <c:v>24.98099486678074</c:v>
                </c:pt>
                <c:pt idx="4">
                  <c:v>29.249481805619531</c:v>
                </c:pt>
                <c:pt idx="5">
                  <c:v>39.117385587943843</c:v>
                </c:pt>
                <c:pt idx="6">
                  <c:v>13.193012389425812</c:v>
                </c:pt>
                <c:pt idx="7">
                  <c:v>48.269247508525574</c:v>
                </c:pt>
                <c:pt idx="8">
                  <c:v>19.343178633410677</c:v>
                </c:pt>
                <c:pt idx="9">
                  <c:v>145.30351551957295</c:v>
                </c:pt>
                <c:pt idx="10">
                  <c:v>254.0320167348066</c:v>
                </c:pt>
                <c:pt idx="11">
                  <c:v>81.132455223196885</c:v>
                </c:pt>
                <c:pt idx="12">
                  <c:v>135.76723119531249</c:v>
                </c:pt>
                <c:pt idx="13">
                  <c:v>92.697471929906541</c:v>
                </c:pt>
                <c:pt idx="14">
                  <c:v>58.465453398477159</c:v>
                </c:pt>
                <c:pt idx="15">
                  <c:v>46.889640220998537</c:v>
                </c:pt>
              </c:numCache>
            </c:numRef>
          </c:val>
          <c:smooth val="0"/>
          <c:extLst>
            <c:ext xmlns:c16="http://schemas.microsoft.com/office/drawing/2014/chart" uri="{C3380CC4-5D6E-409C-BE32-E72D297353CC}">
              <c16:uniqueId val="{00000002-1F4A-488E-A28A-891DB968D970}"/>
            </c:ext>
          </c:extLst>
        </c:ser>
        <c:dLbls>
          <c:showLegendKey val="0"/>
          <c:showVal val="0"/>
          <c:showCatName val="0"/>
          <c:showSerName val="0"/>
          <c:showPercent val="0"/>
          <c:showBubbleSize val="0"/>
        </c:dLbls>
        <c:marker val="1"/>
        <c:smooth val="0"/>
        <c:axId val="182524104"/>
        <c:axId val="1"/>
      </c:lineChart>
      <c:catAx>
        <c:axId val="18252410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125"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2"/>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Times New Roman"/>
                    <a:ea typeface="Times New Roman"/>
                    <a:cs typeface="Times New Roman"/>
                  </a:defRPr>
                </a:pPr>
                <a:r>
                  <a:rPr lang="en-US"/>
                  <a:t>Maket Cap. Multiple</a:t>
                </a:r>
              </a:p>
            </c:rich>
          </c:tx>
          <c:layout>
            <c:manualLayout>
              <c:xMode val="edge"/>
              <c:yMode val="edge"/>
              <c:x val="3.2646123430150137E-2"/>
              <c:y val="0.30969338637103461"/>
            </c:manualLayout>
          </c:layout>
          <c:overlay val="0"/>
          <c:spPr>
            <a:noFill/>
            <a:ln w="25400">
              <a:noFill/>
            </a:ln>
          </c:spPr>
        </c:title>
        <c:numFmt formatCode="#,##0.0\x_);[Red]\(#,##0.0\x\);"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Times New Roman"/>
                <a:ea typeface="Times New Roman"/>
                <a:cs typeface="Times New Roman"/>
              </a:defRPr>
            </a:pPr>
            <a:endParaRPr lang="en-US"/>
          </a:p>
        </c:txPr>
        <c:crossAx val="182524104"/>
        <c:crosses val="autoZero"/>
        <c:crossBetween val="between"/>
      </c:valAx>
      <c:spPr>
        <a:solidFill>
          <a:srgbClr val="FFFFFF"/>
        </a:solidFill>
        <a:ln w="12700">
          <a:solidFill>
            <a:srgbClr val="808080"/>
          </a:solidFill>
          <a:prstDash val="solid"/>
        </a:ln>
      </c:spPr>
    </c:plotArea>
    <c:legend>
      <c:legendPos val="r"/>
      <c:layout>
        <c:manualLayout>
          <c:xMode val="edge"/>
          <c:yMode val="edge"/>
          <c:x val="0.78178874530096387"/>
          <c:y val="0.42316882565202435"/>
          <c:w val="0.20103139164881928"/>
          <c:h val="0.20094609039341937"/>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Times New Roman"/>
                <a:ea typeface="Times New Roman"/>
                <a:cs typeface="Times New Roman"/>
              </a:defRPr>
            </a:pPr>
            <a:r>
              <a:rPr lang="en-US"/>
              <a:t>FuelCell Energy (FCEL)</a:t>
            </a:r>
          </a:p>
        </c:rich>
      </c:tx>
      <c:layout>
        <c:manualLayout>
          <c:xMode val="edge"/>
          <c:yMode val="edge"/>
          <c:x val="0.24957606902935042"/>
          <c:y val="3.5461074775309305E-2"/>
        </c:manualLayout>
      </c:layout>
      <c:overlay val="0"/>
      <c:spPr>
        <a:noFill/>
        <a:ln w="25400">
          <a:noFill/>
        </a:ln>
      </c:spPr>
    </c:title>
    <c:autoTitleDeleted val="0"/>
    <c:plotArea>
      <c:layout>
        <c:manualLayout>
          <c:layoutTarget val="inner"/>
          <c:xMode val="edge"/>
          <c:yMode val="edge"/>
          <c:x val="0.20373556655457178"/>
          <c:y val="0.22931495021366682"/>
          <c:w val="0.60611331049985107"/>
          <c:h val="0.59101791292182171"/>
        </c:manualLayout>
      </c:layout>
      <c:lineChart>
        <c:grouping val="standard"/>
        <c:varyColors val="0"/>
        <c:ser>
          <c:idx val="0"/>
          <c:order val="0"/>
          <c:tx>
            <c:v>Sales</c:v>
          </c:tx>
          <c:spPr>
            <a:ln w="12700">
              <a:solidFill>
                <a:srgbClr val="000080"/>
              </a:solidFill>
              <a:prstDash val="solid"/>
            </a:ln>
          </c:spPr>
          <c:marker>
            <c:symbol val="diamond"/>
            <c:size val="5"/>
            <c:spPr>
              <a:solidFill>
                <a:srgbClr val="000080"/>
              </a:solidFill>
              <a:ln>
                <a:solidFill>
                  <a:srgbClr val="000080"/>
                </a:solidFill>
                <a:prstDash val="solid"/>
              </a:ln>
            </c:spPr>
          </c:marker>
          <c:cat>
            <c:strRef>
              <c:f>'CPA Companies'!$A$6:$A$21</c:f>
              <c:strCache>
                <c:ptCount val="16"/>
                <c:pt idx="0">
                  <c:v>4Q01</c:v>
                </c:pt>
                <c:pt idx="1">
                  <c:v>3Q01</c:v>
                </c:pt>
                <c:pt idx="2">
                  <c:v>2Q01</c:v>
                </c:pt>
                <c:pt idx="3">
                  <c:v>1Q01</c:v>
                </c:pt>
                <c:pt idx="4">
                  <c:v>4Q00</c:v>
                </c:pt>
                <c:pt idx="5">
                  <c:v>3Q00</c:v>
                </c:pt>
                <c:pt idx="6">
                  <c:v>2Q00</c:v>
                </c:pt>
                <c:pt idx="7">
                  <c:v>1Q00</c:v>
                </c:pt>
                <c:pt idx="8">
                  <c:v>4Q99</c:v>
                </c:pt>
                <c:pt idx="9">
                  <c:v>3Q99</c:v>
                </c:pt>
                <c:pt idx="10">
                  <c:v>2Q99</c:v>
                </c:pt>
                <c:pt idx="11">
                  <c:v>1Q99</c:v>
                </c:pt>
                <c:pt idx="12">
                  <c:v>4Q98</c:v>
                </c:pt>
                <c:pt idx="13">
                  <c:v>3Q98</c:v>
                </c:pt>
                <c:pt idx="14">
                  <c:v>2Q98</c:v>
                </c:pt>
                <c:pt idx="15">
                  <c:v>1Q98</c:v>
                </c:pt>
              </c:strCache>
            </c:strRef>
          </c:cat>
          <c:val>
            <c:numRef>
              <c:f>'CPA Companies'!$H$63:$H$78</c:f>
              <c:numCache>
                <c:formatCode>#,##0.0\x_);[Red]\(#,##0.0\x\);</c:formatCode>
                <c:ptCount val="16"/>
                <c:pt idx="0">
                  <c:v>11.99260215576941</c:v>
                </c:pt>
                <c:pt idx="1">
                  <c:v>9.5397441777506007</c:v>
                </c:pt>
                <c:pt idx="2">
                  <c:v>15.91788472446442</c:v>
                </c:pt>
                <c:pt idx="3">
                  <c:v>35.805959432776888</c:v>
                </c:pt>
                <c:pt idx="4">
                  <c:v>52.332729468599041</c:v>
                </c:pt>
                <c:pt idx="5">
                  <c:v>46.993887743698018</c:v>
                </c:pt>
                <c:pt idx="6">
                  <c:v>64.410838895631059</c:v>
                </c:pt>
                <c:pt idx="7">
                  <c:v>50.197454264586717</c:v>
                </c:pt>
                <c:pt idx="8">
                  <c:v>22.09945086675021</c:v>
                </c:pt>
                <c:pt idx="9">
                  <c:v>23.996242088607602</c:v>
                </c:pt>
                <c:pt idx="10">
                  <c:v>10.124405570652174</c:v>
                </c:pt>
                <c:pt idx="11">
                  <c:v>4.5892363510711816</c:v>
                </c:pt>
                <c:pt idx="12">
                  <c:v>6.9597845321451306</c:v>
                </c:pt>
                <c:pt idx="13">
                  <c:v>6.5673229166666678</c:v>
                </c:pt>
                <c:pt idx="14">
                  <c:v>10.074145833333334</c:v>
                </c:pt>
                <c:pt idx="15">
                  <c:v>13.644729166666666</c:v>
                </c:pt>
              </c:numCache>
            </c:numRef>
          </c:val>
          <c:smooth val="0"/>
          <c:extLst>
            <c:ext xmlns:c16="http://schemas.microsoft.com/office/drawing/2014/chart" uri="{C3380CC4-5D6E-409C-BE32-E72D297353CC}">
              <c16:uniqueId val="{00000000-F602-4686-8E8A-CAF8A8C424D2}"/>
            </c:ext>
          </c:extLst>
        </c:ser>
        <c:dLbls>
          <c:showLegendKey val="0"/>
          <c:showVal val="0"/>
          <c:showCatName val="0"/>
          <c:showSerName val="0"/>
          <c:showPercent val="0"/>
          <c:showBubbleSize val="0"/>
        </c:dLbls>
        <c:marker val="1"/>
        <c:smooth val="0"/>
        <c:axId val="182054736"/>
        <c:axId val="1"/>
      </c:lineChart>
      <c:catAx>
        <c:axId val="182054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2"/>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Times New Roman"/>
                    <a:ea typeface="Times New Roman"/>
                    <a:cs typeface="Times New Roman"/>
                  </a:defRPr>
                </a:pPr>
                <a:r>
                  <a:rPr lang="en-US"/>
                  <a:t>Maket Cap. Multiple</a:t>
                </a:r>
              </a:p>
            </c:rich>
          </c:tx>
          <c:layout>
            <c:manualLayout>
              <c:xMode val="edge"/>
              <c:yMode val="edge"/>
              <c:x val="3.225813137114053E-2"/>
              <c:y val="0.31205745802272189"/>
            </c:manualLayout>
          </c:layout>
          <c:overlay val="0"/>
          <c:spPr>
            <a:noFill/>
            <a:ln w="25400">
              <a:noFill/>
            </a:ln>
          </c:spPr>
        </c:title>
        <c:numFmt formatCode="#,##0.0\x_);[Red]\(#,##0.0\x\);" sourceLinked="1"/>
        <c:majorTickMark val="out"/>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Times New Roman"/>
                <a:ea typeface="Times New Roman"/>
                <a:cs typeface="Times New Roman"/>
              </a:defRPr>
            </a:pPr>
            <a:endParaRPr lang="en-US"/>
          </a:p>
        </c:txPr>
        <c:crossAx val="182054736"/>
        <c:crosses val="autoZero"/>
        <c:crossBetween val="between"/>
      </c:valAx>
      <c:spPr>
        <a:solidFill>
          <a:srgbClr val="FFFFFF"/>
        </a:solidFill>
        <a:ln w="12700">
          <a:solidFill>
            <a:srgbClr val="808080"/>
          </a:solidFill>
          <a:prstDash val="solid"/>
        </a:ln>
      </c:spPr>
    </c:plotArea>
    <c:legend>
      <c:legendPos val="r"/>
      <c:layout>
        <c:manualLayout>
          <c:xMode val="edge"/>
          <c:yMode val="edge"/>
          <c:x val="0.83192023009783478"/>
          <c:y val="0.49172690355095572"/>
          <c:w val="0.15110387852797408"/>
          <c:h val="6.855807789893131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orientation="landscape" horizontalDpi="1200" verticalDpi="120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5" b="1" i="0" u="none" strike="noStrike" baseline="0">
                <a:solidFill>
                  <a:srgbClr val="000000"/>
                </a:solidFill>
                <a:latin typeface="Times New Roman"/>
                <a:ea typeface="Times New Roman"/>
                <a:cs typeface="Times New Roman"/>
              </a:defRPr>
            </a:pPr>
            <a:r>
              <a:rPr lang="en-US"/>
              <a:t>Extended Stay America (ESA)</a:t>
            </a:r>
          </a:p>
        </c:rich>
      </c:tx>
      <c:layout>
        <c:manualLayout>
          <c:xMode val="edge"/>
          <c:yMode val="edge"/>
          <c:x val="0.2525779023280037"/>
          <c:y val="3.5545085388621056E-2"/>
        </c:manualLayout>
      </c:layout>
      <c:overlay val="0"/>
      <c:spPr>
        <a:noFill/>
        <a:ln w="25400">
          <a:noFill/>
        </a:ln>
      </c:spPr>
    </c:title>
    <c:autoTitleDeleted val="0"/>
    <c:plotArea>
      <c:layout>
        <c:manualLayout>
          <c:layoutTarget val="inner"/>
          <c:xMode val="edge"/>
          <c:yMode val="edge"/>
          <c:x val="0.17869457035450603"/>
          <c:y val="0.20379182289476075"/>
          <c:w val="0.60653060899173683"/>
          <c:h val="0.63744186463593766"/>
        </c:manualLayout>
      </c:layout>
      <c:lineChart>
        <c:grouping val="standard"/>
        <c:varyColors val="0"/>
        <c:ser>
          <c:idx val="0"/>
          <c:order val="0"/>
          <c:tx>
            <c:v>Sales</c:v>
          </c:tx>
          <c:spPr>
            <a:ln w="12700">
              <a:solidFill>
                <a:srgbClr val="000080"/>
              </a:solidFill>
              <a:prstDash val="solid"/>
            </a:ln>
          </c:spPr>
          <c:marker>
            <c:symbol val="diamond"/>
            <c:size val="5"/>
            <c:spPr>
              <a:solidFill>
                <a:srgbClr val="000080"/>
              </a:solidFill>
              <a:ln>
                <a:solidFill>
                  <a:srgbClr val="000080"/>
                </a:solidFill>
                <a:prstDash val="solid"/>
              </a:ln>
            </c:spPr>
          </c:marker>
          <c:cat>
            <c:strRef>
              <c:f>'CPA Companies'!$A$6:$A$21</c:f>
              <c:strCache>
                <c:ptCount val="16"/>
                <c:pt idx="0">
                  <c:v>4Q01</c:v>
                </c:pt>
                <c:pt idx="1">
                  <c:v>3Q01</c:v>
                </c:pt>
                <c:pt idx="2">
                  <c:v>2Q01</c:v>
                </c:pt>
                <c:pt idx="3">
                  <c:v>1Q01</c:v>
                </c:pt>
                <c:pt idx="4">
                  <c:v>4Q00</c:v>
                </c:pt>
                <c:pt idx="5">
                  <c:v>3Q00</c:v>
                </c:pt>
                <c:pt idx="6">
                  <c:v>2Q00</c:v>
                </c:pt>
                <c:pt idx="7">
                  <c:v>1Q00</c:v>
                </c:pt>
                <c:pt idx="8">
                  <c:v>4Q99</c:v>
                </c:pt>
                <c:pt idx="9">
                  <c:v>3Q99</c:v>
                </c:pt>
                <c:pt idx="10">
                  <c:v>2Q99</c:v>
                </c:pt>
                <c:pt idx="11">
                  <c:v>1Q99</c:v>
                </c:pt>
                <c:pt idx="12">
                  <c:v>4Q98</c:v>
                </c:pt>
                <c:pt idx="13">
                  <c:v>3Q98</c:v>
                </c:pt>
                <c:pt idx="14">
                  <c:v>2Q98</c:v>
                </c:pt>
                <c:pt idx="15">
                  <c:v>1Q98</c:v>
                </c:pt>
              </c:strCache>
            </c:strRef>
          </c:cat>
          <c:val>
            <c:numRef>
              <c:f>'CPA Companies'!$H$82:$H$97</c:f>
              <c:numCache>
                <c:formatCode>#,##0.0\x_);[Red]\(#,##0.0\x\);</c:formatCode>
                <c:ptCount val="16"/>
                <c:pt idx="0">
                  <c:v>2.9930831755209826</c:v>
                </c:pt>
                <c:pt idx="1">
                  <c:v>2.7883355282825266</c:v>
                </c:pt>
                <c:pt idx="2">
                  <c:v>2.8918555163508057</c:v>
                </c:pt>
                <c:pt idx="3">
                  <c:v>2.8932470683380509</c:v>
                </c:pt>
                <c:pt idx="4">
                  <c:v>2.4797415658970552</c:v>
                </c:pt>
                <c:pt idx="5">
                  <c:v>2.2109036474036259</c:v>
                </c:pt>
                <c:pt idx="6">
                  <c:v>1.6528990130221035</c:v>
                </c:pt>
                <c:pt idx="7">
                  <c:v>1.5834510773578241</c:v>
                </c:pt>
                <c:pt idx="8">
                  <c:v>1.7256117744501973</c:v>
                </c:pt>
                <c:pt idx="9">
                  <c:v>1.8643221364740623</c:v>
                </c:pt>
                <c:pt idx="10">
                  <c:v>2.7123874275733191</c:v>
                </c:pt>
                <c:pt idx="11">
                  <c:v>2.733577665261298</c:v>
                </c:pt>
                <c:pt idx="12">
                  <c:v>3.2389428514510454</c:v>
                </c:pt>
                <c:pt idx="13">
                  <c:v>2.371009554847789</c:v>
                </c:pt>
                <c:pt idx="14">
                  <c:v>3.8505840971389422</c:v>
                </c:pt>
                <c:pt idx="15">
                  <c:v>6.4519520661614198</c:v>
                </c:pt>
              </c:numCache>
            </c:numRef>
          </c:val>
          <c:smooth val="0"/>
          <c:extLst>
            <c:ext xmlns:c16="http://schemas.microsoft.com/office/drawing/2014/chart" uri="{C3380CC4-5D6E-409C-BE32-E72D297353CC}">
              <c16:uniqueId val="{00000000-21A6-478C-ACF5-0E69F03BB58C}"/>
            </c:ext>
          </c:extLst>
        </c:ser>
        <c:ser>
          <c:idx val="1"/>
          <c:order val="1"/>
          <c:tx>
            <c:v>EBITDA</c:v>
          </c:tx>
          <c:spPr>
            <a:ln w="12700">
              <a:solidFill>
                <a:srgbClr val="FF0000"/>
              </a:solidFill>
              <a:prstDash val="solid"/>
            </a:ln>
          </c:spPr>
          <c:marker>
            <c:symbol val="square"/>
            <c:size val="5"/>
            <c:spPr>
              <a:solidFill>
                <a:srgbClr val="FF0000"/>
              </a:solidFill>
              <a:ln>
                <a:solidFill>
                  <a:srgbClr val="FF0000"/>
                </a:solidFill>
                <a:prstDash val="solid"/>
              </a:ln>
            </c:spPr>
          </c:marker>
          <c:val>
            <c:numRef>
              <c:f>'CPA Companies'!$I$82:$I$97</c:f>
              <c:numCache>
                <c:formatCode>#,##0.0\x_);[Red]\(#,##0.0\x\);</c:formatCode>
                <c:ptCount val="16"/>
                <c:pt idx="0">
                  <c:v>6.0609811937857732</c:v>
                </c:pt>
                <c:pt idx="1">
                  <c:v>5.6436549468520036</c:v>
                </c:pt>
                <c:pt idx="2">
                  <c:v>5.8503679476696648</c:v>
                </c:pt>
                <c:pt idx="3">
                  <c:v>5.8503679476696648</c:v>
                </c:pt>
                <c:pt idx="4">
                  <c:v>4.0912094513416104</c:v>
                </c:pt>
                <c:pt idx="5">
                  <c:v>4.2093645708183152</c:v>
                </c:pt>
                <c:pt idx="6">
                  <c:v>3.1373621677066414</c:v>
                </c:pt>
                <c:pt idx="7">
                  <c:v>3.4419149262899262</c:v>
                </c:pt>
                <c:pt idx="8">
                  <c:v>3.830831209007318</c:v>
                </c:pt>
                <c:pt idx="9">
                  <c:v>3.765787830972239</c:v>
                </c:pt>
                <c:pt idx="10">
                  <c:v>5.4430227079996234</c:v>
                </c:pt>
                <c:pt idx="11">
                  <c:v>6.411041551918589</c:v>
                </c:pt>
                <c:pt idx="12">
                  <c:v>7.6121907660242867</c:v>
                </c:pt>
                <c:pt idx="13">
                  <c:v>7.2622981812681964</c:v>
                </c:pt>
                <c:pt idx="14">
                  <c:v>8.5796638408194443</c:v>
                </c:pt>
                <c:pt idx="15">
                  <c:v>18.856208908169865</c:v>
                </c:pt>
              </c:numCache>
            </c:numRef>
          </c:val>
          <c:smooth val="0"/>
          <c:extLst>
            <c:ext xmlns:c16="http://schemas.microsoft.com/office/drawing/2014/chart" uri="{C3380CC4-5D6E-409C-BE32-E72D297353CC}">
              <c16:uniqueId val="{00000001-21A6-478C-ACF5-0E69F03BB58C}"/>
            </c:ext>
          </c:extLst>
        </c:ser>
        <c:ser>
          <c:idx val="2"/>
          <c:order val="2"/>
          <c:tx>
            <c:v>Earnings</c:v>
          </c:tx>
          <c:spPr>
            <a:ln w="12700">
              <a:solidFill>
                <a:srgbClr val="00FF00"/>
              </a:solidFill>
              <a:prstDash val="solid"/>
            </a:ln>
          </c:spPr>
          <c:marker>
            <c:symbol val="triangle"/>
            <c:size val="5"/>
            <c:spPr>
              <a:solidFill>
                <a:srgbClr val="00FF00"/>
              </a:solidFill>
              <a:ln>
                <a:solidFill>
                  <a:srgbClr val="00FF00"/>
                </a:solidFill>
                <a:prstDash val="solid"/>
              </a:ln>
            </c:spPr>
          </c:marker>
          <c:val>
            <c:numRef>
              <c:f>'CPA Companies'!$J$82:$J$97</c:f>
              <c:numCache>
                <c:formatCode>#,##0.0\x_);[Red]\(#,##0.0\x\);</c:formatCode>
                <c:ptCount val="16"/>
                <c:pt idx="0">
                  <c:v>22.878333333333334</c:v>
                </c:pt>
                <c:pt idx="1">
                  <c:v>21.303055555555559</c:v>
                </c:pt>
                <c:pt idx="2">
                  <c:v>22.083333333333336</c:v>
                </c:pt>
                <c:pt idx="3">
                  <c:v>22.083333333333336</c:v>
                </c:pt>
                <c:pt idx="4">
                  <c:v>13.482578857067441</c:v>
                </c:pt>
                <c:pt idx="5">
                  <c:v>13.871958998724207</c:v>
                </c:pt>
                <c:pt idx="6">
                  <c:v>10.36884975752154</c:v>
                </c:pt>
                <c:pt idx="7">
                  <c:v>15.893458606630031</c:v>
                </c:pt>
                <c:pt idx="8">
                  <c:v>19.138818189600663</c:v>
                </c:pt>
                <c:pt idx="9">
                  <c:v>13.360612119347893</c:v>
                </c:pt>
                <c:pt idx="10">
                  <c:v>19.775023962755032</c:v>
                </c:pt>
                <c:pt idx="11">
                  <c:v>35.564350538338424</c:v>
                </c:pt>
                <c:pt idx="12">
                  <c:v>0.61823326047278404</c:v>
                </c:pt>
                <c:pt idx="13">
                  <c:v>34.971959213401313</c:v>
                </c:pt>
                <c:pt idx="14">
                  <c:v>26.661754893238438</c:v>
                </c:pt>
                <c:pt idx="15">
                  <c:v>72.864600687213667</c:v>
                </c:pt>
              </c:numCache>
            </c:numRef>
          </c:val>
          <c:smooth val="0"/>
          <c:extLst>
            <c:ext xmlns:c16="http://schemas.microsoft.com/office/drawing/2014/chart" uri="{C3380CC4-5D6E-409C-BE32-E72D297353CC}">
              <c16:uniqueId val="{00000002-21A6-478C-ACF5-0E69F03BB58C}"/>
            </c:ext>
          </c:extLst>
        </c:ser>
        <c:dLbls>
          <c:showLegendKey val="0"/>
          <c:showVal val="0"/>
          <c:showCatName val="0"/>
          <c:showSerName val="0"/>
          <c:showPercent val="0"/>
          <c:showBubbleSize val="0"/>
        </c:dLbls>
        <c:marker val="1"/>
        <c:smooth val="0"/>
        <c:axId val="182051128"/>
        <c:axId val="1"/>
      </c:lineChart>
      <c:catAx>
        <c:axId val="18205112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950"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2"/>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050" b="1" i="0" u="none" strike="noStrike" baseline="0">
                    <a:solidFill>
                      <a:srgbClr val="000000"/>
                    </a:solidFill>
                    <a:latin typeface="Times New Roman"/>
                    <a:ea typeface="Times New Roman"/>
                    <a:cs typeface="Times New Roman"/>
                  </a:defRPr>
                </a:pPr>
                <a:r>
                  <a:rPr lang="en-US"/>
                  <a:t>Maket Cap. Multiple</a:t>
                </a:r>
              </a:p>
            </c:rich>
          </c:tx>
          <c:layout>
            <c:manualLayout>
              <c:xMode val="edge"/>
              <c:yMode val="edge"/>
              <c:x val="3.2646123430150137E-2"/>
              <c:y val="0.32227544085683091"/>
            </c:manualLayout>
          </c:layout>
          <c:overlay val="0"/>
          <c:spPr>
            <a:noFill/>
            <a:ln w="25400">
              <a:noFill/>
            </a:ln>
          </c:spPr>
        </c:title>
        <c:numFmt formatCode="#,##0.0\x_);[Red]\(#,##0.0\x\);"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Times New Roman"/>
                <a:ea typeface="Times New Roman"/>
                <a:cs typeface="Times New Roman"/>
              </a:defRPr>
            </a:pPr>
            <a:endParaRPr lang="en-US"/>
          </a:p>
        </c:txPr>
        <c:crossAx val="182051128"/>
        <c:crosses val="autoZero"/>
        <c:crossBetween val="between"/>
      </c:valAx>
      <c:spPr>
        <a:solidFill>
          <a:srgbClr val="FFFFFF"/>
        </a:solidFill>
        <a:ln w="12700">
          <a:solidFill>
            <a:srgbClr val="808080"/>
          </a:solidFill>
          <a:prstDash val="solid"/>
        </a:ln>
      </c:spPr>
    </c:plotArea>
    <c:legend>
      <c:legendPos val="r"/>
      <c:layout>
        <c:manualLayout>
          <c:xMode val="edge"/>
          <c:yMode val="edge"/>
          <c:x val="0.80756200064055605"/>
          <c:y val="0.43601971410041834"/>
          <c:w val="0.17525813630922704"/>
          <c:h val="0.17298608222462247"/>
        </c:manualLayout>
      </c:layout>
      <c:overlay val="0"/>
      <c:spPr>
        <a:solidFill>
          <a:srgbClr val="FFFFFF"/>
        </a:solidFill>
        <a:ln w="3175">
          <a:solidFill>
            <a:srgbClr val="000000"/>
          </a:solidFill>
          <a:prstDash val="solid"/>
        </a:ln>
      </c:spPr>
      <c:txPr>
        <a:bodyPr/>
        <a:lstStyle/>
        <a:p>
          <a:pPr>
            <a:defRPr sz="87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5" b="1" i="0" u="none" strike="noStrike" baseline="0">
                <a:solidFill>
                  <a:srgbClr val="000000"/>
                </a:solidFill>
                <a:latin typeface="Times New Roman"/>
                <a:ea typeface="Times New Roman"/>
                <a:cs typeface="Times New Roman"/>
              </a:defRPr>
            </a:pPr>
            <a:r>
              <a:rPr lang="en-US"/>
              <a:t>TiVo, Inc. (TIVO)</a:t>
            </a:r>
          </a:p>
        </c:rich>
      </c:tx>
      <c:layout>
        <c:manualLayout>
          <c:xMode val="edge"/>
          <c:yMode val="edge"/>
          <c:x val="0.34871809425000594"/>
          <c:y val="3.5545085388621056E-2"/>
        </c:manualLayout>
      </c:layout>
      <c:overlay val="0"/>
      <c:spPr>
        <a:noFill/>
        <a:ln w="25400">
          <a:noFill/>
        </a:ln>
      </c:spPr>
    </c:title>
    <c:autoTitleDeleted val="0"/>
    <c:plotArea>
      <c:layout>
        <c:manualLayout>
          <c:layoutTarget val="inner"/>
          <c:xMode val="edge"/>
          <c:yMode val="edge"/>
          <c:x val="0.19145307135294445"/>
          <c:y val="0.20379182289476075"/>
          <c:w val="0.63418829885662853"/>
          <c:h val="0.63744186463593766"/>
        </c:manualLayout>
      </c:layout>
      <c:lineChart>
        <c:grouping val="standard"/>
        <c:varyColors val="0"/>
        <c:ser>
          <c:idx val="0"/>
          <c:order val="0"/>
          <c:tx>
            <c:v>Sales</c:v>
          </c:tx>
          <c:spPr>
            <a:ln w="12700">
              <a:solidFill>
                <a:srgbClr val="000080"/>
              </a:solidFill>
              <a:prstDash val="solid"/>
            </a:ln>
          </c:spPr>
          <c:marker>
            <c:symbol val="diamond"/>
            <c:size val="5"/>
            <c:spPr>
              <a:solidFill>
                <a:srgbClr val="000080"/>
              </a:solidFill>
              <a:ln>
                <a:solidFill>
                  <a:srgbClr val="000080"/>
                </a:solidFill>
                <a:prstDash val="solid"/>
              </a:ln>
            </c:spPr>
          </c:marker>
          <c:cat>
            <c:strRef>
              <c:f>'CPA Companies'!$A$101:$A$116</c:f>
              <c:strCache>
                <c:ptCount val="16"/>
                <c:pt idx="0">
                  <c:v>4Q01</c:v>
                </c:pt>
                <c:pt idx="1">
                  <c:v>3Q01</c:v>
                </c:pt>
                <c:pt idx="2">
                  <c:v>2Q01</c:v>
                </c:pt>
                <c:pt idx="3">
                  <c:v>1Q01</c:v>
                </c:pt>
                <c:pt idx="4">
                  <c:v>4Q00</c:v>
                </c:pt>
                <c:pt idx="5">
                  <c:v>3Q00</c:v>
                </c:pt>
                <c:pt idx="6">
                  <c:v>2Q00</c:v>
                </c:pt>
                <c:pt idx="7">
                  <c:v>1Q00</c:v>
                </c:pt>
                <c:pt idx="8">
                  <c:v>4Q99</c:v>
                </c:pt>
                <c:pt idx="9">
                  <c:v>3Q99</c:v>
                </c:pt>
                <c:pt idx="10">
                  <c:v>2Q99</c:v>
                </c:pt>
                <c:pt idx="11">
                  <c:v>1Q99</c:v>
                </c:pt>
                <c:pt idx="12">
                  <c:v>4Q98</c:v>
                </c:pt>
                <c:pt idx="13">
                  <c:v>3Q98</c:v>
                </c:pt>
                <c:pt idx="14">
                  <c:v>2Q98</c:v>
                </c:pt>
                <c:pt idx="15">
                  <c:v>1Q98</c:v>
                </c:pt>
              </c:strCache>
            </c:strRef>
          </c:cat>
          <c:val>
            <c:numRef>
              <c:f>'CPA Companies'!$H$101:$H$116</c:f>
              <c:numCache>
                <c:formatCode>#,##0.0\x_);[Red]\(#,##0.0\x\);</c:formatCode>
                <c:ptCount val="16"/>
                <c:pt idx="0">
                  <c:v>14.185353744311129</c:v>
                </c:pt>
                <c:pt idx="1">
                  <c:v>16.880037488284909</c:v>
                </c:pt>
                <c:pt idx="2">
                  <c:v>32.239330091842241</c:v>
                </c:pt>
                <c:pt idx="3">
                  <c:v>35.895647321428562</c:v>
                </c:pt>
                <c:pt idx="4">
                  <c:v>45.384241245136181</c:v>
                </c:pt>
                <c:pt idx="5">
                  <c:v>178.49186361651698</c:v>
                </c:pt>
                <c:pt idx="6">
                  <c:v>434.97902642559114</c:v>
                </c:pt>
                <c:pt idx="7">
                  <c:v>721.76469885023585</c:v>
                </c:pt>
                <c:pt idx="8">
                  <c:v>2012.0192307692307</c:v>
                </c:pt>
                <c:pt idx="9">
                  <c:v>9466.2622211174239</c:v>
                </c:pt>
              </c:numCache>
            </c:numRef>
          </c:val>
          <c:smooth val="0"/>
          <c:extLst>
            <c:ext xmlns:c16="http://schemas.microsoft.com/office/drawing/2014/chart" uri="{C3380CC4-5D6E-409C-BE32-E72D297353CC}">
              <c16:uniqueId val="{00000000-50DB-48C1-B335-D20BB5A72B4E}"/>
            </c:ext>
          </c:extLst>
        </c:ser>
        <c:dLbls>
          <c:showLegendKey val="0"/>
          <c:showVal val="0"/>
          <c:showCatName val="0"/>
          <c:showSerName val="0"/>
          <c:showPercent val="0"/>
          <c:showBubbleSize val="0"/>
        </c:dLbls>
        <c:marker val="1"/>
        <c:smooth val="0"/>
        <c:axId val="182056048"/>
        <c:axId val="1"/>
      </c:lineChart>
      <c:catAx>
        <c:axId val="18205604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950"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2"/>
        <c:tickMarkSkip val="1"/>
        <c:noMultiLvlLbl val="0"/>
      </c:catAx>
      <c:valAx>
        <c:axId val="1"/>
        <c:scaling>
          <c:orientation val="minMax"/>
          <c:max val="100"/>
        </c:scaling>
        <c:delete val="0"/>
        <c:axPos val="l"/>
        <c:majorGridlines>
          <c:spPr>
            <a:ln w="3175">
              <a:solidFill>
                <a:srgbClr val="000000"/>
              </a:solidFill>
              <a:prstDash val="solid"/>
            </a:ln>
          </c:spPr>
        </c:majorGridlines>
        <c:title>
          <c:tx>
            <c:rich>
              <a:bodyPr/>
              <a:lstStyle/>
              <a:p>
                <a:pPr>
                  <a:defRPr sz="1050" b="1" i="0" u="none" strike="noStrike" baseline="0">
                    <a:solidFill>
                      <a:srgbClr val="000000"/>
                    </a:solidFill>
                    <a:latin typeface="Times New Roman"/>
                    <a:ea typeface="Times New Roman"/>
                    <a:cs typeface="Times New Roman"/>
                  </a:defRPr>
                </a:pPr>
                <a:r>
                  <a:rPr lang="en-US"/>
                  <a:t>Maket Cap. Multiple</a:t>
                </a:r>
              </a:p>
            </c:rich>
          </c:tx>
          <c:layout>
            <c:manualLayout>
              <c:xMode val="edge"/>
              <c:yMode val="edge"/>
              <c:x val="3.2478646033088795E-2"/>
              <c:y val="0.32227544085683091"/>
            </c:manualLayout>
          </c:layout>
          <c:overlay val="0"/>
          <c:spPr>
            <a:noFill/>
            <a:ln w="25400">
              <a:noFill/>
            </a:ln>
          </c:spPr>
        </c:title>
        <c:numFmt formatCode="#,##0.0\x_);[Red]\(#,##0.0\x\);"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Times New Roman"/>
                <a:ea typeface="Times New Roman"/>
                <a:cs typeface="Times New Roman"/>
              </a:defRPr>
            </a:pPr>
            <a:endParaRPr lang="en-US"/>
          </a:p>
        </c:txPr>
        <c:crossAx val="182056048"/>
        <c:crosses val="autoZero"/>
        <c:crossBetween val="between"/>
      </c:valAx>
      <c:spPr>
        <a:solidFill>
          <a:srgbClr val="FFFFFF"/>
        </a:solidFill>
        <a:ln w="12700">
          <a:solidFill>
            <a:srgbClr val="808080"/>
          </a:solidFill>
          <a:prstDash val="solid"/>
        </a:ln>
      </c:spPr>
    </c:plotArea>
    <c:legend>
      <c:legendPos val="r"/>
      <c:layout>
        <c:manualLayout>
          <c:xMode val="edge"/>
          <c:yMode val="edge"/>
          <c:x val="0.84786360170589692"/>
          <c:y val="0.49289185072221209"/>
          <c:w val="0.13504279140073761"/>
          <c:h val="5.92418089810351E-2"/>
        </c:manualLayout>
      </c:layout>
      <c:overlay val="0"/>
      <c:spPr>
        <a:solidFill>
          <a:srgbClr val="FFFFFF"/>
        </a:solidFill>
        <a:ln w="3175">
          <a:solidFill>
            <a:srgbClr val="000000"/>
          </a:solidFill>
          <a:prstDash val="solid"/>
        </a:ln>
      </c:spPr>
      <c:txPr>
        <a:bodyPr/>
        <a:lstStyle/>
        <a:p>
          <a:pPr>
            <a:defRPr sz="87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5" b="1" i="0" u="none" strike="noStrike" baseline="0">
                <a:solidFill>
                  <a:srgbClr val="000000"/>
                </a:solidFill>
                <a:latin typeface="Times New Roman"/>
                <a:ea typeface="Times New Roman"/>
                <a:cs typeface="Times New Roman"/>
              </a:defRPr>
            </a:pPr>
            <a:r>
              <a:rPr lang="en-US"/>
              <a:t>Emerson (EMR)</a:t>
            </a:r>
          </a:p>
        </c:rich>
      </c:tx>
      <c:layout>
        <c:manualLayout>
          <c:xMode val="edge"/>
          <c:yMode val="edge"/>
          <c:x val="0.36410271605515326"/>
          <c:y val="3.5545085388621056E-2"/>
        </c:manualLayout>
      </c:layout>
      <c:overlay val="0"/>
      <c:spPr>
        <a:noFill/>
        <a:ln w="25400">
          <a:noFill/>
        </a:ln>
      </c:spPr>
    </c:title>
    <c:autoTitleDeleted val="0"/>
    <c:plotArea>
      <c:layout>
        <c:manualLayout>
          <c:layoutTarget val="inner"/>
          <c:xMode val="edge"/>
          <c:yMode val="edge"/>
          <c:x val="0.17777785197059129"/>
          <c:y val="0.20379182289476075"/>
          <c:w val="0.60854726251471636"/>
          <c:h val="0.63744186463593766"/>
        </c:manualLayout>
      </c:layout>
      <c:lineChart>
        <c:grouping val="standard"/>
        <c:varyColors val="0"/>
        <c:ser>
          <c:idx val="0"/>
          <c:order val="0"/>
          <c:tx>
            <c:v>Sales</c:v>
          </c:tx>
          <c:spPr>
            <a:ln w="12700">
              <a:solidFill>
                <a:srgbClr val="000080"/>
              </a:solidFill>
              <a:prstDash val="solid"/>
            </a:ln>
          </c:spPr>
          <c:marker>
            <c:symbol val="diamond"/>
            <c:size val="5"/>
            <c:spPr>
              <a:solidFill>
                <a:srgbClr val="000080"/>
              </a:solidFill>
              <a:ln>
                <a:solidFill>
                  <a:srgbClr val="000080"/>
                </a:solidFill>
                <a:prstDash val="solid"/>
              </a:ln>
            </c:spPr>
          </c:marker>
          <c:cat>
            <c:strRef>
              <c:f>'CPA Companies'!$A$6:$A$21</c:f>
              <c:strCache>
                <c:ptCount val="16"/>
                <c:pt idx="0">
                  <c:v>4Q01</c:v>
                </c:pt>
                <c:pt idx="1">
                  <c:v>3Q01</c:v>
                </c:pt>
                <c:pt idx="2">
                  <c:v>2Q01</c:v>
                </c:pt>
                <c:pt idx="3">
                  <c:v>1Q01</c:v>
                </c:pt>
                <c:pt idx="4">
                  <c:v>4Q00</c:v>
                </c:pt>
                <c:pt idx="5">
                  <c:v>3Q00</c:v>
                </c:pt>
                <c:pt idx="6">
                  <c:v>2Q00</c:v>
                </c:pt>
                <c:pt idx="7">
                  <c:v>1Q00</c:v>
                </c:pt>
                <c:pt idx="8">
                  <c:v>4Q99</c:v>
                </c:pt>
                <c:pt idx="9">
                  <c:v>3Q99</c:v>
                </c:pt>
                <c:pt idx="10">
                  <c:v>2Q99</c:v>
                </c:pt>
                <c:pt idx="11">
                  <c:v>1Q99</c:v>
                </c:pt>
                <c:pt idx="12">
                  <c:v>4Q98</c:v>
                </c:pt>
                <c:pt idx="13">
                  <c:v>3Q98</c:v>
                </c:pt>
                <c:pt idx="14">
                  <c:v>2Q98</c:v>
                </c:pt>
                <c:pt idx="15">
                  <c:v>1Q98</c:v>
                </c:pt>
              </c:strCache>
            </c:strRef>
          </c:cat>
          <c:val>
            <c:numRef>
              <c:f>'CPA Companies'!$H$120:$H$135</c:f>
              <c:numCache>
                <c:formatCode>#,##0.0\x_);[Red]\(#,##0.0\x\);</c:formatCode>
                <c:ptCount val="16"/>
                <c:pt idx="0">
                  <c:v>1.5258314088140437</c:v>
                </c:pt>
                <c:pt idx="1">
                  <c:v>1.4485138815033118</c:v>
                </c:pt>
                <c:pt idx="2">
                  <c:v>1.7874885174478294</c:v>
                </c:pt>
                <c:pt idx="3">
                  <c:v>1.7611498773946725</c:v>
                </c:pt>
                <c:pt idx="4">
                  <c:v>2.1385009799305701</c:v>
                </c:pt>
                <c:pt idx="5">
                  <c:v>1.7774485353174598</c:v>
                </c:pt>
                <c:pt idx="6">
                  <c:v>1.6043315147917163</c:v>
                </c:pt>
                <c:pt idx="7">
                  <c:v>1.367133248680608</c:v>
                </c:pt>
                <c:pt idx="8">
                  <c:v>1.7536512573025145</c:v>
                </c:pt>
                <c:pt idx="9">
                  <c:v>1.8882321585960185</c:v>
                </c:pt>
                <c:pt idx="10">
                  <c:v>1.8677534440354981</c:v>
                </c:pt>
                <c:pt idx="11">
                  <c:v>1.5023137948630421</c:v>
                </c:pt>
                <c:pt idx="12">
                  <c:v>1.7357003289739947</c:v>
                </c:pt>
                <c:pt idx="13">
                  <c:v>1.8889759919272167</c:v>
                </c:pt>
                <c:pt idx="14">
                  <c:v>1.9118470600347552</c:v>
                </c:pt>
                <c:pt idx="15">
                  <c:v>2.1172281516083258</c:v>
                </c:pt>
              </c:numCache>
            </c:numRef>
          </c:val>
          <c:smooth val="0"/>
          <c:extLst>
            <c:ext xmlns:c16="http://schemas.microsoft.com/office/drawing/2014/chart" uri="{C3380CC4-5D6E-409C-BE32-E72D297353CC}">
              <c16:uniqueId val="{00000000-3D86-467C-B27E-0A452D8860E2}"/>
            </c:ext>
          </c:extLst>
        </c:ser>
        <c:ser>
          <c:idx val="1"/>
          <c:order val="1"/>
          <c:tx>
            <c:v>EBITDA</c:v>
          </c:tx>
          <c:spPr>
            <a:ln w="12700">
              <a:solidFill>
                <a:srgbClr val="FF0000"/>
              </a:solidFill>
              <a:prstDash val="solid"/>
            </a:ln>
          </c:spPr>
          <c:marker>
            <c:symbol val="square"/>
            <c:size val="5"/>
            <c:spPr>
              <a:solidFill>
                <a:srgbClr val="FF0000"/>
              </a:solidFill>
              <a:ln>
                <a:solidFill>
                  <a:srgbClr val="FF0000"/>
                </a:solidFill>
                <a:prstDash val="solid"/>
              </a:ln>
            </c:spPr>
          </c:marker>
          <c:val>
            <c:numRef>
              <c:f>'CPA Companies'!$I$120:$I$135</c:f>
              <c:numCache>
                <c:formatCode>#,##0.0\x_);[Red]\(#,##0.0\x\);</c:formatCode>
                <c:ptCount val="16"/>
                <c:pt idx="0">
                  <c:v>14.854142357059501</c:v>
                </c:pt>
                <c:pt idx="1">
                  <c:v>12.286488066244518</c:v>
                </c:pt>
                <c:pt idx="2">
                  <c:v>13.556856187290968</c:v>
                </c:pt>
                <c:pt idx="3">
                  <c:v>12.168436470157452</c:v>
                </c:pt>
                <c:pt idx="4">
                  <c:v>13.651107073784319</c:v>
                </c:pt>
                <c:pt idx="5">
                  <c:v>10.597514189525675</c:v>
                </c:pt>
                <c:pt idx="6">
                  <c:v>9.6868525467994981</c:v>
                </c:pt>
                <c:pt idx="7">
                  <c:v>8.465141277641278</c:v>
                </c:pt>
                <c:pt idx="8">
                  <c:v>16.287581913499345</c:v>
                </c:pt>
                <c:pt idx="9">
                  <c:v>13.93630939094388</c:v>
                </c:pt>
                <c:pt idx="10">
                  <c:v>11.340711805555555</c:v>
                </c:pt>
                <c:pt idx="11">
                  <c:v>9.2922328776714895</c:v>
                </c:pt>
                <c:pt idx="12">
                  <c:v>11.357121094701524</c:v>
                </c:pt>
                <c:pt idx="13">
                  <c:v>11.848528458787385</c:v>
                </c:pt>
                <c:pt idx="14">
                  <c:v>11.636979505414429</c:v>
                </c:pt>
                <c:pt idx="15">
                  <c:v>13.034787950491445</c:v>
                </c:pt>
              </c:numCache>
            </c:numRef>
          </c:val>
          <c:smooth val="0"/>
          <c:extLst>
            <c:ext xmlns:c16="http://schemas.microsoft.com/office/drawing/2014/chart" uri="{C3380CC4-5D6E-409C-BE32-E72D297353CC}">
              <c16:uniqueId val="{00000001-3D86-467C-B27E-0A452D8860E2}"/>
            </c:ext>
          </c:extLst>
        </c:ser>
        <c:ser>
          <c:idx val="2"/>
          <c:order val="2"/>
          <c:tx>
            <c:v>Earnings</c:v>
          </c:tx>
          <c:spPr>
            <a:ln w="12700">
              <a:solidFill>
                <a:srgbClr val="00FF00"/>
              </a:solidFill>
              <a:prstDash val="solid"/>
            </a:ln>
          </c:spPr>
          <c:marker>
            <c:symbol val="triangle"/>
            <c:size val="5"/>
            <c:spPr>
              <a:solidFill>
                <a:srgbClr val="00FF00"/>
              </a:solidFill>
              <a:ln>
                <a:solidFill>
                  <a:srgbClr val="00FF00"/>
                </a:solidFill>
                <a:prstDash val="solid"/>
              </a:ln>
            </c:spPr>
          </c:marker>
          <c:val>
            <c:numRef>
              <c:f>'CPA Companies'!$J$120:$J$135</c:f>
              <c:numCache>
                <c:formatCode>#,##0.0\x_);[Red]\(#,##0.0\x\);</c:formatCode>
                <c:ptCount val="16"/>
                <c:pt idx="0">
                  <c:v>16.816658135041866</c:v>
                </c:pt>
                <c:pt idx="1">
                  <c:v>15.942913304954324</c:v>
                </c:pt>
                <c:pt idx="2">
                  <c:v>19.649343921082693</c:v>
                </c:pt>
                <c:pt idx="3">
                  <c:v>19.33762579901834</c:v>
                </c:pt>
                <c:pt idx="4">
                  <c:v>23.456101190476193</c:v>
                </c:pt>
                <c:pt idx="5">
                  <c:v>19.47674418604651</c:v>
                </c:pt>
                <c:pt idx="6">
                  <c:v>17.34913793103448</c:v>
                </c:pt>
                <c:pt idx="7">
                  <c:v>15.092329545454547</c:v>
                </c:pt>
                <c:pt idx="8">
                  <c:v>19.125</c:v>
                </c:pt>
                <c:pt idx="9">
                  <c:v>20.072873608355383</c:v>
                </c:pt>
                <c:pt idx="10">
                  <c:v>19.66796875</c:v>
                </c:pt>
                <c:pt idx="11">
                  <c:v>16.54296875</c:v>
                </c:pt>
                <c:pt idx="12">
                  <c:v>19.668400520156045</c:v>
                </c:pt>
                <c:pt idx="13">
                  <c:v>20.628291821367661</c:v>
                </c:pt>
                <c:pt idx="14">
                  <c:v>20.396959459459463</c:v>
                </c:pt>
                <c:pt idx="15">
                  <c:v>23.28125</c:v>
                </c:pt>
              </c:numCache>
            </c:numRef>
          </c:val>
          <c:smooth val="0"/>
          <c:extLst>
            <c:ext xmlns:c16="http://schemas.microsoft.com/office/drawing/2014/chart" uri="{C3380CC4-5D6E-409C-BE32-E72D297353CC}">
              <c16:uniqueId val="{00000002-3D86-467C-B27E-0A452D8860E2}"/>
            </c:ext>
          </c:extLst>
        </c:ser>
        <c:dLbls>
          <c:showLegendKey val="0"/>
          <c:showVal val="0"/>
          <c:showCatName val="0"/>
          <c:showSerName val="0"/>
          <c:showPercent val="0"/>
          <c:showBubbleSize val="0"/>
        </c:dLbls>
        <c:marker val="1"/>
        <c:smooth val="0"/>
        <c:axId val="182050144"/>
        <c:axId val="1"/>
      </c:lineChart>
      <c:catAx>
        <c:axId val="18205014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950"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2"/>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050" b="1" i="0" u="none" strike="noStrike" baseline="0">
                    <a:solidFill>
                      <a:srgbClr val="000000"/>
                    </a:solidFill>
                    <a:latin typeface="Times New Roman"/>
                    <a:ea typeface="Times New Roman"/>
                    <a:cs typeface="Times New Roman"/>
                  </a:defRPr>
                </a:pPr>
                <a:r>
                  <a:rPr lang="en-US"/>
                  <a:t>Maket Cap. Multiple</a:t>
                </a:r>
              </a:p>
            </c:rich>
          </c:tx>
          <c:layout>
            <c:manualLayout>
              <c:xMode val="edge"/>
              <c:yMode val="edge"/>
              <c:x val="3.2478646033088795E-2"/>
              <c:y val="0.32227544085683091"/>
            </c:manualLayout>
          </c:layout>
          <c:overlay val="0"/>
          <c:spPr>
            <a:noFill/>
            <a:ln w="25400">
              <a:noFill/>
            </a:ln>
          </c:spPr>
        </c:title>
        <c:numFmt formatCode="#,##0.0\x_);[Red]\(#,##0.0\x\);"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Times New Roman"/>
                <a:ea typeface="Times New Roman"/>
                <a:cs typeface="Times New Roman"/>
              </a:defRPr>
            </a:pPr>
            <a:endParaRPr lang="en-US"/>
          </a:p>
        </c:txPr>
        <c:crossAx val="182050144"/>
        <c:crosses val="autoZero"/>
        <c:crossBetween val="between"/>
      </c:valAx>
      <c:spPr>
        <a:solidFill>
          <a:srgbClr val="FFFFFF"/>
        </a:solidFill>
        <a:ln w="12700">
          <a:solidFill>
            <a:srgbClr val="808080"/>
          </a:solidFill>
          <a:prstDash val="solid"/>
        </a:ln>
      </c:spPr>
    </c:plotArea>
    <c:legend>
      <c:legendPos val="r"/>
      <c:layout>
        <c:manualLayout>
          <c:xMode val="edge"/>
          <c:yMode val="edge"/>
          <c:x val="0.80854734598163147"/>
          <c:y val="0.43601971410041834"/>
          <c:w val="0.17435904712500297"/>
          <c:h val="0.17298608222462247"/>
        </c:manualLayout>
      </c:layout>
      <c:overlay val="0"/>
      <c:spPr>
        <a:solidFill>
          <a:srgbClr val="FFFFFF"/>
        </a:solidFill>
        <a:ln w="3175">
          <a:solidFill>
            <a:srgbClr val="000000"/>
          </a:solidFill>
          <a:prstDash val="solid"/>
        </a:ln>
      </c:spPr>
      <c:txPr>
        <a:bodyPr/>
        <a:lstStyle/>
        <a:p>
          <a:pPr>
            <a:defRPr sz="87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chart" Target="../charts/chart15.xml"/><Relationship Id="rId3" Type="http://schemas.openxmlformats.org/officeDocument/2006/relationships/chart" Target="../charts/chart5.xml"/><Relationship Id="rId7" Type="http://schemas.openxmlformats.org/officeDocument/2006/relationships/chart" Target="../charts/chart9.xml"/><Relationship Id="rId12" Type="http://schemas.openxmlformats.org/officeDocument/2006/relationships/chart" Target="../charts/chart14.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3.xml"/><Relationship Id="rId5" Type="http://schemas.openxmlformats.org/officeDocument/2006/relationships/chart" Target="../charts/chart7.xml"/><Relationship Id="rId15" Type="http://schemas.openxmlformats.org/officeDocument/2006/relationships/chart" Target="../charts/chart1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 Id="rId1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45720</xdr:colOff>
      <xdr:row>0</xdr:row>
      <xdr:rowOff>15240</xdr:rowOff>
    </xdr:from>
    <xdr:to>
      <xdr:col>5</xdr:col>
      <xdr:colOff>236220</xdr:colOff>
      <xdr:row>16</xdr:row>
      <xdr:rowOff>91440</xdr:rowOff>
    </xdr:to>
    <xdr:graphicFrame macro="">
      <xdr:nvGraphicFramePr>
        <xdr:cNvPr id="2054"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259080</xdr:colOff>
      <xdr:row>0</xdr:row>
      <xdr:rowOff>0</xdr:rowOff>
    </xdr:from>
    <xdr:to>
      <xdr:col>10</xdr:col>
      <xdr:colOff>487680</xdr:colOff>
      <xdr:row>16</xdr:row>
      <xdr:rowOff>68580</xdr:rowOff>
    </xdr:to>
    <xdr:graphicFrame macro="">
      <xdr:nvGraphicFramePr>
        <xdr:cNvPr id="2055"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137160</xdr:colOff>
      <xdr:row>4</xdr:row>
      <xdr:rowOff>0</xdr:rowOff>
    </xdr:from>
    <xdr:to>
      <xdr:col>17</xdr:col>
      <xdr:colOff>350520</xdr:colOff>
      <xdr:row>21</xdr:row>
      <xdr:rowOff>129540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144780</xdr:colOff>
      <xdr:row>23</xdr:row>
      <xdr:rowOff>7620</xdr:rowOff>
    </xdr:from>
    <xdr:to>
      <xdr:col>17</xdr:col>
      <xdr:colOff>350520</xdr:colOff>
      <xdr:row>41</xdr:row>
      <xdr:rowOff>0</xdr:rowOff>
    </xdr:to>
    <xdr:graphicFrame macro="">
      <xdr:nvGraphicFramePr>
        <xdr:cNvPr id="102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144780</xdr:colOff>
      <xdr:row>42</xdr:row>
      <xdr:rowOff>7620</xdr:rowOff>
    </xdr:from>
    <xdr:to>
      <xdr:col>17</xdr:col>
      <xdr:colOff>312420</xdr:colOff>
      <xdr:row>60</xdr:row>
      <xdr:rowOff>0</xdr:rowOff>
    </xdr:to>
    <xdr:graphicFrame macro="">
      <xdr:nvGraphicFramePr>
        <xdr:cNvPr id="102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144780</xdr:colOff>
      <xdr:row>61</xdr:row>
      <xdr:rowOff>7620</xdr:rowOff>
    </xdr:from>
    <xdr:to>
      <xdr:col>17</xdr:col>
      <xdr:colOff>365760</xdr:colOff>
      <xdr:row>79</xdr:row>
      <xdr:rowOff>0</xdr:rowOff>
    </xdr:to>
    <xdr:graphicFrame macro="">
      <xdr:nvGraphicFramePr>
        <xdr:cNvPr id="103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144780</xdr:colOff>
      <xdr:row>80</xdr:row>
      <xdr:rowOff>7620</xdr:rowOff>
    </xdr:from>
    <xdr:to>
      <xdr:col>17</xdr:col>
      <xdr:colOff>312420</xdr:colOff>
      <xdr:row>98</xdr:row>
      <xdr:rowOff>0</xdr:rowOff>
    </xdr:to>
    <xdr:graphicFrame macro="">
      <xdr:nvGraphicFramePr>
        <xdr:cNvPr id="1034"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144780</xdr:colOff>
      <xdr:row>99</xdr:row>
      <xdr:rowOff>7620</xdr:rowOff>
    </xdr:from>
    <xdr:to>
      <xdr:col>17</xdr:col>
      <xdr:colOff>335280</xdr:colOff>
      <xdr:row>117</xdr:row>
      <xdr:rowOff>0</xdr:rowOff>
    </xdr:to>
    <xdr:graphicFrame macro="">
      <xdr:nvGraphicFramePr>
        <xdr:cNvPr id="1035"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144780</xdr:colOff>
      <xdr:row>118</xdr:row>
      <xdr:rowOff>7620</xdr:rowOff>
    </xdr:from>
    <xdr:to>
      <xdr:col>17</xdr:col>
      <xdr:colOff>335280</xdr:colOff>
      <xdr:row>136</xdr:row>
      <xdr:rowOff>0</xdr:rowOff>
    </xdr:to>
    <xdr:graphicFrame macro="">
      <xdr:nvGraphicFramePr>
        <xdr:cNvPr id="1036"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144780</xdr:colOff>
      <xdr:row>137</xdr:row>
      <xdr:rowOff>7620</xdr:rowOff>
    </xdr:from>
    <xdr:to>
      <xdr:col>17</xdr:col>
      <xdr:colOff>365760</xdr:colOff>
      <xdr:row>155</xdr:row>
      <xdr:rowOff>0</xdr:rowOff>
    </xdr:to>
    <xdr:graphicFrame macro="">
      <xdr:nvGraphicFramePr>
        <xdr:cNvPr id="1037"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144780</xdr:colOff>
      <xdr:row>61</xdr:row>
      <xdr:rowOff>0</xdr:rowOff>
    </xdr:from>
    <xdr:to>
      <xdr:col>16</xdr:col>
      <xdr:colOff>502920</xdr:colOff>
      <xdr:row>61</xdr:row>
      <xdr:rowOff>0</xdr:rowOff>
    </xdr:to>
    <xdr:graphicFrame macro="">
      <xdr:nvGraphicFramePr>
        <xdr:cNvPr id="1038"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144780</xdr:colOff>
      <xdr:row>41</xdr:row>
      <xdr:rowOff>0</xdr:rowOff>
    </xdr:from>
    <xdr:to>
      <xdr:col>16</xdr:col>
      <xdr:colOff>502920</xdr:colOff>
      <xdr:row>41</xdr:row>
      <xdr:rowOff>0</xdr:rowOff>
    </xdr:to>
    <xdr:graphicFrame macro="">
      <xdr:nvGraphicFramePr>
        <xdr:cNvPr id="1039"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144780</xdr:colOff>
      <xdr:row>156</xdr:row>
      <xdr:rowOff>7620</xdr:rowOff>
    </xdr:from>
    <xdr:to>
      <xdr:col>17</xdr:col>
      <xdr:colOff>449580</xdr:colOff>
      <xdr:row>174</xdr:row>
      <xdr:rowOff>0</xdr:rowOff>
    </xdr:to>
    <xdr:graphicFrame macro="">
      <xdr:nvGraphicFramePr>
        <xdr:cNvPr id="1040"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144780</xdr:colOff>
      <xdr:row>79</xdr:row>
      <xdr:rowOff>0</xdr:rowOff>
    </xdr:from>
    <xdr:to>
      <xdr:col>16</xdr:col>
      <xdr:colOff>502920</xdr:colOff>
      <xdr:row>79</xdr:row>
      <xdr:rowOff>0</xdr:rowOff>
    </xdr:to>
    <xdr:graphicFrame macro="">
      <xdr:nvGraphicFramePr>
        <xdr:cNvPr id="1041"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121920</xdr:colOff>
      <xdr:row>175</xdr:row>
      <xdr:rowOff>15240</xdr:rowOff>
    </xdr:from>
    <xdr:to>
      <xdr:col>17</xdr:col>
      <xdr:colOff>480060</xdr:colOff>
      <xdr:row>192</xdr:row>
      <xdr:rowOff>175260</xdr:rowOff>
    </xdr:to>
    <xdr:graphicFrame macro="">
      <xdr:nvGraphicFramePr>
        <xdr:cNvPr id="1043"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175260</xdr:colOff>
      <xdr:row>194</xdr:row>
      <xdr:rowOff>53340</xdr:rowOff>
    </xdr:from>
    <xdr:to>
      <xdr:col>17</xdr:col>
      <xdr:colOff>541020</xdr:colOff>
      <xdr:row>212</xdr:row>
      <xdr:rowOff>45720</xdr:rowOff>
    </xdr:to>
    <xdr:graphicFrame macro="">
      <xdr:nvGraphicFramePr>
        <xdr:cNvPr id="1044"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213360</xdr:colOff>
      <xdr:row>213</xdr:row>
      <xdr:rowOff>30480</xdr:rowOff>
    </xdr:from>
    <xdr:to>
      <xdr:col>17</xdr:col>
      <xdr:colOff>411480</xdr:colOff>
      <xdr:row>231</xdr:row>
      <xdr:rowOff>7620</xdr:rowOff>
    </xdr:to>
    <xdr:graphicFrame macro="">
      <xdr:nvGraphicFramePr>
        <xdr:cNvPr id="1046"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xecutives/2001/2001%20Financials/2001%20IdleAire%20Financials%204_3%20(mcrabtree%20v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Graphs"/>
      <sheetName val="Cap Equip"/>
      <sheetName val="Facility"/>
      <sheetName val="Grants"/>
      <sheetName val="Value"/>
      <sheetName val="Ancillary Services"/>
      <sheetName val="Emission Credits"/>
      <sheetName val="Fixed Assets"/>
      <sheetName val="Assumptions"/>
      <sheetName val="Financing"/>
      <sheetName val="Units"/>
      <sheetName val="Numbers"/>
      <sheetName val="Summary"/>
      <sheetName val="Marketing"/>
      <sheetName val="Employees"/>
      <sheetName val="Unit Costs-3"/>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3">
          <cell r="G23">
            <v>629.06385750000004</v>
          </cell>
          <cell r="I23">
            <v>30826.71985939375</v>
          </cell>
          <cell r="K23">
            <v>276495.00997943821</v>
          </cell>
          <cell r="M23">
            <v>984524.71625799115</v>
          </cell>
          <cell r="O23">
            <v>2279725.2970778234</v>
          </cell>
        </row>
        <row r="41">
          <cell r="G41">
            <v>0.68778800999999989</v>
          </cell>
          <cell r="I41">
            <v>784.88594121000006</v>
          </cell>
          <cell r="K41">
            <v>5951.1163067999996</v>
          </cell>
          <cell r="M41">
            <v>19970.2352808</v>
          </cell>
          <cell r="O41">
            <v>45372.048775199997</v>
          </cell>
        </row>
        <row r="44">
          <cell r="H44">
            <v>0.34478978959149892</v>
          </cell>
          <cell r="J44">
            <v>0.47042862067266716</v>
          </cell>
          <cell r="L44">
            <v>0.61981013437922627</v>
          </cell>
          <cell r="N44">
            <v>0.63290909182230515</v>
          </cell>
          <cell r="P44">
            <v>0.62892201297791972</v>
          </cell>
        </row>
        <row r="53">
          <cell r="H53">
            <v>9.328225208572459E-2</v>
          </cell>
          <cell r="J53">
            <v>2.7392361902862334E-2</v>
          </cell>
          <cell r="L53">
            <v>3.7252028529433378E-4</v>
          </cell>
          <cell r="N53">
            <v>1.0461900884671056E-4</v>
          </cell>
          <cell r="P53">
            <v>4.5180882158050578E-5</v>
          </cell>
        </row>
        <row r="56">
          <cell r="E56">
            <v>2.75116</v>
          </cell>
          <cell r="G56">
            <v>18.365629999999999</v>
          </cell>
          <cell r="I56">
            <v>68.574000000000012</v>
          </cell>
          <cell r="K56">
            <v>252.64000000000001</v>
          </cell>
          <cell r="M56">
            <v>745</v>
          </cell>
          <cell r="O56">
            <v>1624.3199999999997</v>
          </cell>
        </row>
        <row r="59">
          <cell r="E59">
            <v>-723.48496</v>
          </cell>
          <cell r="G59">
            <v>-5568.9647795161263</v>
          </cell>
          <cell r="I59">
            <v>2974.3424985870315</v>
          </cell>
          <cell r="K59">
            <v>147724.49474975542</v>
          </cell>
          <cell r="M59">
            <v>569085.05451832514</v>
          </cell>
          <cell r="O59">
            <v>1322226.8091426131</v>
          </cell>
        </row>
        <row r="61">
          <cell r="G61">
            <v>333.76657913043476</v>
          </cell>
          <cell r="I61">
            <v>7768.4766456521738</v>
          </cell>
          <cell r="K61">
            <v>49077.660960869565</v>
          </cell>
          <cell r="M61">
            <v>154924.70624347823</v>
          </cell>
          <cell r="O61">
            <v>337537.23935608694</v>
          </cell>
        </row>
        <row r="63">
          <cell r="G63">
            <v>-90.382360725412326</v>
          </cell>
          <cell r="I63">
            <v>76.177419097170059</v>
          </cell>
          <cell r="K63">
            <v>2437.2180391179627</v>
          </cell>
          <cell r="M63">
            <v>8797.8581603165949</v>
          </cell>
          <cell r="O63">
            <v>9355.5914542501978</v>
          </cell>
        </row>
        <row r="64">
          <cell r="G64">
            <v>-5812.348997921149</v>
          </cell>
          <cell r="I64">
            <v>-4870.3115661623124</v>
          </cell>
          <cell r="K64">
            <v>96209.615749767894</v>
          </cell>
          <cell r="M64">
            <v>405362.49011453032</v>
          </cell>
          <cell r="O64">
            <v>975333.97833227599</v>
          </cell>
        </row>
        <row r="65">
          <cell r="E65">
            <v>0</v>
          </cell>
        </row>
        <row r="67">
          <cell r="G67">
            <v>-5812.348997921149</v>
          </cell>
          <cell r="I67">
            <v>-2028.746192793621</v>
          </cell>
          <cell r="K67">
            <v>74833.032143408738</v>
          </cell>
          <cell r="M67">
            <v>297550.24690947577</v>
          </cell>
          <cell r="O67">
            <v>705602.03245410812</v>
          </cell>
        </row>
        <row r="110">
          <cell r="G110">
            <v>2.4102554300000003</v>
          </cell>
          <cell r="I110">
            <v>64.579181941499996</v>
          </cell>
          <cell r="K110">
            <v>511.29254506227835</v>
          </cell>
          <cell r="M110">
            <v>1524.3456220383384</v>
          </cell>
          <cell r="O110">
            <v>3397.342691801714</v>
          </cell>
          <cell r="U110">
            <v>0</v>
          </cell>
          <cell r="V110">
            <v>0</v>
          </cell>
          <cell r="W110">
            <v>0.106</v>
          </cell>
          <cell r="X110">
            <v>2.4102554300000003</v>
          </cell>
          <cell r="Y110">
            <v>4.7585923235750007</v>
          </cell>
          <cell r="Z110">
            <v>14.615108516249999</v>
          </cell>
          <cell r="AA110">
            <v>39.353996656249997</v>
          </cell>
          <cell r="AB110">
            <v>64.579181941499996</v>
          </cell>
          <cell r="AC110">
            <v>106.9508626141392</v>
          </cell>
          <cell r="AD110">
            <v>178.14650793203521</v>
          </cell>
          <cell r="AE110">
            <v>309.59012430929999</v>
          </cell>
          <cell r="AF110">
            <v>511.29254506227835</v>
          </cell>
          <cell r="AG110">
            <v>563.57780477353924</v>
          </cell>
          <cell r="AH110">
            <v>756.2748076818192</v>
          </cell>
          <cell r="AI110">
            <v>1093.9006305382679</v>
          </cell>
          <cell r="AJ110">
            <v>1524.3456220383384</v>
          </cell>
          <cell r="AK110">
            <v>1450.6382602828512</v>
          </cell>
          <cell r="AL110">
            <v>1790.3240391238987</v>
          </cell>
          <cell r="AM110">
            <v>2480.5961971028278</v>
          </cell>
          <cell r="AN110">
            <v>3397.342691801714</v>
          </cell>
        </row>
        <row r="113">
          <cell r="G113">
            <v>-6.9074694152385021</v>
          </cell>
          <cell r="I113">
            <v>17.501673487325416</v>
          </cell>
          <cell r="K113">
            <v>289.72053118354921</v>
          </cell>
          <cell r="M113">
            <v>911.42577466445925</v>
          </cell>
          <cell r="O113">
            <v>2036.0178229275682</v>
          </cell>
          <cell r="S113">
            <v>-0.76561701000000004</v>
          </cell>
          <cell r="T113">
            <v>-1.4048378699999997</v>
          </cell>
          <cell r="U113">
            <v>-4.6115547599999998</v>
          </cell>
          <cell r="V113">
            <v>-8.1994823999999973</v>
          </cell>
          <cell r="W113">
            <v>-5.1783238035749992</v>
          </cell>
          <cell r="X113">
            <v>-6.9074694152385021</v>
          </cell>
          <cell r="Y113">
            <v>-10.728825424206407</v>
          </cell>
          <cell r="Z113">
            <v>-3.9692039710234353</v>
          </cell>
          <cell r="AA113">
            <v>9.0937259022525616</v>
          </cell>
          <cell r="AB113">
            <v>17.501673487325416</v>
          </cell>
          <cell r="AC113">
            <v>42.215734300600744</v>
          </cell>
          <cell r="AD113">
            <v>86.720750463091292</v>
          </cell>
          <cell r="AE113">
            <v>172.24096305178043</v>
          </cell>
          <cell r="AF113">
            <v>289.72053118354921</v>
          </cell>
          <cell r="AG113">
            <v>290.16783739217851</v>
          </cell>
          <cell r="AH113">
            <v>415.65339563005699</v>
          </cell>
          <cell r="AI113">
            <v>659.09321038660562</v>
          </cell>
          <cell r="AJ113">
            <v>911.42577466445925</v>
          </cell>
          <cell r="AK113">
            <v>767.31138879625382</v>
          </cell>
          <cell r="AL113">
            <v>985.05681645279572</v>
          </cell>
          <cell r="AM113">
            <v>1500.521208393832</v>
          </cell>
          <cell r="AN113">
            <v>2036.0178229275682</v>
          </cell>
        </row>
        <row r="117">
          <cell r="S117">
            <v>31.820600000000002</v>
          </cell>
          <cell r="T117">
            <v>33.736499999999999</v>
          </cell>
          <cell r="U117">
            <v>72</v>
          </cell>
          <cell r="V117">
            <v>90.544599999999988</v>
          </cell>
          <cell r="W117">
            <v>92.5</v>
          </cell>
          <cell r="X117">
            <v>110</v>
          </cell>
          <cell r="Y117">
            <v>250</v>
          </cell>
          <cell r="Z117">
            <v>263.07195329249998</v>
          </cell>
          <cell r="AA117">
            <v>393.53996656249996</v>
          </cell>
          <cell r="AB117">
            <v>427.16783964374997</v>
          </cell>
          <cell r="AC117">
            <v>641.70517568483524</v>
          </cell>
          <cell r="AD117">
            <v>1068.8790475922112</v>
          </cell>
          <cell r="AE117">
            <v>1857.5407458558</v>
          </cell>
          <cell r="AF117">
            <v>3067.7552703736701</v>
          </cell>
          <cell r="AG117">
            <v>3381.4668286412352</v>
          </cell>
          <cell r="AH117">
            <v>4537.648846090915</v>
          </cell>
          <cell r="AI117">
            <v>6563.4037832296071</v>
          </cell>
          <cell r="AJ117">
            <v>9146.0737322300301</v>
          </cell>
          <cell r="AK117">
            <v>9146.0737322300301</v>
          </cell>
          <cell r="AL117">
            <v>10741.944234743392</v>
          </cell>
          <cell r="AM117">
            <v>14883.577182616966</v>
          </cell>
          <cell r="AN117">
            <v>20384.056150810284</v>
          </cell>
        </row>
        <row r="118">
          <cell r="E118">
            <v>40.520000000000003</v>
          </cell>
          <cell r="G118">
            <v>46.551674999999996</v>
          </cell>
          <cell r="I118">
            <v>59.247586363636358</v>
          </cell>
          <cell r="K118">
            <v>73.117447543506017</v>
          </cell>
          <cell r="M118">
            <v>75.397211328882861</v>
          </cell>
          <cell r="O118">
            <v>75.397211328882861</v>
          </cell>
          <cell r="S118">
            <v>38.200000000000003</v>
          </cell>
          <cell r="T118">
            <v>40.520000000000003</v>
          </cell>
          <cell r="U118">
            <v>45.179000000000002</v>
          </cell>
          <cell r="V118">
            <v>45.272299999999994</v>
          </cell>
          <cell r="W118">
            <v>46.551674999999996</v>
          </cell>
          <cell r="X118">
            <v>46.551674999999996</v>
          </cell>
          <cell r="Y118">
            <v>59.247586363636358</v>
          </cell>
          <cell r="Z118">
            <v>59.247586363636358</v>
          </cell>
          <cell r="AA118">
            <v>59.247586363636358</v>
          </cell>
          <cell r="AB118">
            <v>59.247586363636358</v>
          </cell>
          <cell r="AC118">
            <v>73.117447543506017</v>
          </cell>
          <cell r="AD118">
            <v>73.117447543506017</v>
          </cell>
          <cell r="AE118">
            <v>73.117447543506017</v>
          </cell>
          <cell r="AF118">
            <v>73.117447543506017</v>
          </cell>
          <cell r="AG118">
            <v>75.397211328882861</v>
          </cell>
          <cell r="AH118">
            <v>75.397211328882861</v>
          </cell>
          <cell r="AI118">
            <v>75.397211328882861</v>
          </cell>
          <cell r="AJ118">
            <v>75.397211328882861</v>
          </cell>
          <cell r="AK118">
            <v>75.397211328882861</v>
          </cell>
          <cell r="AL118">
            <v>75.397211328882861</v>
          </cell>
          <cell r="AM118">
            <v>75.397211328882861</v>
          </cell>
          <cell r="AN118">
            <v>75.397211328882861</v>
          </cell>
        </row>
        <row r="120">
          <cell r="E120">
            <v>42.365000000000002</v>
          </cell>
          <cell r="G120">
            <v>48.901674999999997</v>
          </cell>
          <cell r="I120">
            <v>63.394917409090908</v>
          </cell>
          <cell r="K120">
            <v>78.966843346986508</v>
          </cell>
          <cell r="M120">
            <v>82.182960348482325</v>
          </cell>
          <cell r="O120">
            <v>82.93693246177115</v>
          </cell>
        </row>
        <row r="128">
          <cell r="S128">
            <v>1805</v>
          </cell>
          <cell r="T128">
            <v>250.5</v>
          </cell>
          <cell r="U128">
            <v>2180.8333299999999</v>
          </cell>
          <cell r="V128">
            <v>1669.8000000000002</v>
          </cell>
          <cell r="W128">
            <v>2558.75</v>
          </cell>
          <cell r="X128">
            <v>0</v>
          </cell>
          <cell r="Y128">
            <v>30000</v>
          </cell>
          <cell r="Z128">
            <v>0</v>
          </cell>
          <cell r="AA128">
            <v>0</v>
          </cell>
          <cell r="AB128">
            <v>0</v>
          </cell>
          <cell r="AC128">
            <v>100000</v>
          </cell>
          <cell r="AD128">
            <v>0</v>
          </cell>
          <cell r="AE128">
            <v>0</v>
          </cell>
          <cell r="AF128">
            <v>0</v>
          </cell>
          <cell r="AG128">
            <v>100000</v>
          </cell>
          <cell r="AH128">
            <v>0</v>
          </cell>
          <cell r="AI128">
            <v>0</v>
          </cell>
          <cell r="AJ128">
            <v>0</v>
          </cell>
          <cell r="AK128">
            <v>0</v>
          </cell>
          <cell r="AL128">
            <v>0</v>
          </cell>
          <cell r="AM128">
            <v>0</v>
          </cell>
          <cell r="AN128">
            <v>0</v>
          </cell>
        </row>
      </sheetData>
      <sheetData sheetId="13">
        <row r="53">
          <cell r="D53">
            <v>110</v>
          </cell>
          <cell r="E53">
            <v>427.16783964374997</v>
          </cell>
          <cell r="F53">
            <v>3067.7552703736701</v>
          </cell>
          <cell r="G53">
            <v>9146.0737322300301</v>
          </cell>
          <cell r="H53">
            <v>20384.056150810284</v>
          </cell>
        </row>
      </sheetData>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tabSelected="1" topLeftCell="A3" workbookViewId="0">
      <pane xSplit="5772" ySplit="600" topLeftCell="C1" activePane="bottomRight"/>
      <selection activeCell="O39" sqref="E39:O41"/>
      <selection pane="topRight" activeCell="I4" sqref="I1:I65536"/>
      <selection pane="bottomLeft" activeCell="A24" sqref="A24:IV24"/>
      <selection pane="bottomRight" activeCell="M12" sqref="M12"/>
    </sheetView>
  </sheetViews>
  <sheetFormatPr defaultRowHeight="13.8" x14ac:dyDescent="0.25"/>
  <cols>
    <col min="1" max="1" width="2.88671875" customWidth="1"/>
    <col min="2" max="2" width="48.109375" customWidth="1"/>
    <col min="3" max="3" width="10" customWidth="1"/>
    <col min="4" max="4" width="1.44140625" customWidth="1"/>
    <col min="5" max="5" width="9.6640625" bestFit="1" customWidth="1"/>
    <col min="6" max="6" width="1.44140625" customWidth="1"/>
    <col min="7" max="7" width="11.109375" customWidth="1"/>
    <col min="8" max="8" width="1.44140625" customWidth="1"/>
    <col min="9" max="9" width="11.6640625" customWidth="1"/>
    <col min="10" max="10" width="1.44140625" customWidth="1"/>
    <col min="11" max="11" width="11.5546875" customWidth="1"/>
    <col min="12" max="12" width="1.44140625" customWidth="1"/>
    <col min="13" max="13" width="12.109375" customWidth="1"/>
    <col min="14" max="14" width="1.44140625" customWidth="1"/>
    <col min="15" max="15" width="13.88671875" customWidth="1"/>
  </cols>
  <sheetData>
    <row r="1" spans="1:15" ht="22.8" x14ac:dyDescent="0.4">
      <c r="A1" s="249" t="s">
        <v>140</v>
      </c>
      <c r="B1" s="249"/>
      <c r="C1" s="249"/>
      <c r="D1" s="249"/>
      <c r="E1" s="249"/>
      <c r="F1" s="249"/>
      <c r="G1" s="249"/>
      <c r="H1" s="249"/>
      <c r="I1" s="249"/>
      <c r="J1" s="249"/>
      <c r="K1" s="249"/>
      <c r="L1" s="249"/>
      <c r="M1" s="249"/>
      <c r="N1" s="249"/>
      <c r="O1" s="249"/>
    </row>
    <row r="2" spans="1:15" ht="4.5" customHeight="1" x14ac:dyDescent="0.25">
      <c r="B2" s="39"/>
      <c r="C2" s="39"/>
      <c r="D2" s="39"/>
      <c r="E2" s="39"/>
      <c r="F2" s="39"/>
      <c r="G2" s="39"/>
      <c r="H2" s="39"/>
      <c r="I2" s="39"/>
      <c r="J2" s="39"/>
      <c r="K2" s="39"/>
      <c r="L2" s="39"/>
      <c r="M2" s="39"/>
      <c r="N2" s="39"/>
      <c r="O2" s="39"/>
    </row>
    <row r="3" spans="1:15" ht="15.6" x14ac:dyDescent="0.3">
      <c r="A3" s="54" t="s">
        <v>57</v>
      </c>
      <c r="B3" s="34"/>
      <c r="C3" s="34"/>
      <c r="D3" s="40"/>
      <c r="E3" s="43" t="s">
        <v>50</v>
      </c>
      <c r="F3" s="41"/>
      <c r="G3" s="43" t="s">
        <v>51</v>
      </c>
      <c r="H3" s="41"/>
      <c r="I3" s="43" t="s">
        <v>52</v>
      </c>
      <c r="J3" s="41"/>
      <c r="K3" s="43" t="s">
        <v>53</v>
      </c>
      <c r="L3" s="41"/>
      <c r="M3" s="43" t="s">
        <v>54</v>
      </c>
      <c r="N3" s="41"/>
      <c r="O3" s="43" t="s">
        <v>55</v>
      </c>
    </row>
    <row r="4" spans="1:15" ht="6.75" customHeight="1" thickBot="1" x14ac:dyDescent="0.3">
      <c r="A4" s="39"/>
      <c r="B4" s="39"/>
      <c r="C4" s="39"/>
      <c r="D4" s="39"/>
      <c r="E4" s="39"/>
      <c r="F4" s="39"/>
      <c r="G4" s="39"/>
      <c r="H4" s="39"/>
      <c r="I4" s="39"/>
      <c r="J4" s="39"/>
      <c r="K4" s="39"/>
      <c r="L4" s="39"/>
      <c r="M4" s="39"/>
      <c r="N4" s="39"/>
      <c r="O4" s="39"/>
    </row>
    <row r="5" spans="1:15" ht="18" thickBot="1" x14ac:dyDescent="0.35">
      <c r="A5" s="20" t="s">
        <v>146</v>
      </c>
      <c r="B5" s="17"/>
      <c r="C5" s="17"/>
      <c r="D5" s="17"/>
      <c r="E5" s="17"/>
      <c r="F5" s="17"/>
      <c r="G5" s="17"/>
      <c r="H5" s="17"/>
      <c r="I5" s="17"/>
      <c r="J5" s="17"/>
      <c r="K5" s="17"/>
      <c r="L5" s="17"/>
      <c r="M5" s="17"/>
      <c r="N5" s="17"/>
      <c r="O5" s="19"/>
    </row>
    <row r="6" spans="1:15" ht="15.6" x14ac:dyDescent="0.3">
      <c r="A6" s="131" t="s">
        <v>18</v>
      </c>
      <c r="B6" s="34"/>
      <c r="C6" s="162"/>
      <c r="D6" s="54"/>
      <c r="E6" s="138"/>
      <c r="F6" s="132"/>
      <c r="G6" s="138">
        <f>[1]Numbers!G23/1000</f>
        <v>0.62906385750000005</v>
      </c>
      <c r="H6" s="132"/>
      <c r="I6" s="138">
        <f>[1]Numbers!I23/1000</f>
        <v>30.826719859393751</v>
      </c>
      <c r="J6" s="132"/>
      <c r="K6" s="138">
        <f>[1]Numbers!K23/1000</f>
        <v>276.49500997943824</v>
      </c>
      <c r="L6" s="132"/>
      <c r="M6" s="138">
        <f>[1]Numbers!M23/1000</f>
        <v>984.52471625799114</v>
      </c>
      <c r="N6" s="132"/>
      <c r="O6" s="145">
        <f>[1]Numbers!O23/1000</f>
        <v>2279.7252970778236</v>
      </c>
    </row>
    <row r="7" spans="1:15" x14ac:dyDescent="0.25">
      <c r="A7" s="133"/>
      <c r="B7" s="127" t="s">
        <v>37</v>
      </c>
      <c r="C7" s="163"/>
      <c r="D7" s="128"/>
      <c r="E7" s="139"/>
      <c r="F7" s="128"/>
      <c r="G7" s="139"/>
      <c r="H7" s="128"/>
      <c r="I7" s="144">
        <f>(I6-G6)/G6</f>
        <v>48.004118567396397</v>
      </c>
      <c r="J7" s="128"/>
      <c r="K7" s="144">
        <f>(K6-I6)/I6</f>
        <v>7.9693295699504203</v>
      </c>
      <c r="L7" s="128"/>
      <c r="M7" s="144">
        <f>(M6-K6)/K6</f>
        <v>2.5607323124247561</v>
      </c>
      <c r="N7" s="128"/>
      <c r="O7" s="146">
        <f>(O6-M6)/M6</f>
        <v>1.3155592332335411</v>
      </c>
    </row>
    <row r="8" spans="1:15" ht="7.5" customHeight="1" x14ac:dyDescent="0.25">
      <c r="A8" s="133"/>
      <c r="B8" s="128"/>
      <c r="C8" s="160"/>
      <c r="D8" s="128"/>
      <c r="E8" s="139"/>
      <c r="F8" s="128"/>
      <c r="G8" s="139"/>
      <c r="H8" s="128"/>
      <c r="I8" s="139"/>
      <c r="J8" s="128"/>
      <c r="K8" s="139"/>
      <c r="L8" s="128"/>
      <c r="M8" s="139"/>
      <c r="N8" s="128"/>
      <c r="O8" s="147"/>
    </row>
    <row r="9" spans="1:15" ht="15.6" x14ac:dyDescent="0.3">
      <c r="A9" s="133"/>
      <c r="B9" s="134" t="s">
        <v>56</v>
      </c>
      <c r="C9" s="164"/>
      <c r="D9" s="128"/>
      <c r="E9" s="139"/>
      <c r="F9" s="128"/>
      <c r="G9" s="143">
        <f>[1]Numbers!H44</f>
        <v>0.34478978959149892</v>
      </c>
      <c r="H9" s="128"/>
      <c r="I9" s="143">
        <f>[1]Numbers!J44</f>
        <v>0.47042862067266716</v>
      </c>
      <c r="J9" s="128"/>
      <c r="K9" s="143">
        <f>[1]Numbers!L44</f>
        <v>0.61981013437922627</v>
      </c>
      <c r="L9" s="128"/>
      <c r="M9" s="143">
        <f>[1]Numbers!N44</f>
        <v>0.63290909182230515</v>
      </c>
      <c r="N9" s="128"/>
      <c r="O9" s="148">
        <f>[1]Numbers!P44</f>
        <v>0.62892201297791972</v>
      </c>
    </row>
    <row r="10" spans="1:15" ht="6.75" customHeight="1" x14ac:dyDescent="0.25">
      <c r="A10" s="133"/>
      <c r="B10" s="128"/>
      <c r="C10" s="160"/>
      <c r="D10" s="128"/>
      <c r="E10" s="139"/>
      <c r="F10" s="128"/>
      <c r="G10" s="139"/>
      <c r="H10" s="128"/>
      <c r="I10" s="139"/>
      <c r="J10" s="128"/>
      <c r="K10" s="139"/>
      <c r="L10" s="128"/>
      <c r="M10" s="139"/>
      <c r="N10" s="128"/>
      <c r="O10" s="147"/>
    </row>
    <row r="11" spans="1:15" ht="15.6" x14ac:dyDescent="0.3">
      <c r="A11" s="136" t="s">
        <v>21</v>
      </c>
      <c r="B11" s="137"/>
      <c r="C11" s="165"/>
      <c r="D11" s="137"/>
      <c r="E11" s="140">
        <f>[1]Numbers!E59/1000</f>
        <v>-0.72348495999999995</v>
      </c>
      <c r="F11" s="137"/>
      <c r="G11" s="140">
        <f>[1]Numbers!G59/1000</f>
        <v>-5.5689647795161266</v>
      </c>
      <c r="H11" s="137"/>
      <c r="I11" s="140">
        <f>[1]Numbers!I59/1000</f>
        <v>2.9743424985870317</v>
      </c>
      <c r="J11" s="137"/>
      <c r="K11" s="140">
        <f>[1]Numbers!K59/1000</f>
        <v>147.72449474975542</v>
      </c>
      <c r="L11" s="137"/>
      <c r="M11" s="140">
        <f>[1]Numbers!M59/1000</f>
        <v>569.08505451832514</v>
      </c>
      <c r="N11" s="137"/>
      <c r="O11" s="149">
        <f>[1]Numbers!O59/1000</f>
        <v>1322.2268091426131</v>
      </c>
    </row>
    <row r="12" spans="1:15" ht="15.6" x14ac:dyDescent="0.3">
      <c r="A12" s="133"/>
      <c r="B12" s="127" t="s">
        <v>141</v>
      </c>
      <c r="C12" s="164"/>
      <c r="D12" s="128"/>
      <c r="E12" s="141" t="s">
        <v>137</v>
      </c>
      <c r="F12" s="135"/>
      <c r="G12" s="144">
        <f>[1]Numbers!H53</f>
        <v>9.328225208572459E-2</v>
      </c>
      <c r="H12" s="135"/>
      <c r="I12" s="144">
        <f>[1]Numbers!J53</f>
        <v>2.7392361902862334E-2</v>
      </c>
      <c r="J12" s="135"/>
      <c r="K12" s="144">
        <f>[1]Numbers!L53</f>
        <v>3.7252028529433378E-4</v>
      </c>
      <c r="L12" s="135"/>
      <c r="M12" s="144">
        <f>[1]Numbers!N53</f>
        <v>1.0461900884671056E-4</v>
      </c>
      <c r="N12" s="135"/>
      <c r="O12" s="146">
        <f>[1]Numbers!P53</f>
        <v>4.5180882158050578E-5</v>
      </c>
    </row>
    <row r="13" spans="1:15" ht="6" customHeight="1" x14ac:dyDescent="0.25">
      <c r="A13" s="133"/>
      <c r="B13" s="128"/>
      <c r="C13" s="160"/>
      <c r="D13" s="128"/>
      <c r="E13" s="139"/>
      <c r="F13" s="128"/>
      <c r="G13" s="139"/>
      <c r="H13" s="128"/>
      <c r="I13" s="139"/>
      <c r="J13" s="128"/>
      <c r="K13" s="139"/>
      <c r="L13" s="128"/>
      <c r="M13" s="139"/>
      <c r="N13" s="128"/>
      <c r="O13" s="147"/>
    </row>
    <row r="14" spans="1:15" ht="15.6" x14ac:dyDescent="0.3">
      <c r="A14" s="136" t="s">
        <v>20</v>
      </c>
      <c r="B14" s="137"/>
      <c r="C14" s="165"/>
      <c r="D14" s="137"/>
      <c r="E14" s="140">
        <f>E15*E19</f>
        <v>0</v>
      </c>
      <c r="F14" s="137"/>
      <c r="G14" s="140">
        <f>G15*G19</f>
        <v>-5.8123489979211493</v>
      </c>
      <c r="H14" s="137"/>
      <c r="I14" s="140">
        <f>I15*I19</f>
        <v>-2.028746192793621</v>
      </c>
      <c r="J14" s="137"/>
      <c r="K14" s="140">
        <f>K15*K19</f>
        <v>74.833032143408744</v>
      </c>
      <c r="L14" s="137"/>
      <c r="M14" s="140">
        <f>M15*M19</f>
        <v>297.55024690947579</v>
      </c>
      <c r="N14" s="137"/>
      <c r="O14" s="149">
        <f>O15*O19</f>
        <v>705.6020324541081</v>
      </c>
    </row>
    <row r="15" spans="1:15" x14ac:dyDescent="0.25">
      <c r="A15" s="133"/>
      <c r="B15" s="127" t="s">
        <v>58</v>
      </c>
      <c r="C15" s="186"/>
      <c r="D15" s="135"/>
      <c r="E15" s="187">
        <f>[1]Numbers!E65/1000/E19</f>
        <v>0</v>
      </c>
      <c r="F15" s="135"/>
      <c r="G15" s="187">
        <f>[1]Numbers!G67/1000/G19</f>
        <v>-0.11885787139031842</v>
      </c>
      <c r="H15" s="135"/>
      <c r="I15" s="187">
        <f>[1]Numbers!I67/1000/I19</f>
        <v>-3.2001716789092249E-2</v>
      </c>
      <c r="J15" s="135"/>
      <c r="K15" s="187">
        <f>[1]Numbers!K67/1000/K19</f>
        <v>0.94765130492283356</v>
      </c>
      <c r="L15" s="135"/>
      <c r="M15" s="187">
        <f>[1]Numbers!M67/1000/M19</f>
        <v>3.6205832163719407</v>
      </c>
      <c r="N15" s="135"/>
      <c r="O15" s="188">
        <f>[1]Numbers!O67/1000/O19</f>
        <v>8.5076938766616124</v>
      </c>
    </row>
    <row r="16" spans="1:15" x14ac:dyDescent="0.25">
      <c r="A16" s="133"/>
      <c r="B16" s="127" t="s">
        <v>59</v>
      </c>
      <c r="C16" s="163"/>
      <c r="D16" s="128"/>
      <c r="E16" s="139"/>
      <c r="F16" s="128"/>
      <c r="G16" s="144"/>
      <c r="H16" s="128"/>
      <c r="I16" s="144"/>
      <c r="J16" s="128"/>
      <c r="K16" s="144">
        <f>(K15-I15)/I15</f>
        <v>-30.612514577525399</v>
      </c>
      <c r="L16" s="128"/>
      <c r="M16" s="144">
        <f>(M15-K15)/K15</f>
        <v>2.8205859028144973</v>
      </c>
      <c r="N16" s="128"/>
      <c r="O16" s="146">
        <f>(O15-M15)/M15</f>
        <v>1.3498131014336618</v>
      </c>
    </row>
    <row r="17" spans="1:15" ht="15.6" x14ac:dyDescent="0.3">
      <c r="A17" s="131"/>
      <c r="B17" s="127" t="s">
        <v>60</v>
      </c>
      <c r="C17" s="163"/>
      <c r="D17" s="54"/>
      <c r="E17" s="189">
        <f>[1]Numbers!E118</f>
        <v>40.520000000000003</v>
      </c>
      <c r="F17" s="135"/>
      <c r="G17" s="189">
        <f>[1]Numbers!G118</f>
        <v>46.551674999999996</v>
      </c>
      <c r="H17" s="135"/>
      <c r="I17" s="189">
        <f>[1]Numbers!I118</f>
        <v>59.247586363636358</v>
      </c>
      <c r="J17" s="135"/>
      <c r="K17" s="189">
        <f>[1]Numbers!K118</f>
        <v>73.117447543506017</v>
      </c>
      <c r="L17" s="135"/>
      <c r="M17" s="189">
        <f>[1]Numbers!M118</f>
        <v>75.397211328882861</v>
      </c>
      <c r="N17" s="135"/>
      <c r="O17" s="190">
        <f>[1]Numbers!O118</f>
        <v>75.397211328882861</v>
      </c>
    </row>
    <row r="18" spans="1:15" ht="15.6" x14ac:dyDescent="0.3">
      <c r="A18" s="131"/>
      <c r="B18" s="127"/>
      <c r="C18" s="163"/>
      <c r="D18" s="54"/>
      <c r="E18" s="144">
        <f>E17/E19</f>
        <v>0.95644989968134075</v>
      </c>
      <c r="F18" s="135"/>
      <c r="G18" s="144">
        <f>G17/G19</f>
        <v>0.95194438636304379</v>
      </c>
      <c r="H18" s="135"/>
      <c r="I18" s="144">
        <f>I17/I19</f>
        <v>0.93457943925233633</v>
      </c>
      <c r="J18" s="135"/>
      <c r="K18" s="144">
        <f>K17/K19</f>
        <v>0.92592592592592582</v>
      </c>
      <c r="L18" s="135"/>
      <c r="M18" s="144">
        <f>M17/M19</f>
        <v>0.9174311926605504</v>
      </c>
      <c r="N18" s="135"/>
      <c r="O18" s="146">
        <f>O17/O19</f>
        <v>0.90909090909090906</v>
      </c>
    </row>
    <row r="19" spans="1:15" ht="15.6" x14ac:dyDescent="0.3">
      <c r="A19" s="131"/>
      <c r="B19" s="127" t="s">
        <v>184</v>
      </c>
      <c r="C19" s="163"/>
      <c r="D19" s="54"/>
      <c r="E19" s="189">
        <f>[1]Numbers!E120</f>
        <v>42.365000000000002</v>
      </c>
      <c r="F19" s="135"/>
      <c r="G19" s="189">
        <f>[1]Numbers!G120</f>
        <v>48.901674999999997</v>
      </c>
      <c r="H19" s="135"/>
      <c r="I19" s="189">
        <f>[1]Numbers!I120</f>
        <v>63.394917409090908</v>
      </c>
      <c r="J19" s="135"/>
      <c r="K19" s="189">
        <f>[1]Numbers!K120</f>
        <v>78.966843346986508</v>
      </c>
      <c r="L19" s="135"/>
      <c r="M19" s="189">
        <f>[1]Numbers!M120</f>
        <v>82.182960348482325</v>
      </c>
      <c r="N19" s="135"/>
      <c r="O19" s="190">
        <f>[1]Numbers!O120</f>
        <v>82.93693246177115</v>
      </c>
    </row>
    <row r="20" spans="1:15" ht="8.25" customHeight="1" thickBot="1" x14ac:dyDescent="0.3">
      <c r="A20" s="129"/>
      <c r="B20" s="84"/>
      <c r="C20" s="166"/>
      <c r="D20" s="84"/>
      <c r="E20" s="142"/>
      <c r="F20" s="84"/>
      <c r="G20" s="142"/>
      <c r="H20" s="84"/>
      <c r="I20" s="142"/>
      <c r="J20" s="84"/>
      <c r="K20" s="142"/>
      <c r="L20" s="84"/>
      <c r="M20" s="142"/>
      <c r="N20" s="84"/>
      <c r="O20" s="94"/>
    </row>
    <row r="21" spans="1:15" ht="11.25" customHeight="1" thickBot="1" x14ac:dyDescent="0.3"/>
    <row r="22" spans="1:15" ht="18" thickBot="1" x14ac:dyDescent="0.35">
      <c r="A22" s="20" t="s">
        <v>145</v>
      </c>
      <c r="B22" s="17"/>
      <c r="C22" s="17"/>
      <c r="D22" s="17"/>
      <c r="E22" s="17"/>
      <c r="F22" s="17"/>
      <c r="G22" s="17"/>
      <c r="H22" s="17"/>
      <c r="I22" s="17"/>
      <c r="J22" s="17"/>
      <c r="K22" s="17"/>
      <c r="L22" s="17"/>
      <c r="M22" s="17"/>
      <c r="N22" s="17"/>
      <c r="O22" s="19"/>
    </row>
    <row r="23" spans="1:15" ht="15.6" x14ac:dyDescent="0.3">
      <c r="A23" s="124"/>
      <c r="B23" s="34" t="s">
        <v>186</v>
      </c>
      <c r="C23" s="176"/>
      <c r="D23" s="75"/>
      <c r="E23" s="159"/>
      <c r="F23" s="232"/>
      <c r="G23" s="155">
        <f>[1]Numbers!$G$110</f>
        <v>2.4102554300000003</v>
      </c>
      <c r="H23" s="232"/>
      <c r="I23" s="155">
        <f>[1]Numbers!$I$110</f>
        <v>64.579181941499996</v>
      </c>
      <c r="J23" s="232"/>
      <c r="K23" s="155">
        <f>[1]Numbers!$K$110</f>
        <v>511.29254506227835</v>
      </c>
      <c r="L23" s="232"/>
      <c r="M23" s="155">
        <f>[1]Numbers!$M$110</f>
        <v>1524.3456220383384</v>
      </c>
      <c r="N23" s="232"/>
      <c r="O23" s="150">
        <f>[1]Numbers!$O$110</f>
        <v>3397.342691801714</v>
      </c>
    </row>
    <row r="24" spans="1:15" ht="15.6" x14ac:dyDescent="0.3">
      <c r="A24" s="124"/>
      <c r="B24" s="34" t="s">
        <v>187</v>
      </c>
      <c r="C24" s="177">
        <f>CTA!N35</f>
        <v>0</v>
      </c>
      <c r="D24" s="34"/>
      <c r="E24" s="156"/>
      <c r="F24" s="125"/>
      <c r="G24" s="157">
        <f>[1]Numbers!$G$113</f>
        <v>-6.9074694152385021</v>
      </c>
      <c r="H24" s="125"/>
      <c r="I24" s="157">
        <f>[1]Numbers!$I$113</f>
        <v>17.501673487325416</v>
      </c>
      <c r="J24" s="125"/>
      <c r="K24" s="157">
        <f>[1]Numbers!$K$113</f>
        <v>289.72053118354921</v>
      </c>
      <c r="L24" s="125"/>
      <c r="M24" s="157">
        <f>[1]Numbers!$M$113</f>
        <v>911.42577466445925</v>
      </c>
      <c r="N24" s="125"/>
      <c r="O24" s="152">
        <f>[1]Numbers!$O$113</f>
        <v>2036.0178229275682</v>
      </c>
    </row>
    <row r="25" spans="1:15" ht="6" customHeight="1" x14ac:dyDescent="0.25">
      <c r="A25" s="124"/>
      <c r="B25" s="34"/>
      <c r="C25" s="57"/>
      <c r="D25" s="34"/>
      <c r="E25" s="156"/>
      <c r="F25" s="125"/>
      <c r="G25" s="156"/>
      <c r="H25" s="125"/>
      <c r="I25" s="156"/>
      <c r="J25" s="125"/>
      <c r="K25" s="156"/>
      <c r="L25" s="125"/>
      <c r="M25" s="156"/>
      <c r="N25" s="125"/>
      <c r="O25" s="151"/>
    </row>
    <row r="26" spans="1:15" ht="15.6" x14ac:dyDescent="0.3">
      <c r="A26" s="173"/>
      <c r="B26" s="174" t="s">
        <v>188</v>
      </c>
      <c r="C26" s="226">
        <f>CTA!N36</f>
        <v>13.545255443724265</v>
      </c>
      <c r="D26" s="174"/>
      <c r="E26" s="227"/>
      <c r="F26" s="228"/>
      <c r="G26" s="202">
        <f>$C26*G6</f>
        <v>8.5208306402520613</v>
      </c>
      <c r="H26" s="228"/>
      <c r="I26" s="202">
        <f>$C26*I6</f>
        <v>417.55579498761614</v>
      </c>
      <c r="J26" s="228"/>
      <c r="K26" s="202">
        <f>$C26*K6</f>
        <v>3745.195539086581</v>
      </c>
      <c r="L26" s="228"/>
      <c r="M26" s="202">
        <f>$C26*M6</f>
        <v>13335.638772374643</v>
      </c>
      <c r="N26" s="228"/>
      <c r="O26" s="203">
        <f>$C26*O6</f>
        <v>30879.461490439309</v>
      </c>
    </row>
    <row r="27" spans="1:15" ht="6" customHeight="1" x14ac:dyDescent="0.25">
      <c r="A27" s="124"/>
      <c r="B27" s="34"/>
      <c r="C27" s="57"/>
      <c r="D27" s="34"/>
      <c r="E27" s="156"/>
      <c r="F27" s="125"/>
      <c r="G27" s="156"/>
      <c r="H27" s="125"/>
      <c r="I27" s="156"/>
      <c r="J27" s="125"/>
      <c r="K27" s="156"/>
      <c r="L27" s="125"/>
      <c r="M27" s="156"/>
      <c r="N27" s="125"/>
      <c r="O27" s="151"/>
    </row>
    <row r="28" spans="1:15" ht="15.6" x14ac:dyDescent="0.3">
      <c r="A28" s="124"/>
      <c r="B28" s="34" t="s">
        <v>189</v>
      </c>
      <c r="C28" s="177">
        <f>CTA!P36</f>
        <v>21.741815628583034</v>
      </c>
      <c r="D28" s="34"/>
      <c r="E28" s="156"/>
      <c r="F28" s="125"/>
      <c r="G28" s="157"/>
      <c r="H28" s="125"/>
      <c r="I28" s="157">
        <f>$C28*I11</f>
        <v>64.667606220538232</v>
      </c>
      <c r="J28" s="125"/>
      <c r="K28" s="157">
        <f>$C28*K11</f>
        <v>3211.7987286747648</v>
      </c>
      <c r="L28" s="125"/>
      <c r="M28" s="157">
        <f>$C28*M11</f>
        <v>12372.94233231955</v>
      </c>
      <c r="N28" s="125"/>
      <c r="O28" s="152">
        <f>$C28*O11</f>
        <v>28747.611503548342</v>
      </c>
    </row>
    <row r="29" spans="1:15" ht="6" customHeight="1" x14ac:dyDescent="0.25">
      <c r="A29" s="124"/>
      <c r="B29" s="34"/>
      <c r="C29" s="57"/>
      <c r="D29" s="34"/>
      <c r="E29" s="156"/>
      <c r="F29" s="125"/>
      <c r="G29" s="156"/>
      <c r="H29" s="125"/>
      <c r="I29" s="156"/>
      <c r="J29" s="125"/>
      <c r="K29" s="156"/>
      <c r="L29" s="125"/>
      <c r="M29" s="156"/>
      <c r="N29" s="125"/>
      <c r="O29" s="151"/>
    </row>
    <row r="30" spans="1:15" ht="15.6" x14ac:dyDescent="0.3">
      <c r="A30" s="173"/>
      <c r="B30" s="174" t="s">
        <v>190</v>
      </c>
      <c r="C30" s="226">
        <f>CPA!Q29</f>
        <v>0</v>
      </c>
      <c r="D30" s="174"/>
      <c r="E30" s="227"/>
      <c r="F30" s="228"/>
      <c r="G30" s="202">
        <f>$C30*G6</f>
        <v>0</v>
      </c>
      <c r="H30" s="228"/>
      <c r="I30" s="202">
        <f>$C30*I6</f>
        <v>0</v>
      </c>
      <c r="J30" s="228"/>
      <c r="K30" s="202">
        <f>$C30*K6</f>
        <v>0</v>
      </c>
      <c r="L30" s="228"/>
      <c r="M30" s="202">
        <f>$C30*M6</f>
        <v>0</v>
      </c>
      <c r="N30" s="228"/>
      <c r="O30" s="203">
        <f>$C30*O6</f>
        <v>0</v>
      </c>
    </row>
    <row r="31" spans="1:15" ht="6" customHeight="1" x14ac:dyDescent="0.25">
      <c r="A31" s="124"/>
      <c r="B31" s="34"/>
      <c r="C31" s="57"/>
      <c r="D31" s="34"/>
      <c r="E31" s="156"/>
      <c r="F31" s="125"/>
      <c r="G31" s="156"/>
      <c r="H31" s="125"/>
      <c r="I31" s="156"/>
      <c r="J31" s="125"/>
      <c r="K31" s="156"/>
      <c r="L31" s="125"/>
      <c r="M31" s="156"/>
      <c r="N31" s="125"/>
      <c r="O31" s="151"/>
    </row>
    <row r="32" spans="1:15" ht="15.6" x14ac:dyDescent="0.3">
      <c r="A32" s="124"/>
      <c r="B32" s="34" t="s">
        <v>191</v>
      </c>
      <c r="C32" s="177">
        <f>CPA!T29</f>
        <v>28.153294020796508</v>
      </c>
      <c r="D32" s="34"/>
      <c r="E32" s="156"/>
      <c r="F32" s="125"/>
      <c r="G32" s="157">
        <f>IF(G11&gt;0,$C32*G11,0)</f>
        <v>0</v>
      </c>
      <c r="H32" s="125"/>
      <c r="I32" s="157">
        <f>$C32*I11</f>
        <v>83.73753888127122</v>
      </c>
      <c r="J32" s="125"/>
      <c r="K32" s="157">
        <f>$C32*K11</f>
        <v>4158.9311347634748</v>
      </c>
      <c r="L32" s="125"/>
      <c r="M32" s="157">
        <f>$C32*M11</f>
        <v>16021.618862695417</v>
      </c>
      <c r="N32" s="125"/>
      <c r="O32" s="152">
        <f>$C32*O11</f>
        <v>37225.040119971578</v>
      </c>
    </row>
    <row r="33" spans="1:15" ht="6" customHeight="1" x14ac:dyDescent="0.25">
      <c r="A33" s="124"/>
      <c r="B33" s="34"/>
      <c r="C33" s="57"/>
      <c r="D33" s="34"/>
      <c r="E33" s="156"/>
      <c r="F33" s="125"/>
      <c r="G33" s="156"/>
      <c r="H33" s="125"/>
      <c r="I33" s="156"/>
      <c r="J33" s="125"/>
      <c r="K33" s="156"/>
      <c r="L33" s="125"/>
      <c r="M33" s="156"/>
      <c r="N33" s="125"/>
      <c r="O33" s="151"/>
    </row>
    <row r="34" spans="1:15" ht="15.6" x14ac:dyDescent="0.3">
      <c r="A34" s="124"/>
      <c r="B34" s="34" t="s">
        <v>192</v>
      </c>
      <c r="C34" s="177">
        <f>CPA!M29</f>
        <v>0</v>
      </c>
      <c r="D34" s="34"/>
      <c r="E34" s="156"/>
      <c r="F34" s="125"/>
      <c r="G34" s="157">
        <f>IF(G13&gt;0,$C34*G13,0)</f>
        <v>0</v>
      </c>
      <c r="H34" s="125"/>
      <c r="I34" s="157">
        <f>$C34*I14</f>
        <v>0</v>
      </c>
      <c r="J34" s="125"/>
      <c r="K34" s="157">
        <f>$C34*K14</f>
        <v>0</v>
      </c>
      <c r="L34" s="125"/>
      <c r="M34" s="157">
        <f>$C34*M14</f>
        <v>0</v>
      </c>
      <c r="N34" s="125"/>
      <c r="O34" s="152">
        <f>$C34*O14</f>
        <v>0</v>
      </c>
    </row>
    <row r="35" spans="1:15" ht="6.75" customHeight="1" x14ac:dyDescent="0.25">
      <c r="A35" s="124"/>
      <c r="B35" s="34"/>
      <c r="C35" s="57"/>
      <c r="D35" s="34"/>
      <c r="E35" s="156"/>
      <c r="F35" s="125"/>
      <c r="G35" s="156"/>
      <c r="H35" s="125"/>
      <c r="I35" s="156"/>
      <c r="J35" s="125"/>
      <c r="K35" s="156"/>
      <c r="L35" s="125"/>
      <c r="M35" s="156"/>
      <c r="N35" s="125"/>
      <c r="O35" s="151"/>
    </row>
    <row r="36" spans="1:15" ht="15.6" x14ac:dyDescent="0.3">
      <c r="A36" s="173"/>
      <c r="B36" s="174" t="s">
        <v>110</v>
      </c>
      <c r="C36" s="175"/>
      <c r="D36" s="174"/>
      <c r="E36" s="202">
        <f>DCF!F44</f>
        <v>2175.7222728218935</v>
      </c>
      <c r="F36" s="228"/>
      <c r="G36" s="202">
        <f>DCF!H44</f>
        <v>2604.6877521672654</v>
      </c>
      <c r="H36" s="228"/>
      <c r="I36" s="202">
        <f>DCF!J44</f>
        <v>3098.6263851811223</v>
      </c>
      <c r="J36" s="228"/>
      <c r="K36" s="202">
        <f>DCF!L44</f>
        <v>3595.7849032944637</v>
      </c>
      <c r="L36" s="228"/>
      <c r="M36" s="202">
        <f>DCF!N44</f>
        <v>3266.8478812454086</v>
      </c>
      <c r="N36" s="228"/>
      <c r="O36" s="203"/>
    </row>
    <row r="37" spans="1:15" ht="6.75" customHeight="1" x14ac:dyDescent="0.25">
      <c r="A37" s="124"/>
      <c r="B37" s="34"/>
      <c r="C37" s="57"/>
      <c r="D37" s="34"/>
      <c r="E37" s="156"/>
      <c r="F37" s="125"/>
      <c r="G37" s="156"/>
      <c r="H37" s="125"/>
      <c r="I37" s="156"/>
      <c r="J37" s="125"/>
      <c r="K37" s="156"/>
      <c r="L37" s="125"/>
      <c r="M37" s="156"/>
      <c r="N37" s="125"/>
      <c r="O37" s="151"/>
    </row>
    <row r="38" spans="1:15" ht="15.6" x14ac:dyDescent="0.3">
      <c r="A38" s="124"/>
      <c r="B38" s="34" t="s">
        <v>111</v>
      </c>
      <c r="C38" s="57"/>
      <c r="D38" s="34"/>
      <c r="E38" s="157">
        <f>DCF!F48</f>
        <v>1403.1175692427721</v>
      </c>
      <c r="F38" s="125"/>
      <c r="G38" s="157">
        <f>DCF!H48</f>
        <v>1817.8738647965977</v>
      </c>
      <c r="H38" s="125"/>
      <c r="I38" s="157">
        <f>DCF!J48</f>
        <v>2336.237106815981</v>
      </c>
      <c r="J38" s="125"/>
      <c r="K38" s="157">
        <f>DCF!L48</f>
        <v>2914.5414799378923</v>
      </c>
      <c r="L38" s="125"/>
      <c r="M38" s="157">
        <f>DCF!N48</f>
        <v>2610.907305738765</v>
      </c>
      <c r="N38" s="125"/>
      <c r="O38" s="152"/>
    </row>
    <row r="39" spans="1:15" ht="7.5" customHeight="1" x14ac:dyDescent="0.25">
      <c r="A39" s="210"/>
      <c r="B39" s="211"/>
      <c r="C39" s="212"/>
      <c r="D39" s="211"/>
      <c r="E39" s="213"/>
      <c r="F39" s="211"/>
      <c r="G39" s="213"/>
      <c r="H39" s="211"/>
      <c r="I39" s="213"/>
      <c r="J39" s="211"/>
      <c r="K39" s="213"/>
      <c r="L39" s="211"/>
      <c r="M39" s="213"/>
      <c r="N39" s="211"/>
      <c r="O39" s="214"/>
    </row>
    <row r="40" spans="1:15" ht="15.6" x14ac:dyDescent="0.3">
      <c r="A40" s="173"/>
      <c r="B40" s="174" t="s">
        <v>142</v>
      </c>
      <c r="C40" s="175"/>
      <c r="D40" s="174"/>
      <c r="E40" s="202">
        <f>AVERAGE(E26:E38)</f>
        <v>1789.4199210323327</v>
      </c>
      <c r="F40" s="174"/>
      <c r="G40" s="202">
        <f>AVERAGE(G26:G38)</f>
        <v>738.51374126735254</v>
      </c>
      <c r="H40" s="174"/>
      <c r="I40" s="202">
        <f>AVERAGE(I26:I38)</f>
        <v>857.26063315521844</v>
      </c>
      <c r="J40" s="174"/>
      <c r="K40" s="202">
        <f>AVERAGE(K26:K38)</f>
        <v>2518.0359693938817</v>
      </c>
      <c r="L40" s="174"/>
      <c r="M40" s="202">
        <f>AVERAGE(M26:M38)</f>
        <v>6801.1364506248265</v>
      </c>
      <c r="N40" s="174"/>
      <c r="O40" s="203">
        <f>AVERAGE(O26:O38)</f>
        <v>19370.422622791848</v>
      </c>
    </row>
    <row r="41" spans="1:15" ht="15.6" x14ac:dyDescent="0.3">
      <c r="A41" s="124"/>
      <c r="B41" s="34" t="s">
        <v>143</v>
      </c>
      <c r="C41" s="57"/>
      <c r="D41" s="34"/>
      <c r="E41" s="157">
        <f>MEDIAN(E26:E38)</f>
        <v>1789.4199210323327</v>
      </c>
      <c r="F41" s="34"/>
      <c r="G41" s="157">
        <f>MEDIAN(G26:G38)</f>
        <v>4.2604153201260306</v>
      </c>
      <c r="H41" s="34"/>
      <c r="I41" s="157">
        <f>MEDIAN(I26:I38)</f>
        <v>83.73753888127122</v>
      </c>
      <c r="J41" s="34"/>
      <c r="K41" s="157">
        <f>MEDIAN(K26:K38)</f>
        <v>3211.7987286747648</v>
      </c>
      <c r="L41" s="34"/>
      <c r="M41" s="157">
        <f>MEDIAN(M26:M38)</f>
        <v>3266.8478812454086</v>
      </c>
      <c r="N41" s="34"/>
      <c r="O41" s="152">
        <f>MEDIAN(O26:O38)</f>
        <v>28747.611503548342</v>
      </c>
    </row>
    <row r="42" spans="1:15" ht="7.5" customHeight="1" thickBot="1" x14ac:dyDescent="0.3">
      <c r="A42" s="173"/>
      <c r="B42" s="174"/>
      <c r="C42" s="175"/>
      <c r="D42" s="174"/>
      <c r="E42" s="233"/>
      <c r="F42" s="174"/>
      <c r="G42" s="233"/>
      <c r="H42" s="174"/>
      <c r="I42" s="233"/>
      <c r="J42" s="174"/>
      <c r="K42" s="233"/>
      <c r="L42" s="174"/>
      <c r="M42" s="233"/>
      <c r="N42" s="174"/>
      <c r="O42" s="234"/>
    </row>
    <row r="43" spans="1:15" ht="15.6" x14ac:dyDescent="0.3">
      <c r="A43" s="74" t="s">
        <v>144</v>
      </c>
      <c r="B43" s="235"/>
      <c r="C43" s="162"/>
      <c r="D43" s="75"/>
      <c r="E43" s="236">
        <f>0.8333*E19</f>
        <v>35.302754500000006</v>
      </c>
      <c r="F43" s="235"/>
      <c r="G43" s="236">
        <f>[1]Summary!$D$53</f>
        <v>110</v>
      </c>
      <c r="H43" s="235"/>
      <c r="I43" s="236">
        <f>[1]Summary!$E$53</f>
        <v>427.16783964374997</v>
      </c>
      <c r="J43" s="235"/>
      <c r="K43" s="236">
        <f>[1]Summary!$F$53</f>
        <v>3067.7552703736701</v>
      </c>
      <c r="L43" s="235"/>
      <c r="M43" s="236">
        <f>[1]Summary!$G$53</f>
        <v>9146.0737322300301</v>
      </c>
      <c r="N43" s="235"/>
      <c r="O43" s="237">
        <f>[1]Summary!$H$53</f>
        <v>20384.056150810284</v>
      </c>
    </row>
    <row r="44" spans="1:15" ht="14.4" x14ac:dyDescent="0.3">
      <c r="A44" s="124"/>
      <c r="B44" s="127" t="s">
        <v>185</v>
      </c>
      <c r="C44" s="160"/>
      <c r="D44" s="128"/>
      <c r="E44" s="158">
        <f>E43/E19</f>
        <v>0.83330000000000015</v>
      </c>
      <c r="F44" s="126"/>
      <c r="G44" s="158">
        <f>G43/G19</f>
        <v>2.2494117021553968</v>
      </c>
      <c r="H44" s="126"/>
      <c r="I44" s="158">
        <f>I43/I19</f>
        <v>6.7382032677353658</v>
      </c>
      <c r="J44" s="126"/>
      <c r="K44" s="158">
        <f>K43/K19</f>
        <v>38.848650146666145</v>
      </c>
      <c r="L44" s="126"/>
      <c r="M44" s="158">
        <f>M43/M19</f>
        <v>111.28917349104633</v>
      </c>
      <c r="N44" s="126"/>
      <c r="O44" s="153">
        <f>O43/O19</f>
        <v>245.77779218210279</v>
      </c>
    </row>
    <row r="45" spans="1:15" ht="14.4" x14ac:dyDescent="0.3">
      <c r="A45" s="173"/>
      <c r="B45" s="238" t="s">
        <v>193</v>
      </c>
      <c r="C45" s="165"/>
      <c r="D45" s="137"/>
      <c r="E45" s="247" t="s">
        <v>137</v>
      </c>
      <c r="F45" s="239"/>
      <c r="G45" s="240">
        <f>G43/G6</f>
        <v>174.86301062845592</v>
      </c>
      <c r="H45" s="239"/>
      <c r="I45" s="240">
        <f>I43/I6</f>
        <v>13.857064312782541</v>
      </c>
      <c r="J45" s="239"/>
      <c r="K45" s="240">
        <f>K43/K6</f>
        <v>11.095156005172774</v>
      </c>
      <c r="L45" s="239"/>
      <c r="M45" s="240">
        <f>M43/M6</f>
        <v>9.2898365893673862</v>
      </c>
      <c r="N45" s="239"/>
      <c r="O45" s="241">
        <f>O43/O6</f>
        <v>8.9414528043965582</v>
      </c>
    </row>
    <row r="46" spans="1:15" ht="14.4" x14ac:dyDescent="0.3">
      <c r="A46" s="124"/>
      <c r="B46" s="127" t="s">
        <v>196</v>
      </c>
      <c r="C46" s="160"/>
      <c r="D46" s="128"/>
      <c r="E46" s="248" t="s">
        <v>137</v>
      </c>
      <c r="F46" s="222"/>
      <c r="G46" s="223">
        <f>G43/G23</f>
        <v>45.638316433540815</v>
      </c>
      <c r="H46" s="222"/>
      <c r="I46" s="223">
        <f>I43/I23</f>
        <v>6.6146368969292029</v>
      </c>
      <c r="J46" s="222"/>
      <c r="K46" s="223">
        <f>K43/K23</f>
        <v>6</v>
      </c>
      <c r="L46" s="222"/>
      <c r="M46" s="223">
        <f>M43/M23</f>
        <v>6</v>
      </c>
      <c r="N46" s="222"/>
      <c r="O46" s="224">
        <f>O43/O23</f>
        <v>6</v>
      </c>
    </row>
    <row r="47" spans="1:15" ht="14.4" x14ac:dyDescent="0.3">
      <c r="A47" s="173"/>
      <c r="B47" s="238" t="s">
        <v>194</v>
      </c>
      <c r="C47" s="165"/>
      <c r="D47" s="137"/>
      <c r="E47" s="247" t="s">
        <v>137</v>
      </c>
      <c r="F47" s="239"/>
      <c r="G47" s="247" t="s">
        <v>137</v>
      </c>
      <c r="H47" s="239"/>
      <c r="I47" s="240">
        <f>I43/I11</f>
        <v>143.61756920955708</v>
      </c>
      <c r="J47" s="239"/>
      <c r="K47" s="240">
        <f>K43/K11</f>
        <v>20.766733882356021</v>
      </c>
      <c r="L47" s="239"/>
      <c r="M47" s="240">
        <f>M43/M11</f>
        <v>16.071540905201399</v>
      </c>
      <c r="N47" s="239"/>
      <c r="O47" s="242">
        <f>O43/O11</f>
        <v>15.416459574003158</v>
      </c>
    </row>
    <row r="48" spans="1:15" ht="14.4" x14ac:dyDescent="0.3">
      <c r="A48" s="124"/>
      <c r="B48" s="127" t="s">
        <v>197</v>
      </c>
      <c r="C48" s="160"/>
      <c r="D48" s="128"/>
      <c r="E48" s="248" t="s">
        <v>137</v>
      </c>
      <c r="F48" s="222"/>
      <c r="G48" s="248" t="s">
        <v>137</v>
      </c>
      <c r="H48" s="222"/>
      <c r="I48" s="223">
        <f>I43/I24</f>
        <v>24.407256823360452</v>
      </c>
      <c r="J48" s="222"/>
      <c r="K48" s="223">
        <f>K43/K24</f>
        <v>10.588670598667818</v>
      </c>
      <c r="L48" s="222"/>
      <c r="M48" s="223">
        <f>M43/M24</f>
        <v>10.034907928291966</v>
      </c>
      <c r="N48" s="222"/>
      <c r="O48" s="224">
        <f>O43/O24</f>
        <v>10.011727756636368</v>
      </c>
    </row>
    <row r="49" spans="1:15" ht="14.4" x14ac:dyDescent="0.3">
      <c r="A49" s="173"/>
      <c r="B49" s="238" t="s">
        <v>195</v>
      </c>
      <c r="C49" s="165"/>
      <c r="D49" s="137"/>
      <c r="E49" s="247" t="s">
        <v>137</v>
      </c>
      <c r="F49" s="239"/>
      <c r="G49" s="247" t="s">
        <v>137</v>
      </c>
      <c r="H49" s="239"/>
      <c r="I49" s="247" t="s">
        <v>137</v>
      </c>
      <c r="J49" s="239"/>
      <c r="K49" s="243">
        <f>K43/K14</f>
        <v>40.994667495160108</v>
      </c>
      <c r="L49" s="239"/>
      <c r="M49" s="243">
        <f>M43/M14</f>
        <v>30.737913435550116</v>
      </c>
      <c r="N49" s="239"/>
      <c r="O49" s="242">
        <f>O43/O14</f>
        <v>28.888885254360503</v>
      </c>
    </row>
    <row r="50" spans="1:15" ht="5.25" customHeight="1" thickBot="1" x14ac:dyDescent="0.3">
      <c r="A50" s="129"/>
      <c r="B50" s="130"/>
      <c r="C50" s="161"/>
      <c r="D50" s="84"/>
      <c r="E50" s="142"/>
      <c r="F50" s="84"/>
      <c r="G50" s="142"/>
      <c r="H50" s="84"/>
      <c r="I50" s="142"/>
      <c r="J50" s="84"/>
      <c r="K50" s="142"/>
      <c r="L50" s="84"/>
      <c r="M50" s="142"/>
      <c r="N50" s="84"/>
      <c r="O50" s="154"/>
    </row>
  </sheetData>
  <mergeCells count="1">
    <mergeCell ref="A1:O1"/>
  </mergeCells>
  <phoneticPr fontId="0" type="noConversion"/>
  <printOptions horizontalCentered="1"/>
  <pageMargins left="0.5" right="0.5" top="0.65" bottom="0.75" header="0.5" footer="0.5"/>
  <pageSetup scale="85" orientation="landscape" verticalDpi="1200" r:id="rId1"/>
  <headerFooter alignWithMargins="0">
    <oddFooter>&amp;L&amp;"Times New Roman,Bold Italic"IdleAire Technologies Corporation Confidential&amp;R&amp;D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6"/>
  <sheetViews>
    <sheetView workbookViewId="0">
      <selection sqref="A1:G65536"/>
    </sheetView>
  </sheetViews>
  <sheetFormatPr defaultRowHeight="13.8" x14ac:dyDescent="0.25"/>
  <cols>
    <col min="1" max="1" width="3.109375" customWidth="1"/>
    <col min="2" max="2" width="43.109375" customWidth="1"/>
    <col min="3" max="3" width="15.44140625" customWidth="1"/>
    <col min="4" max="4" width="9.33203125" customWidth="1"/>
    <col min="5" max="5" width="2.5546875" customWidth="1"/>
    <col min="6" max="6" width="14.33203125" customWidth="1"/>
  </cols>
  <sheetData>
    <row r="2" spans="1:7" ht="22.8" x14ac:dyDescent="0.4">
      <c r="A2" s="262" t="s">
        <v>204</v>
      </c>
      <c r="B2" s="262"/>
      <c r="C2" s="262"/>
      <c r="D2" s="262"/>
      <c r="E2" s="262"/>
      <c r="F2" s="262"/>
      <c r="G2" s="262"/>
    </row>
    <row r="4" spans="1:7" ht="15.6" x14ac:dyDescent="0.3">
      <c r="C4" s="263" t="s">
        <v>114</v>
      </c>
      <c r="D4" s="263"/>
      <c r="E4" s="95"/>
      <c r="F4" s="263" t="s">
        <v>115</v>
      </c>
      <c r="G4" s="263"/>
    </row>
    <row r="5" spans="1:7" ht="15.6" x14ac:dyDescent="0.3">
      <c r="A5" s="2" t="s">
        <v>131</v>
      </c>
      <c r="C5" s="116"/>
      <c r="D5" s="116"/>
      <c r="E5" s="95"/>
      <c r="F5" s="116"/>
      <c r="G5" s="116"/>
    </row>
    <row r="6" spans="1:7" ht="15.6" x14ac:dyDescent="0.3">
      <c r="B6" s="96" t="s">
        <v>133</v>
      </c>
      <c r="C6" s="105">
        <f>AVERAGE(Overview!E36:E38)*1000000</f>
        <v>1789419921.0323327</v>
      </c>
      <c r="D6" s="97"/>
      <c r="E6" s="97"/>
    </row>
    <row r="7" spans="1:7" ht="15.6" x14ac:dyDescent="0.3">
      <c r="B7" s="96" t="s">
        <v>82</v>
      </c>
      <c r="C7" s="105"/>
      <c r="D7" s="97"/>
      <c r="E7" s="97"/>
    </row>
    <row r="8" spans="1:7" ht="15.6" x14ac:dyDescent="0.3">
      <c r="B8" s="96" t="s">
        <v>62</v>
      </c>
      <c r="C8" s="106"/>
      <c r="D8" s="98"/>
      <c r="E8" s="98"/>
    </row>
    <row r="9" spans="1:7" ht="15.6" x14ac:dyDescent="0.3">
      <c r="B9" s="108" t="s">
        <v>116</v>
      </c>
      <c r="C9" s="107">
        <f>2*125900000</f>
        <v>251800000</v>
      </c>
      <c r="D9" s="97"/>
      <c r="E9" s="97"/>
    </row>
    <row r="10" spans="1:7" ht="15.6" x14ac:dyDescent="0.3">
      <c r="B10" s="96"/>
      <c r="C10" s="105"/>
      <c r="D10" s="97"/>
      <c r="E10" s="97"/>
    </row>
    <row r="11" spans="1:7" ht="15.6" x14ac:dyDescent="0.3">
      <c r="B11" s="96" t="s">
        <v>48</v>
      </c>
      <c r="C11" s="115">
        <v>0.25</v>
      </c>
      <c r="D11" s="99"/>
      <c r="E11" s="99"/>
    </row>
    <row r="12" spans="1:7" ht="15.6" x14ac:dyDescent="0.3">
      <c r="B12" s="96" t="s">
        <v>117</v>
      </c>
      <c r="F12" s="106">
        <v>10000000</v>
      </c>
    </row>
    <row r="13" spans="1:7" ht="15.6" x14ac:dyDescent="0.3">
      <c r="B13" s="96" t="s">
        <v>118</v>
      </c>
      <c r="C13" s="107">
        <f>C9*(1-C11)</f>
        <v>188850000</v>
      </c>
      <c r="D13" s="100"/>
      <c r="E13" s="100"/>
      <c r="F13" s="107">
        <f>F12+C13</f>
        <v>198850000</v>
      </c>
    </row>
    <row r="14" spans="1:7" ht="15.6" x14ac:dyDescent="0.3">
      <c r="B14" s="96"/>
      <c r="C14" s="107"/>
      <c r="D14" s="100"/>
      <c r="E14" s="100"/>
      <c r="F14" s="107"/>
    </row>
    <row r="15" spans="1:7" ht="15.6" x14ac:dyDescent="0.3">
      <c r="A15" s="2" t="s">
        <v>128</v>
      </c>
      <c r="B15" s="96"/>
      <c r="C15" s="100"/>
      <c r="D15" s="100"/>
      <c r="E15" s="100"/>
      <c r="F15" s="100"/>
    </row>
    <row r="16" spans="1:7" ht="15.6" x14ac:dyDescent="0.3">
      <c r="B16" s="96" t="s">
        <v>122</v>
      </c>
      <c r="C16" s="112">
        <v>36000000</v>
      </c>
      <c r="D16" s="110">
        <f t="shared" ref="D16:D21" si="0">C16/$C$25</f>
        <v>0.76089667445881226</v>
      </c>
      <c r="E16" s="100"/>
      <c r="F16" s="112">
        <f>C16</f>
        <v>36000000</v>
      </c>
      <c r="G16" s="110">
        <f t="shared" ref="G16:G25" si="1">F16/$F$25</f>
        <v>0.72263181781014174</v>
      </c>
    </row>
    <row r="17" spans="2:7" ht="15.6" x14ac:dyDescent="0.3">
      <c r="B17" s="96" t="s">
        <v>123</v>
      </c>
      <c r="C17" s="112">
        <v>3410000</v>
      </c>
      <c r="D17" s="110">
        <f t="shared" si="0"/>
        <v>7.2073823886237495E-2</v>
      </c>
      <c r="E17" s="100"/>
      <c r="F17" s="112">
        <f>C17</f>
        <v>3410000</v>
      </c>
      <c r="G17" s="110">
        <f t="shared" si="1"/>
        <v>6.8449291631460643E-2</v>
      </c>
    </row>
    <row r="18" spans="2:7" ht="15.6" x14ac:dyDescent="0.3">
      <c r="B18" s="96" t="s">
        <v>124</v>
      </c>
      <c r="C18" s="112">
        <v>1110000</v>
      </c>
      <c r="D18" s="110">
        <f t="shared" si="0"/>
        <v>2.3460980795813376E-2</v>
      </c>
      <c r="E18" s="100"/>
      <c r="F18" s="112">
        <f>C18</f>
        <v>1110000</v>
      </c>
      <c r="G18" s="110">
        <f t="shared" si="1"/>
        <v>2.2281147715812702E-2</v>
      </c>
    </row>
    <row r="19" spans="2:7" ht="15.6" x14ac:dyDescent="0.3">
      <c r="B19" s="96" t="s">
        <v>125</v>
      </c>
      <c r="C19" s="112">
        <v>4527600</v>
      </c>
      <c r="D19" s="110">
        <f t="shared" si="0"/>
        <v>9.5695438424436619E-2</v>
      </c>
      <c r="E19" s="100"/>
      <c r="F19" s="112">
        <f>C19</f>
        <v>4527600</v>
      </c>
      <c r="G19" s="110">
        <f t="shared" si="1"/>
        <v>9.0882994953255497E-2</v>
      </c>
    </row>
    <row r="20" spans="2:7" ht="15.6" x14ac:dyDescent="0.3">
      <c r="B20" s="96" t="s">
        <v>126</v>
      </c>
      <c r="C20" s="112"/>
      <c r="D20" s="110">
        <f t="shared" si="0"/>
        <v>0</v>
      </c>
      <c r="E20" s="100"/>
      <c r="F20" s="112">
        <f>F12/C26</f>
        <v>2505300.5030447445</v>
      </c>
      <c r="G20" s="110">
        <f t="shared" si="1"/>
        <v>5.0289162685441285E-2</v>
      </c>
    </row>
    <row r="21" spans="2:7" ht="15.6" x14ac:dyDescent="0.3">
      <c r="B21" s="96" t="s">
        <v>127</v>
      </c>
      <c r="C21" s="112"/>
      <c r="D21" s="110">
        <f t="shared" si="0"/>
        <v>0</v>
      </c>
      <c r="E21" s="100"/>
      <c r="F21" s="112"/>
      <c r="G21" s="110">
        <f t="shared" si="1"/>
        <v>0</v>
      </c>
    </row>
    <row r="22" spans="2:7" ht="15.6" x14ac:dyDescent="0.3">
      <c r="B22" s="108" t="s">
        <v>129</v>
      </c>
      <c r="C22" s="113">
        <f>SUM(C16:C21)</f>
        <v>45047600</v>
      </c>
      <c r="D22" s="110">
        <f>C22/$C$25</f>
        <v>0.95212691756529977</v>
      </c>
      <c r="E22" s="101"/>
      <c r="F22" s="113">
        <f>SUM(F16:F21)</f>
        <v>47552900.503044747</v>
      </c>
      <c r="G22" s="110">
        <f t="shared" si="1"/>
        <v>0.9545344147961119</v>
      </c>
    </row>
    <row r="23" spans="2:7" ht="15.6" x14ac:dyDescent="0.3">
      <c r="B23" s="108" t="s">
        <v>130</v>
      </c>
      <c r="C23" s="113">
        <v>0</v>
      </c>
      <c r="D23" s="110">
        <f>C23/$C$25</f>
        <v>0</v>
      </c>
      <c r="E23" s="101"/>
      <c r="F23" s="113"/>
      <c r="G23" s="110">
        <f t="shared" si="1"/>
        <v>0</v>
      </c>
    </row>
    <row r="24" spans="2:7" ht="15.6" x14ac:dyDescent="0.3">
      <c r="B24" s="96" t="s">
        <v>119</v>
      </c>
      <c r="C24" s="114">
        <f>120000+2145000</f>
        <v>2265000</v>
      </c>
      <c r="D24" s="111">
        <f>C24/$C$25</f>
        <v>4.7873082434700273E-2</v>
      </c>
      <c r="E24" s="102"/>
      <c r="F24" s="114">
        <f>C24</f>
        <v>2265000</v>
      </c>
      <c r="G24" s="111">
        <f t="shared" si="1"/>
        <v>4.5465585203888083E-2</v>
      </c>
    </row>
    <row r="25" spans="2:7" ht="15.6" x14ac:dyDescent="0.3">
      <c r="B25" s="96" t="s">
        <v>120</v>
      </c>
      <c r="C25" s="113">
        <f>SUM(C22:C24)</f>
        <v>47312600</v>
      </c>
      <c r="D25" s="109">
        <f>C25/$C$25</f>
        <v>1</v>
      </c>
      <c r="E25" s="103"/>
      <c r="F25" s="113">
        <f>SUM(F22:F24)</f>
        <v>49817900.503044747</v>
      </c>
      <c r="G25" s="109">
        <f t="shared" si="1"/>
        <v>1</v>
      </c>
    </row>
    <row r="26" spans="2:7" ht="15.6" x14ac:dyDescent="0.3">
      <c r="B26" s="40" t="s">
        <v>121</v>
      </c>
      <c r="C26" s="104">
        <f>C13/C25</f>
        <v>3.9915371380985194</v>
      </c>
      <c r="D26" s="104"/>
      <c r="E26" s="104"/>
      <c r="F26" s="104">
        <f>F13/F25</f>
        <v>3.991537138098519</v>
      </c>
    </row>
  </sheetData>
  <mergeCells count="3">
    <mergeCell ref="A2:G2"/>
    <mergeCell ref="C4:D4"/>
    <mergeCell ref="F4:G4"/>
  </mergeCells>
  <phoneticPr fontId="0"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6"/>
  <sheetViews>
    <sheetView topLeftCell="A2" workbookViewId="0">
      <selection activeCell="A3" sqref="A1:G65536"/>
    </sheetView>
  </sheetViews>
  <sheetFormatPr defaultRowHeight="13.8" x14ac:dyDescent="0.25"/>
  <cols>
    <col min="1" max="1" width="3.109375" customWidth="1"/>
    <col min="2" max="2" width="43.109375" customWidth="1"/>
    <col min="3" max="3" width="15.44140625" customWidth="1"/>
    <col min="4" max="4" width="9.33203125" customWidth="1"/>
    <col min="5" max="5" width="2.5546875" customWidth="1"/>
    <col min="6" max="6" width="14.33203125" customWidth="1"/>
  </cols>
  <sheetData>
    <row r="2" spans="1:7" ht="22.8" x14ac:dyDescent="0.4">
      <c r="A2" s="262" t="s">
        <v>132</v>
      </c>
      <c r="B2" s="262"/>
      <c r="C2" s="262"/>
      <c r="D2" s="262"/>
      <c r="E2" s="262"/>
      <c r="F2" s="262"/>
      <c r="G2" s="262"/>
    </row>
    <row r="4" spans="1:7" ht="15.6" x14ac:dyDescent="0.3">
      <c r="C4" s="263" t="s">
        <v>114</v>
      </c>
      <c r="D4" s="263"/>
      <c r="E4" s="95"/>
      <c r="F4" s="263" t="s">
        <v>115</v>
      </c>
      <c r="G4" s="263"/>
    </row>
    <row r="5" spans="1:7" ht="15.6" x14ac:dyDescent="0.3">
      <c r="A5" s="2" t="s">
        <v>131</v>
      </c>
      <c r="C5" s="116"/>
      <c r="D5" s="116"/>
      <c r="E5" s="95"/>
      <c r="F5" s="116"/>
      <c r="G5" s="116"/>
    </row>
    <row r="6" spans="1:7" ht="15.6" x14ac:dyDescent="0.3">
      <c r="B6" s="96" t="s">
        <v>133</v>
      </c>
      <c r="C6" s="105">
        <f>AVERAGE(Overview!E36:E38)*1000000</f>
        <v>1789419921.0323327</v>
      </c>
      <c r="D6" s="97"/>
      <c r="E6" s="97"/>
    </row>
    <row r="7" spans="1:7" ht="15.6" x14ac:dyDescent="0.3">
      <c r="B7" s="96" t="s">
        <v>82</v>
      </c>
      <c r="C7" s="105"/>
      <c r="D7" s="97"/>
      <c r="E7" s="97"/>
    </row>
    <row r="8" spans="1:7" ht="15.6" x14ac:dyDescent="0.3">
      <c r="B8" s="96" t="s">
        <v>62</v>
      </c>
      <c r="C8" s="106"/>
      <c r="D8" s="98"/>
      <c r="E8" s="98"/>
    </row>
    <row r="9" spans="1:7" ht="15.6" x14ac:dyDescent="0.3">
      <c r="B9" s="108" t="s">
        <v>116</v>
      </c>
      <c r="C9" s="107">
        <v>125900000</v>
      </c>
      <c r="D9" s="97"/>
      <c r="E9" s="97"/>
    </row>
    <row r="10" spans="1:7" ht="15.6" x14ac:dyDescent="0.3">
      <c r="B10" s="96"/>
      <c r="C10" s="105"/>
      <c r="D10" s="97"/>
      <c r="E10" s="97"/>
    </row>
    <row r="11" spans="1:7" ht="15.6" x14ac:dyDescent="0.3">
      <c r="B11" s="96" t="s">
        <v>48</v>
      </c>
      <c r="C11" s="115">
        <v>0.25</v>
      </c>
      <c r="D11" s="99"/>
      <c r="E11" s="99"/>
    </row>
    <row r="12" spans="1:7" ht="15.6" x14ac:dyDescent="0.3">
      <c r="B12" s="96" t="s">
        <v>117</v>
      </c>
      <c r="F12" s="106">
        <v>10000000</v>
      </c>
    </row>
    <row r="13" spans="1:7" ht="15.6" x14ac:dyDescent="0.3">
      <c r="B13" s="96" t="s">
        <v>118</v>
      </c>
      <c r="C13" s="107">
        <f>C9*(1-C11)</f>
        <v>94425000</v>
      </c>
      <c r="D13" s="100"/>
      <c r="E13" s="100"/>
      <c r="F13" s="107">
        <f>F12+C13</f>
        <v>104425000</v>
      </c>
    </row>
    <row r="14" spans="1:7" ht="15.6" x14ac:dyDescent="0.3">
      <c r="B14" s="96"/>
      <c r="C14" s="107"/>
      <c r="D14" s="100"/>
      <c r="E14" s="100"/>
      <c r="F14" s="107"/>
    </row>
    <row r="15" spans="1:7" ht="15.6" x14ac:dyDescent="0.3">
      <c r="A15" s="2" t="s">
        <v>128</v>
      </c>
      <c r="B15" s="96"/>
      <c r="C15" s="100"/>
      <c r="D15" s="100"/>
      <c r="E15" s="100"/>
      <c r="F15" s="100"/>
    </row>
    <row r="16" spans="1:7" ht="15.6" x14ac:dyDescent="0.3">
      <c r="B16" s="96" t="s">
        <v>122</v>
      </c>
      <c r="C16" s="112">
        <v>36000000</v>
      </c>
      <c r="D16" s="110">
        <f t="shared" ref="D16:D21" si="0">C16/$C$25</f>
        <v>0.76089667445881226</v>
      </c>
      <c r="E16" s="100"/>
      <c r="F16" s="112">
        <f>C16</f>
        <v>36000000</v>
      </c>
      <c r="G16" s="110">
        <f t="shared" ref="G16:G25" si="1">F16/$F$25</f>
        <v>0.68803129983982136</v>
      </c>
    </row>
    <row r="17" spans="2:7" ht="15.6" x14ac:dyDescent="0.3">
      <c r="B17" s="96" t="s">
        <v>123</v>
      </c>
      <c r="C17" s="112">
        <v>3410000</v>
      </c>
      <c r="D17" s="110">
        <f t="shared" si="0"/>
        <v>7.2073823886237495E-2</v>
      </c>
      <c r="E17" s="100"/>
      <c r="F17" s="112">
        <f>C17</f>
        <v>3410000</v>
      </c>
      <c r="G17" s="110">
        <f t="shared" si="1"/>
        <v>6.5171853679271974E-2</v>
      </c>
    </row>
    <row r="18" spans="2:7" ht="15.6" x14ac:dyDescent="0.3">
      <c r="B18" s="96" t="s">
        <v>124</v>
      </c>
      <c r="C18" s="112">
        <v>1110000</v>
      </c>
      <c r="D18" s="110">
        <f t="shared" si="0"/>
        <v>2.3460980795813376E-2</v>
      </c>
      <c r="E18" s="100"/>
      <c r="F18" s="112">
        <f>C18</f>
        <v>1110000</v>
      </c>
      <c r="G18" s="110">
        <f t="shared" si="1"/>
        <v>2.1214298411727825E-2</v>
      </c>
    </row>
    <row r="19" spans="2:7" ht="15.6" x14ac:dyDescent="0.3">
      <c r="B19" s="96" t="s">
        <v>125</v>
      </c>
      <c r="C19" s="112">
        <v>4527600</v>
      </c>
      <c r="D19" s="110">
        <f t="shared" si="0"/>
        <v>9.5695438424436619E-2</v>
      </c>
      <c r="E19" s="100"/>
      <c r="F19" s="112">
        <f>C19</f>
        <v>4527600</v>
      </c>
      <c r="G19" s="110">
        <f t="shared" si="1"/>
        <v>8.6531403143188204E-2</v>
      </c>
    </row>
    <row r="20" spans="2:7" ht="15.6" x14ac:dyDescent="0.3">
      <c r="B20" s="96" t="s">
        <v>126</v>
      </c>
      <c r="C20" s="112"/>
      <c r="D20" s="110">
        <f t="shared" si="0"/>
        <v>0</v>
      </c>
      <c r="E20" s="100"/>
      <c r="F20" s="112">
        <f>F12/C26</f>
        <v>5010601.006089489</v>
      </c>
      <c r="G20" s="110">
        <f t="shared" si="1"/>
        <v>9.5762508977735222E-2</v>
      </c>
    </row>
    <row r="21" spans="2:7" ht="15.6" x14ac:dyDescent="0.3">
      <c r="B21" s="96" t="s">
        <v>127</v>
      </c>
      <c r="C21" s="112"/>
      <c r="D21" s="110">
        <f t="shared" si="0"/>
        <v>0</v>
      </c>
      <c r="E21" s="100"/>
      <c r="F21" s="112"/>
      <c r="G21" s="110">
        <f t="shared" si="1"/>
        <v>0</v>
      </c>
    </row>
    <row r="22" spans="2:7" ht="15.6" x14ac:dyDescent="0.3">
      <c r="B22" s="108" t="s">
        <v>129</v>
      </c>
      <c r="C22" s="113">
        <f>SUM(C16:C21)</f>
        <v>45047600</v>
      </c>
      <c r="D22" s="110">
        <f>C22/$C$25</f>
        <v>0.95212691756529977</v>
      </c>
      <c r="E22" s="101"/>
      <c r="F22" s="113">
        <f>SUM(F16:F21)</f>
        <v>50058201.006089486</v>
      </c>
      <c r="G22" s="110">
        <f t="shared" si="1"/>
        <v>0.95671136405174462</v>
      </c>
    </row>
    <row r="23" spans="2:7" ht="15.6" x14ac:dyDescent="0.3">
      <c r="B23" s="108" t="s">
        <v>130</v>
      </c>
      <c r="C23" s="113">
        <v>0</v>
      </c>
      <c r="D23" s="110">
        <f>C23/$C$25</f>
        <v>0</v>
      </c>
      <c r="E23" s="101"/>
      <c r="F23" s="113"/>
      <c r="G23" s="110">
        <f t="shared" si="1"/>
        <v>0</v>
      </c>
    </row>
    <row r="24" spans="2:7" ht="15.6" x14ac:dyDescent="0.3">
      <c r="B24" s="96" t="s">
        <v>119</v>
      </c>
      <c r="C24" s="114">
        <f>120000+2145000</f>
        <v>2265000</v>
      </c>
      <c r="D24" s="111">
        <f>C24/$C$25</f>
        <v>4.7873082434700273E-2</v>
      </c>
      <c r="E24" s="102"/>
      <c r="F24" s="114">
        <f>C24</f>
        <v>2265000</v>
      </c>
      <c r="G24" s="111">
        <f t="shared" si="1"/>
        <v>4.3288635948255431E-2</v>
      </c>
    </row>
    <row r="25" spans="2:7" ht="15.6" x14ac:dyDescent="0.3">
      <c r="B25" s="96" t="s">
        <v>120</v>
      </c>
      <c r="C25" s="113">
        <f>SUM(C22:C24)</f>
        <v>47312600</v>
      </c>
      <c r="D25" s="109">
        <f>C25/$C$25</f>
        <v>1</v>
      </c>
      <c r="E25" s="103"/>
      <c r="F25" s="113">
        <f>SUM(F22:F24)</f>
        <v>52323201.006089486</v>
      </c>
      <c r="G25" s="109">
        <f t="shared" si="1"/>
        <v>1</v>
      </c>
    </row>
    <row r="26" spans="2:7" ht="15.6" x14ac:dyDescent="0.3">
      <c r="B26" s="40" t="s">
        <v>121</v>
      </c>
      <c r="C26" s="104">
        <f>C13/C25</f>
        <v>1.9957685690492597</v>
      </c>
      <c r="D26" s="104"/>
      <c r="E26" s="104"/>
      <c r="F26" s="104">
        <f>F13/F25</f>
        <v>1.9957685690492597</v>
      </c>
    </row>
  </sheetData>
  <mergeCells count="3">
    <mergeCell ref="A2:G2"/>
    <mergeCell ref="F4:G4"/>
    <mergeCell ref="C4:D4"/>
  </mergeCells>
  <phoneticPr fontId="0" type="noConversion"/>
  <printOptions horizontalCentered="1"/>
  <pageMargins left="0.5" right="0.5" top="0.75" bottom="0.75" header="0.5" footer="0.5"/>
  <pageSetup scale="95"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0:Y32"/>
  <sheetViews>
    <sheetView zoomScaleNormal="100" workbookViewId="0">
      <selection activeCell="G32" sqref="G32"/>
    </sheetView>
  </sheetViews>
  <sheetFormatPr defaultRowHeight="13.8" x14ac:dyDescent="0.25"/>
  <sheetData>
    <row r="20" spans="1:25" ht="15.6" x14ac:dyDescent="0.3">
      <c r="C20" s="41" t="s">
        <v>2</v>
      </c>
      <c r="D20" s="41" t="s">
        <v>1</v>
      </c>
      <c r="E20" s="41" t="s">
        <v>0</v>
      </c>
      <c r="F20" s="41" t="s">
        <v>22</v>
      </c>
      <c r="G20" s="41" t="s">
        <v>109</v>
      </c>
      <c r="H20" s="41" t="s">
        <v>108</v>
      </c>
      <c r="I20" s="41" t="s">
        <v>107</v>
      </c>
      <c r="J20" s="41" t="s">
        <v>211</v>
      </c>
      <c r="K20" s="41" t="s">
        <v>212</v>
      </c>
      <c r="L20" s="41" t="s">
        <v>213</v>
      </c>
      <c r="M20" s="41" t="s">
        <v>214</v>
      </c>
      <c r="N20" s="41" t="s">
        <v>215</v>
      </c>
      <c r="O20" s="41" t="s">
        <v>216</v>
      </c>
      <c r="P20" s="41" t="s">
        <v>217</v>
      </c>
      <c r="Q20" s="41" t="s">
        <v>218</v>
      </c>
      <c r="R20" s="41" t="s">
        <v>219</v>
      </c>
      <c r="S20" s="41" t="s">
        <v>220</v>
      </c>
      <c r="T20" s="41" t="s">
        <v>221</v>
      </c>
      <c r="U20" s="41" t="s">
        <v>222</v>
      </c>
      <c r="V20" s="41" t="s">
        <v>223</v>
      </c>
      <c r="W20" s="41" t="s">
        <v>224</v>
      </c>
      <c r="X20" s="41" t="s">
        <v>225</v>
      </c>
      <c r="Y20" s="41" t="s">
        <v>226</v>
      </c>
    </row>
    <row r="22" spans="1:25" x14ac:dyDescent="0.25">
      <c r="A22" t="s">
        <v>227</v>
      </c>
      <c r="C22" s="244"/>
      <c r="D22" s="244">
        <f>[1]Numbers!S110</f>
        <v>0</v>
      </c>
      <c r="E22" s="244">
        <f>[1]Numbers!T110</f>
        <v>0</v>
      </c>
      <c r="F22" s="244">
        <f>[1]Numbers!U110</f>
        <v>0</v>
      </c>
      <c r="G22" s="244">
        <f>[1]Numbers!V110</f>
        <v>0</v>
      </c>
      <c r="H22" s="244">
        <f>[1]Numbers!W110</f>
        <v>0.106</v>
      </c>
      <c r="I22" s="244">
        <f>[1]Numbers!X110</f>
        <v>2.4102554300000003</v>
      </c>
      <c r="J22" s="244">
        <f>[1]Numbers!Y110</f>
        <v>4.7585923235750007</v>
      </c>
      <c r="K22" s="244">
        <f>[1]Numbers!Z110</f>
        <v>14.615108516249999</v>
      </c>
      <c r="L22" s="244">
        <f>[1]Numbers!AA110</f>
        <v>39.353996656249997</v>
      </c>
      <c r="M22" s="244">
        <f>[1]Numbers!AB110</f>
        <v>64.579181941499996</v>
      </c>
      <c r="N22" s="244">
        <f>[1]Numbers!AC110</f>
        <v>106.9508626141392</v>
      </c>
      <c r="O22" s="244">
        <f>[1]Numbers!AD110</f>
        <v>178.14650793203521</v>
      </c>
      <c r="P22" s="244">
        <f>[1]Numbers!AE110</f>
        <v>309.59012430929999</v>
      </c>
      <c r="Q22" s="244">
        <f>[1]Numbers!AF110</f>
        <v>511.29254506227835</v>
      </c>
      <c r="R22" s="244">
        <f>[1]Numbers!AG110</f>
        <v>563.57780477353924</v>
      </c>
      <c r="S22" s="244">
        <f>[1]Numbers!AH110</f>
        <v>756.2748076818192</v>
      </c>
      <c r="T22" s="244">
        <f>[1]Numbers!AI110</f>
        <v>1093.9006305382679</v>
      </c>
      <c r="U22" s="244">
        <f>[1]Numbers!AJ110</f>
        <v>1524.3456220383384</v>
      </c>
      <c r="V22" s="244">
        <f>[1]Numbers!AK110</f>
        <v>1450.6382602828512</v>
      </c>
      <c r="W22" s="244">
        <f>[1]Numbers!AL110</f>
        <v>1790.3240391238987</v>
      </c>
      <c r="X22" s="244">
        <f>[1]Numbers!AM110</f>
        <v>2480.5961971028278</v>
      </c>
      <c r="Y22" s="244">
        <f>[1]Numbers!AN110</f>
        <v>3397.342691801714</v>
      </c>
    </row>
    <row r="23" spans="1:25" x14ac:dyDescent="0.25">
      <c r="A23" t="s">
        <v>228</v>
      </c>
      <c r="D23" s="244">
        <f>[1]Numbers!S113</f>
        <v>-0.76561701000000004</v>
      </c>
      <c r="E23" s="244">
        <f>[1]Numbers!T113</f>
        <v>-1.4048378699999997</v>
      </c>
      <c r="F23" s="244">
        <f>[1]Numbers!U113</f>
        <v>-4.6115547599999998</v>
      </c>
      <c r="G23" s="244">
        <f>[1]Numbers!V113</f>
        <v>-8.1994823999999973</v>
      </c>
      <c r="H23" s="244">
        <f>[1]Numbers!W113</f>
        <v>-5.1783238035749992</v>
      </c>
      <c r="I23" s="244">
        <f>[1]Numbers!X113</f>
        <v>-6.9074694152385021</v>
      </c>
      <c r="J23" s="244">
        <f>[1]Numbers!Y113</f>
        <v>-10.728825424206407</v>
      </c>
      <c r="K23" s="244">
        <f>[1]Numbers!Z113</f>
        <v>-3.9692039710234353</v>
      </c>
      <c r="L23" s="244">
        <f>[1]Numbers!AA113</f>
        <v>9.0937259022525616</v>
      </c>
      <c r="M23" s="244">
        <f>[1]Numbers!AB113</f>
        <v>17.501673487325416</v>
      </c>
      <c r="N23" s="244">
        <f>[1]Numbers!AC113</f>
        <v>42.215734300600744</v>
      </c>
      <c r="O23" s="244">
        <f>[1]Numbers!AD113</f>
        <v>86.720750463091292</v>
      </c>
      <c r="P23" s="244">
        <f>[1]Numbers!AE113</f>
        <v>172.24096305178043</v>
      </c>
      <c r="Q23" s="244">
        <f>[1]Numbers!AF113</f>
        <v>289.72053118354921</v>
      </c>
      <c r="R23" s="244">
        <f>[1]Numbers!AG113</f>
        <v>290.16783739217851</v>
      </c>
      <c r="S23" s="244">
        <f>[1]Numbers!AH113</f>
        <v>415.65339563005699</v>
      </c>
      <c r="T23" s="244">
        <f>[1]Numbers!AI113</f>
        <v>659.09321038660562</v>
      </c>
      <c r="U23" s="244">
        <f>[1]Numbers!AJ113</f>
        <v>911.42577466445925</v>
      </c>
      <c r="V23" s="244">
        <f>[1]Numbers!AK113</f>
        <v>767.31138879625382</v>
      </c>
      <c r="W23" s="244">
        <f>[1]Numbers!AL113</f>
        <v>985.05681645279572</v>
      </c>
      <c r="X23" s="244">
        <f>[1]Numbers!AM113</f>
        <v>1500.521208393832</v>
      </c>
      <c r="Y23" s="244">
        <f>[1]Numbers!AN113</f>
        <v>2036.0178229275682</v>
      </c>
    </row>
    <row r="25" spans="1:25" x14ac:dyDescent="0.25">
      <c r="A25" t="s">
        <v>229</v>
      </c>
      <c r="D25" s="244">
        <f>[1]Numbers!S117</f>
        <v>31.820600000000002</v>
      </c>
      <c r="E25" s="244">
        <f>[1]Numbers!T117</f>
        <v>33.736499999999999</v>
      </c>
      <c r="F25" s="244">
        <f>[1]Numbers!U117</f>
        <v>72</v>
      </c>
      <c r="G25" s="244">
        <f>[1]Numbers!V117</f>
        <v>90.544599999999988</v>
      </c>
      <c r="H25" s="244">
        <f>[1]Numbers!W117</f>
        <v>92.5</v>
      </c>
      <c r="I25" s="244">
        <f>[1]Numbers!X117</f>
        <v>110</v>
      </c>
      <c r="J25" s="244">
        <f>[1]Numbers!Y117</f>
        <v>250</v>
      </c>
      <c r="K25" s="244">
        <f>[1]Numbers!Z117</f>
        <v>263.07195329249998</v>
      </c>
      <c r="L25" s="244">
        <f>[1]Numbers!AA117</f>
        <v>393.53996656249996</v>
      </c>
      <c r="M25" s="244">
        <f>[1]Numbers!AB117</f>
        <v>427.16783964374997</v>
      </c>
      <c r="N25" s="244">
        <f>[1]Numbers!AC117</f>
        <v>641.70517568483524</v>
      </c>
      <c r="O25" s="244">
        <f>[1]Numbers!AD117</f>
        <v>1068.8790475922112</v>
      </c>
      <c r="P25" s="244">
        <f>[1]Numbers!AE117</f>
        <v>1857.5407458558</v>
      </c>
      <c r="Q25" s="244">
        <f>[1]Numbers!AF117</f>
        <v>3067.7552703736701</v>
      </c>
      <c r="R25" s="244">
        <f>[1]Numbers!AG117</f>
        <v>3381.4668286412352</v>
      </c>
      <c r="S25" s="244">
        <f>[1]Numbers!AH117</f>
        <v>4537.648846090915</v>
      </c>
      <c r="T25" s="244">
        <f>[1]Numbers!AI117</f>
        <v>6563.4037832296071</v>
      </c>
      <c r="U25" s="244">
        <f>[1]Numbers!AJ117</f>
        <v>9146.0737322300301</v>
      </c>
      <c r="V25" s="244">
        <f>[1]Numbers!AK117</f>
        <v>9146.0737322300301</v>
      </c>
      <c r="W25" s="244">
        <f>[1]Numbers!AL117</f>
        <v>10741.944234743392</v>
      </c>
      <c r="X25" s="244">
        <f>[1]Numbers!AM117</f>
        <v>14883.577182616966</v>
      </c>
      <c r="Y25" s="244">
        <f>[1]Numbers!AN117</f>
        <v>20384.056150810284</v>
      </c>
    </row>
    <row r="26" spans="1:25" x14ac:dyDescent="0.25">
      <c r="A26" t="s">
        <v>230</v>
      </c>
      <c r="D26" s="1" t="s">
        <v>137</v>
      </c>
      <c r="E26" s="1" t="s">
        <v>137</v>
      </c>
      <c r="F26" s="1" t="s">
        <v>137</v>
      </c>
      <c r="G26" s="1" t="s">
        <v>137</v>
      </c>
      <c r="H26" s="67">
        <f t="shared" ref="H26:Y26" si="0">IF(H25/H22&gt;0,H25/H22,"nm")</f>
        <v>872.64150943396226</v>
      </c>
      <c r="I26" s="67">
        <f t="shared" si="0"/>
        <v>45.638316433540815</v>
      </c>
      <c r="J26" s="67">
        <f t="shared" si="0"/>
        <v>52.536545053765359</v>
      </c>
      <c r="K26" s="67">
        <f t="shared" si="0"/>
        <v>18</v>
      </c>
      <c r="L26" s="67">
        <f t="shared" si="0"/>
        <v>10</v>
      </c>
      <c r="M26" s="67">
        <f t="shared" si="0"/>
        <v>6.6146368969292029</v>
      </c>
      <c r="N26" s="67">
        <f t="shared" si="0"/>
        <v>6.0000000000000009</v>
      </c>
      <c r="O26" s="67">
        <f t="shared" si="0"/>
        <v>6</v>
      </c>
      <c r="P26" s="67">
        <f t="shared" si="0"/>
        <v>6</v>
      </c>
      <c r="Q26" s="67">
        <f t="shared" si="0"/>
        <v>6</v>
      </c>
      <c r="R26" s="67">
        <f t="shared" si="0"/>
        <v>6</v>
      </c>
      <c r="S26" s="67">
        <f t="shared" si="0"/>
        <v>6</v>
      </c>
      <c r="T26" s="67">
        <f t="shared" si="0"/>
        <v>6</v>
      </c>
      <c r="U26" s="67">
        <f t="shared" si="0"/>
        <v>6</v>
      </c>
      <c r="V26" s="67">
        <f t="shared" si="0"/>
        <v>6.3048617857677991</v>
      </c>
      <c r="W26" s="67">
        <f t="shared" si="0"/>
        <v>6</v>
      </c>
      <c r="X26" s="67">
        <f t="shared" si="0"/>
        <v>6</v>
      </c>
      <c r="Y26" s="67">
        <f t="shared" si="0"/>
        <v>6</v>
      </c>
    </row>
    <row r="27" spans="1:25" x14ac:dyDescent="0.25">
      <c r="A27" t="s">
        <v>231</v>
      </c>
      <c r="D27" s="1" t="s">
        <v>137</v>
      </c>
      <c r="E27" s="1" t="s">
        <v>137</v>
      </c>
      <c r="F27" s="1" t="s">
        <v>137</v>
      </c>
      <c r="G27" s="1" t="s">
        <v>137</v>
      </c>
      <c r="H27" s="67" t="str">
        <f>IF(H26/H23&gt;0,H26/H23,"nm")</f>
        <v>nm</v>
      </c>
      <c r="I27" s="67" t="str">
        <f>IF(I26/I23&gt;0,I26/I23,"nm")</f>
        <v>nm</v>
      </c>
      <c r="J27" s="67" t="str">
        <f>IF(J26/J23&gt;0,J26/J23,"nm")</f>
        <v>nm</v>
      </c>
      <c r="K27" s="67" t="str">
        <f t="shared" ref="K27:Y27" si="1">IF(K25/K23&gt;0,K25/K23,"nm")</f>
        <v>nm</v>
      </c>
      <c r="L27" s="67">
        <f t="shared" si="1"/>
        <v>43.275987289766249</v>
      </c>
      <c r="M27" s="67">
        <f t="shared" si="1"/>
        <v>24.407256823360452</v>
      </c>
      <c r="N27" s="67">
        <f t="shared" si="1"/>
        <v>15.200616223219493</v>
      </c>
      <c r="O27" s="67">
        <f t="shared" si="1"/>
        <v>12.325528110450687</v>
      </c>
      <c r="P27" s="67">
        <f t="shared" si="1"/>
        <v>10.784546910001726</v>
      </c>
      <c r="Q27" s="67">
        <f t="shared" si="1"/>
        <v>10.588670598667818</v>
      </c>
      <c r="R27" s="67">
        <f t="shared" si="1"/>
        <v>11.653485992904818</v>
      </c>
      <c r="S27" s="67">
        <f t="shared" si="1"/>
        <v>10.916905512615005</v>
      </c>
      <c r="T27" s="67">
        <f t="shared" si="1"/>
        <v>9.9582330386618576</v>
      </c>
      <c r="U27" s="67">
        <f t="shared" si="1"/>
        <v>10.034907928291966</v>
      </c>
      <c r="V27" s="67">
        <f t="shared" si="1"/>
        <v>11.919637667021011</v>
      </c>
      <c r="W27" s="67">
        <f t="shared" si="1"/>
        <v>10.904898129049341</v>
      </c>
      <c r="X27" s="67">
        <f t="shared" si="1"/>
        <v>9.9189382325015227</v>
      </c>
      <c r="Y27" s="67">
        <f t="shared" si="1"/>
        <v>10.011727756636368</v>
      </c>
    </row>
    <row r="29" spans="1:25" x14ac:dyDescent="0.25">
      <c r="A29" t="s">
        <v>60</v>
      </c>
      <c r="D29" s="246">
        <f>[1]Numbers!S118</f>
        <v>38.200000000000003</v>
      </c>
      <c r="E29" s="246">
        <f>[1]Numbers!T118</f>
        <v>40.520000000000003</v>
      </c>
      <c r="F29" s="246">
        <f>[1]Numbers!U118</f>
        <v>45.179000000000002</v>
      </c>
      <c r="G29" s="246">
        <f>[1]Numbers!V118</f>
        <v>45.272299999999994</v>
      </c>
      <c r="H29" s="246">
        <f>[1]Numbers!W118</f>
        <v>46.551674999999996</v>
      </c>
      <c r="I29" s="246">
        <f>[1]Numbers!X118</f>
        <v>46.551674999999996</v>
      </c>
      <c r="J29" s="246">
        <f>[1]Numbers!Y118</f>
        <v>59.247586363636358</v>
      </c>
      <c r="K29" s="246">
        <f>[1]Numbers!Z118</f>
        <v>59.247586363636358</v>
      </c>
      <c r="L29" s="246">
        <f>[1]Numbers!AA118</f>
        <v>59.247586363636358</v>
      </c>
      <c r="M29" s="246">
        <f>[1]Numbers!AB118</f>
        <v>59.247586363636358</v>
      </c>
      <c r="N29" s="246">
        <f>[1]Numbers!AC118</f>
        <v>73.117447543506017</v>
      </c>
      <c r="O29" s="246">
        <f>[1]Numbers!AD118</f>
        <v>73.117447543506017</v>
      </c>
      <c r="P29" s="246">
        <f>[1]Numbers!AE118</f>
        <v>73.117447543506017</v>
      </c>
      <c r="Q29" s="246">
        <f>[1]Numbers!AF118</f>
        <v>73.117447543506017</v>
      </c>
      <c r="R29" s="246">
        <f>[1]Numbers!AG118</f>
        <v>75.397211328882861</v>
      </c>
      <c r="S29" s="246">
        <f>[1]Numbers!AH118</f>
        <v>75.397211328882861</v>
      </c>
      <c r="T29" s="246">
        <f>[1]Numbers!AI118</f>
        <v>75.397211328882861</v>
      </c>
      <c r="U29" s="246">
        <f>[1]Numbers!AJ118</f>
        <v>75.397211328882861</v>
      </c>
      <c r="V29" s="246">
        <f>[1]Numbers!AK118</f>
        <v>75.397211328882861</v>
      </c>
      <c r="W29" s="246">
        <f>[1]Numbers!AL118</f>
        <v>75.397211328882861</v>
      </c>
      <c r="X29" s="246">
        <f>[1]Numbers!AM118</f>
        <v>75.397211328882861</v>
      </c>
      <c r="Y29" s="246">
        <f>[1]Numbers!AN118</f>
        <v>75.397211328882861</v>
      </c>
    </row>
    <row r="30" spans="1:25" x14ac:dyDescent="0.25">
      <c r="A30" t="s">
        <v>232</v>
      </c>
      <c r="D30" s="245">
        <f>D25/D29</f>
        <v>0.83299999999999996</v>
      </c>
      <c r="E30" s="245">
        <f>E25/E29</f>
        <v>0.83258884501480745</v>
      </c>
      <c r="F30" s="245">
        <f t="shared" ref="F30:X30" si="2">F25/F29</f>
        <v>1.5936607715974236</v>
      </c>
      <c r="G30" s="245">
        <f t="shared" si="2"/>
        <v>2</v>
      </c>
      <c r="H30" s="245">
        <f t="shared" si="2"/>
        <v>1.9870391344672347</v>
      </c>
      <c r="I30" s="245">
        <f t="shared" si="2"/>
        <v>2.3629654572042793</v>
      </c>
      <c r="J30" s="245">
        <f t="shared" si="2"/>
        <v>4.21958117357907</v>
      </c>
      <c r="K30" s="245">
        <f t="shared" si="2"/>
        <v>4.4402138456388212</v>
      </c>
      <c r="L30" s="245">
        <f t="shared" si="2"/>
        <v>6.6422953358322463</v>
      </c>
      <c r="M30" s="245">
        <f t="shared" si="2"/>
        <v>7.2098774964768415</v>
      </c>
      <c r="N30" s="245">
        <f t="shared" si="2"/>
        <v>8.7763618294116554</v>
      </c>
      <c r="O30" s="245">
        <f t="shared" si="2"/>
        <v>14.61865920519465</v>
      </c>
      <c r="P30" s="245">
        <f t="shared" si="2"/>
        <v>25.404890464078829</v>
      </c>
      <c r="Q30" s="245">
        <f t="shared" si="2"/>
        <v>41.956542158399444</v>
      </c>
      <c r="R30" s="245">
        <f t="shared" si="2"/>
        <v>44.848698898043679</v>
      </c>
      <c r="S30" s="245">
        <f t="shared" si="2"/>
        <v>60.183245057932943</v>
      </c>
      <c r="T30" s="245">
        <f t="shared" si="2"/>
        <v>87.051015117787585</v>
      </c>
      <c r="U30" s="245">
        <f t="shared" si="2"/>
        <v>121.3051991052405</v>
      </c>
      <c r="V30" s="245">
        <f t="shared" si="2"/>
        <v>121.3051991052405</v>
      </c>
      <c r="W30" s="245">
        <f t="shared" si="2"/>
        <v>142.47137321680239</v>
      </c>
      <c r="X30" s="245">
        <f t="shared" si="2"/>
        <v>197.40222377316792</v>
      </c>
      <c r="Y30" s="245">
        <f>Y25/Y29</f>
        <v>270.35557140031307</v>
      </c>
    </row>
    <row r="32" spans="1:25" x14ac:dyDescent="0.25">
      <c r="A32" t="s">
        <v>233</v>
      </c>
      <c r="D32" s="244">
        <f>[1]Numbers!S128/1000</f>
        <v>1.8049999999999999</v>
      </c>
      <c r="E32" s="244">
        <f>[1]Numbers!T128/1000</f>
        <v>0.2505</v>
      </c>
      <c r="F32" s="244">
        <f>[1]Numbers!U128/1000</f>
        <v>2.18083333</v>
      </c>
      <c r="G32" s="244">
        <f>[1]Numbers!V128/1000</f>
        <v>1.6698000000000002</v>
      </c>
      <c r="H32" s="244">
        <f>[1]Numbers!W128/1000</f>
        <v>2.5587499999999999</v>
      </c>
      <c r="I32" s="244">
        <f>[1]Numbers!X128/1000</f>
        <v>0</v>
      </c>
      <c r="J32" s="244">
        <f>[1]Numbers!Y128/1000</f>
        <v>30</v>
      </c>
      <c r="K32" s="244">
        <f>[1]Numbers!Z128/1000</f>
        <v>0</v>
      </c>
      <c r="L32" s="244">
        <f>[1]Numbers!AA128/1000</f>
        <v>0</v>
      </c>
      <c r="M32" s="244">
        <f>[1]Numbers!AB128/1000</f>
        <v>0</v>
      </c>
      <c r="N32" s="244">
        <f>[1]Numbers!AC128/1000</f>
        <v>100</v>
      </c>
      <c r="O32" s="244">
        <f>[1]Numbers!AD128/1000</f>
        <v>0</v>
      </c>
      <c r="P32" s="244">
        <f>[1]Numbers!AE128/1000</f>
        <v>0</v>
      </c>
      <c r="Q32" s="244">
        <f>[1]Numbers!AF128/1000</f>
        <v>0</v>
      </c>
      <c r="R32" s="244">
        <f>[1]Numbers!AG128/1000</f>
        <v>100</v>
      </c>
      <c r="S32" s="244">
        <f>[1]Numbers!AH128/1000</f>
        <v>0</v>
      </c>
      <c r="T32" s="244">
        <f>[1]Numbers!AI128/1000</f>
        <v>0</v>
      </c>
      <c r="U32" s="244">
        <f>[1]Numbers!AJ128/1000</f>
        <v>0</v>
      </c>
      <c r="V32" s="244">
        <f>[1]Numbers!AK128/1000</f>
        <v>0</v>
      </c>
      <c r="W32" s="244">
        <f>[1]Numbers!AL128/1000</f>
        <v>0</v>
      </c>
      <c r="X32" s="244">
        <f>[1]Numbers!AM128/1000</f>
        <v>0</v>
      </c>
      <c r="Y32" s="244">
        <f>[1]Numbers!AN128/1000</f>
        <v>0</v>
      </c>
    </row>
  </sheetData>
  <phoneticPr fontId="0" type="noConversion"/>
  <printOptions horizontalCentered="1"/>
  <pageMargins left="0.5" right="0.5" top="0.75" bottom="0.75" header="0.5" footer="0.5"/>
  <pageSetup scale="95" orientation="portrait" r:id="rId1"/>
  <headerFooter alignWithMargins="0">
    <oddFooter>&amp;R&amp;D</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4"/>
  <sheetViews>
    <sheetView workbookViewId="0">
      <pane xSplit="3672" topLeftCell="H1" activePane="topRight"/>
      <selection activeCell="A2" sqref="A2:IV2"/>
      <selection pane="topRight" activeCell="R30" sqref="R30"/>
    </sheetView>
  </sheetViews>
  <sheetFormatPr defaultRowHeight="13.8" x14ac:dyDescent="0.25"/>
  <cols>
    <col min="1" max="1" width="10.44140625" customWidth="1"/>
    <col min="2" max="2" width="2.6640625" customWidth="1"/>
    <col min="3" max="3" width="3.5546875" customWidth="1"/>
    <col min="4" max="4" width="24" customWidth="1"/>
    <col min="5" max="5" width="1.33203125" customWidth="1"/>
    <col min="6" max="6" width="7.88671875" customWidth="1"/>
    <col min="7" max="7" width="1.33203125" customWidth="1"/>
    <col min="9" max="9" width="1.109375" customWidth="1"/>
    <col min="10" max="10" width="12.5546875" customWidth="1"/>
    <col min="11" max="11" width="1.109375" customWidth="1"/>
    <col min="12" max="12" width="11.44140625" customWidth="1"/>
    <col min="13" max="14" width="9.6640625" bestFit="1" customWidth="1"/>
    <col min="15" max="15" width="2.44140625" customWidth="1"/>
    <col min="19" max="19" width="2.33203125" customWidth="1"/>
  </cols>
  <sheetData>
    <row r="1" spans="1:20" ht="20.399999999999999" x14ac:dyDescent="0.35">
      <c r="A1" s="62" t="s">
        <v>210</v>
      </c>
    </row>
    <row r="3" spans="1:20" ht="48" customHeight="1" x14ac:dyDescent="0.3">
      <c r="A3" s="56" t="s">
        <v>63</v>
      </c>
      <c r="B3" s="57"/>
      <c r="C3" s="251" t="s">
        <v>203</v>
      </c>
      <c r="D3" s="252"/>
      <c r="E3" s="252"/>
      <c r="F3" s="252"/>
      <c r="G3" s="252"/>
      <c r="H3" s="252"/>
      <c r="I3" s="252"/>
      <c r="J3" s="252"/>
      <c r="K3" s="252"/>
      <c r="L3" s="252"/>
      <c r="M3" s="252"/>
      <c r="N3" s="252"/>
      <c r="O3" s="252"/>
      <c r="P3" s="252"/>
      <c r="Q3" s="252"/>
      <c r="R3" s="252"/>
      <c r="S3" s="252"/>
      <c r="T3" s="252"/>
    </row>
    <row r="4" spans="1:20" x14ac:dyDescent="0.25">
      <c r="B4" s="57"/>
    </row>
    <row r="5" spans="1:20" ht="17.399999999999999" x14ac:dyDescent="0.3">
      <c r="A5" s="123" t="s">
        <v>85</v>
      </c>
      <c r="B5" s="57"/>
      <c r="C5" s="171" t="s">
        <v>153</v>
      </c>
      <c r="D5" s="40" t="s">
        <v>83</v>
      </c>
    </row>
    <row r="6" spans="1:20" ht="17.399999999999999" x14ac:dyDescent="0.3">
      <c r="A6" s="123" t="s">
        <v>84</v>
      </c>
      <c r="B6" s="57"/>
      <c r="C6" s="171" t="s">
        <v>153</v>
      </c>
      <c r="D6" s="40" t="s">
        <v>200</v>
      </c>
    </row>
    <row r="7" spans="1:20" ht="17.399999999999999" x14ac:dyDescent="0.3">
      <c r="B7" s="57"/>
      <c r="C7" s="171" t="s">
        <v>153</v>
      </c>
      <c r="D7" s="40" t="s">
        <v>86</v>
      </c>
    </row>
    <row r="9" spans="1:20" x14ac:dyDescent="0.25">
      <c r="J9" s="15" t="s">
        <v>16</v>
      </c>
      <c r="L9" s="250" t="s">
        <v>92</v>
      </c>
      <c r="M9" s="250"/>
      <c r="N9" s="250"/>
      <c r="P9" s="250" t="s">
        <v>93</v>
      </c>
      <c r="Q9" s="250"/>
      <c r="R9" s="250"/>
      <c r="T9" s="15" t="s">
        <v>94</v>
      </c>
    </row>
    <row r="10" spans="1:20" x14ac:dyDescent="0.25">
      <c r="H10" s="15" t="s">
        <v>88</v>
      </c>
      <c r="J10" s="15" t="s">
        <v>17</v>
      </c>
      <c r="L10" s="15"/>
      <c r="M10" s="15" t="s">
        <v>91</v>
      </c>
      <c r="N10" s="15" t="s">
        <v>91</v>
      </c>
      <c r="P10" s="15"/>
      <c r="Q10" s="15" t="s">
        <v>91</v>
      </c>
      <c r="R10" s="15" t="s">
        <v>91</v>
      </c>
      <c r="T10" s="15" t="s">
        <v>21</v>
      </c>
    </row>
    <row r="11" spans="1:20" x14ac:dyDescent="0.25">
      <c r="D11" s="59" t="s">
        <v>87</v>
      </c>
      <c r="F11" s="59" t="s">
        <v>96</v>
      </c>
      <c r="H11" s="59" t="s">
        <v>89</v>
      </c>
      <c r="J11" s="59" t="s">
        <v>23</v>
      </c>
      <c r="L11" s="59" t="s">
        <v>90</v>
      </c>
      <c r="M11" s="59">
        <v>2000</v>
      </c>
      <c r="N11" s="59">
        <v>2001</v>
      </c>
      <c r="P11" s="59" t="s">
        <v>90</v>
      </c>
      <c r="Q11" s="59">
        <v>2000</v>
      </c>
      <c r="R11" s="59">
        <v>2001</v>
      </c>
      <c r="T11" s="59" t="s">
        <v>90</v>
      </c>
    </row>
    <row r="12" spans="1:20" ht="7.5" customHeight="1" x14ac:dyDescent="0.25"/>
    <row r="13" spans="1:20" x14ac:dyDescent="0.25">
      <c r="D13" t="s">
        <v>95</v>
      </c>
      <c r="F13" t="s">
        <v>97</v>
      </c>
      <c r="H13" s="64">
        <v>36799</v>
      </c>
      <c r="J13" s="65">
        <f>'CPA Companies'!D9</f>
        <v>42457.424999999996</v>
      </c>
      <c r="L13" s="63">
        <f>AVERAGE('CPA Companies'!J10:J13)</f>
        <v>100.55630932188559</v>
      </c>
      <c r="M13" s="63">
        <f>AVERAGE('CPA Companies'!J10:J13)</f>
        <v>100.55630932188559</v>
      </c>
      <c r="N13" s="63">
        <f>AVERAGE('CPA Companies'!J6:J9)</f>
        <v>66.777158059456696</v>
      </c>
      <c r="P13" s="63">
        <f>AVERAGE('CPA Companies'!H10:H13)</f>
        <v>23.943686962671094</v>
      </c>
      <c r="Q13" s="63">
        <f>AVERAGE('CPA Companies'!H10:H13)</f>
        <v>23.943686962671094</v>
      </c>
      <c r="R13" s="63">
        <f>AVERAGE('CPA Companies'!H6:H9)</f>
        <v>13.956585661845102</v>
      </c>
      <c r="T13" s="63">
        <f>AVERAGE('CPA Companies'!I10:I13)</f>
        <v>166.8471594671507</v>
      </c>
    </row>
    <row r="14" spans="1:20" x14ac:dyDescent="0.25">
      <c r="D14" t="s">
        <v>98</v>
      </c>
      <c r="F14" t="s">
        <v>99</v>
      </c>
      <c r="H14" s="64">
        <v>36495</v>
      </c>
      <c r="J14" s="65">
        <f>'CPA Companies'!D28</f>
        <v>31086.799999999999</v>
      </c>
      <c r="L14" s="63">
        <f>AVERAGE('CPA Companies'!J29:J32)</f>
        <v>50.390249751106737</v>
      </c>
      <c r="M14" s="63">
        <f>AVERAGE('CPA Companies'!J29:J32)</f>
        <v>50.390249751106737</v>
      </c>
      <c r="N14" s="63">
        <f>AVERAGE('CPA Companies'!J25:J28)</f>
        <v>22.398102487478511</v>
      </c>
      <c r="P14" s="63">
        <f>AVERAGE('CPA Companies'!H29:H32)</f>
        <v>1.893905548869284</v>
      </c>
      <c r="Q14" s="63">
        <f>AVERAGE('CPA Companies'!H29:H32)</f>
        <v>1.893905548869284</v>
      </c>
      <c r="R14" s="63">
        <f>AVERAGE('CPA Companies'!H25:H28)</f>
        <v>0.91833177560849832</v>
      </c>
      <c r="T14" s="63">
        <f>AVERAGE('CPA Companies'!I25:I28)</f>
        <v>10.17238364603609</v>
      </c>
    </row>
    <row r="15" spans="1:20" x14ac:dyDescent="0.25">
      <c r="D15" t="s">
        <v>100</v>
      </c>
      <c r="F15" t="s">
        <v>101</v>
      </c>
      <c r="H15" s="64">
        <v>36495</v>
      </c>
      <c r="J15" s="65">
        <f>'CPA Companies'!D47</f>
        <v>20439.45</v>
      </c>
      <c r="L15" s="63">
        <f>AVERAGE('CPA Companies'!J48:J51)</f>
        <v>32.457281822878691</v>
      </c>
      <c r="M15" s="63">
        <f>AVERAGE('CPA Companies'!J48:J51)</f>
        <v>32.457281822878691</v>
      </c>
      <c r="N15" s="63">
        <f>AVERAGE('CPA Companies'!J44:J47)</f>
        <v>15.620533067638934</v>
      </c>
      <c r="P15" s="63">
        <f>AVERAGE('CPA Companies'!H48:H51)</f>
        <v>1.6936496139298698</v>
      </c>
      <c r="Q15" s="63">
        <f>AVERAGE('CPA Companies'!H48:H51)</f>
        <v>1.6936496139298698</v>
      </c>
      <c r="R15" s="63">
        <f>AVERAGE('CPA Companies'!H44:H47)</f>
        <v>1.0323644276239183</v>
      </c>
      <c r="T15" s="63">
        <f>AVERAGE('CPA Companies'!I48:I51)</f>
        <v>12.962663794249158</v>
      </c>
    </row>
    <row r="16" spans="1:20" x14ac:dyDescent="0.25">
      <c r="D16" t="s">
        <v>163</v>
      </c>
      <c r="F16" t="s">
        <v>164</v>
      </c>
      <c r="H16" s="64">
        <v>36799</v>
      </c>
      <c r="J16" s="65">
        <f>'CPA Companies'!D120</f>
        <v>20368</v>
      </c>
      <c r="L16" s="63">
        <f>AVERAGE('CPA Companies'!J124:J127)</f>
        <v>18.843578213252933</v>
      </c>
      <c r="M16" s="63">
        <f>AVERAGE('CPA Companies'!J124:J127)</f>
        <v>18.843578213252933</v>
      </c>
      <c r="N16" s="63">
        <f>AVERAGE('CPA Companies'!J120:J123)</f>
        <v>17.936635290024306</v>
      </c>
      <c r="P16" s="63">
        <f>AVERAGE('CPA Companies'!H124:H127)</f>
        <v>1.7218535696800887</v>
      </c>
      <c r="Q16" s="63">
        <f>AVERAGE('CPA Companies'!H124:H127)</f>
        <v>1.7218535696800887</v>
      </c>
      <c r="R16" s="63">
        <f>AVERAGE('CPA Companies'!H120:H123)</f>
        <v>1.6307459212899644</v>
      </c>
      <c r="T16" s="63">
        <f>AVERAGE('CPA Companies'!I124:I127)</f>
        <v>10.600153771937693</v>
      </c>
    </row>
    <row r="17" spans="4:20" x14ac:dyDescent="0.25">
      <c r="D17" t="s">
        <v>180</v>
      </c>
      <c r="F17" t="s">
        <v>181</v>
      </c>
      <c r="H17" s="64">
        <v>36495</v>
      </c>
      <c r="J17" s="65">
        <v>8210</v>
      </c>
      <c r="L17" s="63">
        <v>15.5</v>
      </c>
      <c r="M17" s="63">
        <v>15.5</v>
      </c>
      <c r="N17" s="63">
        <v>15.5</v>
      </c>
      <c r="P17" s="63">
        <v>1.5</v>
      </c>
      <c r="Q17" s="63">
        <v>1.5</v>
      </c>
      <c r="R17" s="63">
        <v>1.5</v>
      </c>
      <c r="T17" s="63">
        <v>7.9</v>
      </c>
    </row>
    <row r="18" spans="4:20" x14ac:dyDescent="0.25">
      <c r="D18" t="s">
        <v>102</v>
      </c>
      <c r="F18" t="s">
        <v>104</v>
      </c>
      <c r="H18" s="64">
        <v>36830</v>
      </c>
      <c r="J18" s="65">
        <f>'CPA Companies'!D66</f>
        <v>797.90000000000009</v>
      </c>
      <c r="L18" s="67" t="s">
        <v>137</v>
      </c>
      <c r="M18" s="67" t="s">
        <v>137</v>
      </c>
      <c r="N18" s="67" t="s">
        <v>137</v>
      </c>
      <c r="P18" s="63">
        <f>AVERAGE('CPA Companies'!H67:H70)</f>
        <v>53.483727593128712</v>
      </c>
      <c r="Q18" s="63">
        <f>AVERAGE('CPA Companies'!H67:H70)</f>
        <v>53.483727593128712</v>
      </c>
      <c r="R18" s="63">
        <f>AVERAGE('CPA Companies'!H63:H66)</f>
        <v>18.314047622690332</v>
      </c>
      <c r="T18" s="63">
        <f>AVERAGE('CPA Companies'!I49:I52)</f>
        <v>12.579257655234692</v>
      </c>
    </row>
    <row r="19" spans="4:20" x14ac:dyDescent="0.25">
      <c r="D19" t="s">
        <v>208</v>
      </c>
      <c r="F19" t="s">
        <v>209</v>
      </c>
      <c r="H19" s="64">
        <v>36861</v>
      </c>
      <c r="J19" s="65">
        <f>'CPA Companies'!D216</f>
        <v>357.22435999999999</v>
      </c>
      <c r="L19" s="63">
        <f>AVERAGE('CPA Companies'!J217:J220)</f>
        <v>22.94538440767942</v>
      </c>
      <c r="M19" s="63">
        <f>AVERAGE('CPA Companies'!J219:J222)</f>
        <v>22.165781657242572</v>
      </c>
      <c r="N19" s="63">
        <f>AVERAGE('CPA Companies'!J215:J218)</f>
        <v>38.771705880529268</v>
      </c>
      <c r="P19" s="121">
        <f>AVERAGE('CPA Companies'!H217:H220)</f>
        <v>0.80194602258378533</v>
      </c>
      <c r="Q19" s="121">
        <f>AVERAGE('CPA Companies'!H219:H222)</f>
        <v>0.5269576375177043</v>
      </c>
      <c r="R19" s="121">
        <f>AVERAGE('CPA Companies'!H215:H218)</f>
        <v>1.4913319042124009</v>
      </c>
      <c r="T19" s="63">
        <f>AVERAGE('CPA Companies'!I217:I220)</f>
        <v>9.3464359005708424</v>
      </c>
    </row>
    <row r="20" spans="4:20" x14ac:dyDescent="0.25">
      <c r="D20" t="s">
        <v>134</v>
      </c>
      <c r="F20" t="s">
        <v>135</v>
      </c>
      <c r="H20" s="64">
        <v>36495</v>
      </c>
      <c r="J20" s="65">
        <f>'CPA Companies'!D82</f>
        <v>1482.5160000000001</v>
      </c>
      <c r="L20" s="63">
        <f>AVERAGE('CPA Companies'!$J$86:$J$89)</f>
        <v>13.404211554985803</v>
      </c>
      <c r="M20" s="63">
        <f>AVERAGE('CPA Companies'!$J$86:$J$89)</f>
        <v>13.404211554985803</v>
      </c>
      <c r="N20" s="63">
        <f>AVERAGE('CPA Companies'!$J$82:$J$85)</f>
        <v>22.08701388888889</v>
      </c>
      <c r="P20" s="121">
        <f>AVERAGE('CPA Companies'!H86:H89)</f>
        <v>1.9817488259201521</v>
      </c>
      <c r="Q20" s="121">
        <f>AVERAGE('CPA Companies'!H86:H89)</f>
        <v>1.9817488259201521</v>
      </c>
      <c r="R20" s="121">
        <f>AVERAGE('CPA Companies'!H82:H85)</f>
        <v>2.8916303221230915</v>
      </c>
      <c r="T20" s="63">
        <f>AVERAGE('CPA Companies'!I86:I89)</f>
        <v>3.7199627790391228</v>
      </c>
    </row>
    <row r="21" spans="4:20" x14ac:dyDescent="0.25">
      <c r="D21" t="s">
        <v>156</v>
      </c>
      <c r="F21" t="s">
        <v>136</v>
      </c>
      <c r="H21" s="64">
        <v>36495</v>
      </c>
      <c r="J21" s="65">
        <f>'CPA Companies'!D104</f>
        <v>225.13749999999999</v>
      </c>
      <c r="L21" s="67" t="s">
        <v>137</v>
      </c>
      <c r="M21" s="67" t="s">
        <v>137</v>
      </c>
      <c r="N21" s="67" t="s">
        <v>137</v>
      </c>
      <c r="P21" s="121">
        <f>AVERAGE('CPA Companies'!$H$105:$H$108)</f>
        <v>345.15495753437006</v>
      </c>
      <c r="Q21" s="121">
        <f>AVERAGE('CPA Companies'!$H$105:$H$108)</f>
        <v>345.15495753437006</v>
      </c>
      <c r="R21" s="121">
        <f>AVERAGE('CPA Companies'!$H$101:$H$104)</f>
        <v>24.800092161466708</v>
      </c>
      <c r="T21" s="67" t="s">
        <v>137</v>
      </c>
    </row>
    <row r="22" spans="4:20" x14ac:dyDescent="0.25">
      <c r="D22" t="s">
        <v>138</v>
      </c>
      <c r="F22" t="s">
        <v>139</v>
      </c>
      <c r="H22" s="64">
        <v>36495</v>
      </c>
      <c r="J22" s="65">
        <f>'CPA Companies'!D139</f>
        <v>25239.583999999995</v>
      </c>
      <c r="L22" s="63">
        <f>AVERAGE('CPA Companies'!J143:J146)</f>
        <v>29.657425941287727</v>
      </c>
      <c r="M22" s="63">
        <f>AVERAGE('CPA Companies'!J143:J146)</f>
        <v>29.657425941287727</v>
      </c>
      <c r="N22" s="63">
        <f>AVERAGE('CPA Companies'!J139:J142)</f>
        <v>17.614514240288909</v>
      </c>
      <c r="P22" s="121">
        <f>AVERAGE('CPA Companies'!H143:H146)</f>
        <v>7.9112572460200639</v>
      </c>
      <c r="Q22" s="121">
        <f>AVERAGE('CPA Companies'!H143:H146)</f>
        <v>7.9112572460200639</v>
      </c>
      <c r="R22" s="121">
        <f>AVERAGE('CPA Companies'!H139:H142)</f>
        <v>6.1535547988406183</v>
      </c>
      <c r="T22" s="121">
        <f>AVERAGE('CPA Companies'!I143:I146)</f>
        <v>19.251629172950295</v>
      </c>
    </row>
    <row r="23" spans="4:20" ht="14.4" thickBot="1" x14ac:dyDescent="0.3"/>
    <row r="24" spans="4:20" x14ac:dyDescent="0.25">
      <c r="D24" s="74" t="s">
        <v>105</v>
      </c>
      <c r="E24" s="75"/>
      <c r="F24" s="75"/>
      <c r="G24" s="75"/>
      <c r="H24" s="75"/>
      <c r="I24" s="75"/>
      <c r="J24" s="117">
        <f>MAX(J13:J18)</f>
        <v>42457.424999999996</v>
      </c>
      <c r="K24" s="184"/>
      <c r="L24" s="88">
        <f>MAX(L13:L23)</f>
        <v>100.55630932188559</v>
      </c>
      <c r="M24" s="88">
        <f>MAX(M13:M23)</f>
        <v>100.55630932188559</v>
      </c>
      <c r="N24" s="88">
        <f>MAX(N13:N23)</f>
        <v>66.777158059456696</v>
      </c>
      <c r="O24" s="180"/>
      <c r="P24" s="88">
        <f>MAX(P13:P23)</f>
        <v>345.15495753437006</v>
      </c>
      <c r="Q24" s="88">
        <f>MAX(Q13:Q23)</f>
        <v>345.15495753437006</v>
      </c>
      <c r="R24" s="88">
        <f>MAX(R13:R23)</f>
        <v>24.800092161466708</v>
      </c>
      <c r="S24" s="180"/>
      <c r="T24" s="89">
        <f>MAX(T13:T23)</f>
        <v>166.8471594671507</v>
      </c>
    </row>
    <row r="25" spans="4:20" x14ac:dyDescent="0.25">
      <c r="D25" s="79" t="s">
        <v>79</v>
      </c>
      <c r="E25" s="215"/>
      <c r="F25" s="215"/>
      <c r="G25" s="215"/>
      <c r="H25" s="215"/>
      <c r="I25" s="216"/>
      <c r="J25" s="118">
        <f>AVERAGE(J13:J18)</f>
        <v>20559.929166666665</v>
      </c>
      <c r="K25" s="181"/>
      <c r="L25" s="68">
        <f>AVERAGE(L13:L23)</f>
        <v>35.469305126634609</v>
      </c>
      <c r="M25" s="68">
        <f>AVERAGE(M13:M23)</f>
        <v>35.371854782830006</v>
      </c>
      <c r="N25" s="68">
        <f>AVERAGE(N13:N23)</f>
        <v>27.088207864288186</v>
      </c>
      <c r="O25" s="181"/>
      <c r="P25" s="68">
        <f>AVERAGE(P13:P23)</f>
        <v>44.008673291717308</v>
      </c>
      <c r="Q25" s="68">
        <f>AVERAGE(Q13:Q23)</f>
        <v>43.981174453210699</v>
      </c>
      <c r="R25" s="68">
        <f>AVERAGE(R13:R23)</f>
        <v>7.2688684595700632</v>
      </c>
      <c r="S25" s="181"/>
      <c r="T25" s="90">
        <f>AVERAGE(T13:T23)</f>
        <v>28.153294020796508</v>
      </c>
    </row>
    <row r="26" spans="4:20" x14ac:dyDescent="0.25">
      <c r="D26" s="81" t="s">
        <v>80</v>
      </c>
      <c r="E26" s="217"/>
      <c r="F26" s="217"/>
      <c r="G26" s="217"/>
      <c r="H26" s="217"/>
      <c r="I26" s="218"/>
      <c r="J26" s="119">
        <f>MEDIAN(J13:J18)</f>
        <v>20403.724999999999</v>
      </c>
      <c r="K26" s="182"/>
      <c r="L26" s="69">
        <f>MEDIAN(L13:L23)</f>
        <v>26.301405174483573</v>
      </c>
      <c r="M26" s="69">
        <f>MEDIAN(M13:M23)</f>
        <v>25.911603799265151</v>
      </c>
      <c r="N26" s="69">
        <f>MEDIAN(N13:N23)</f>
        <v>20.011824589456598</v>
      </c>
      <c r="O26" s="182"/>
      <c r="P26" s="69">
        <f>MEDIAN(P13:P23)</f>
        <v>1.9378271873947179</v>
      </c>
      <c r="Q26" s="69">
        <f>MEDIAN(Q13:Q23)</f>
        <v>1.9378271873947179</v>
      </c>
      <c r="R26" s="69">
        <f>MEDIAN(R13:R23)</f>
        <v>2.2611881217065282</v>
      </c>
      <c r="S26" s="182"/>
      <c r="T26" s="91">
        <f>MEDIAN(T13:T23)</f>
        <v>10.600153771937693</v>
      </c>
    </row>
    <row r="27" spans="4:20" ht="14.4" thickBot="1" x14ac:dyDescent="0.3">
      <c r="D27" s="83" t="s">
        <v>106</v>
      </c>
      <c r="E27" s="84"/>
      <c r="F27" s="84"/>
      <c r="G27" s="84"/>
      <c r="H27" s="84"/>
      <c r="I27" s="84"/>
      <c r="J27" s="120">
        <f>MIN(J13:J18)</f>
        <v>797.90000000000009</v>
      </c>
      <c r="K27" s="185"/>
      <c r="L27" s="92">
        <f>MIN(L13:L23)</f>
        <v>13.404211554985803</v>
      </c>
      <c r="M27" s="92">
        <f>MIN(M13:M23)</f>
        <v>13.404211554985803</v>
      </c>
      <c r="N27" s="92">
        <f>MIN(N13:N23)</f>
        <v>15.5</v>
      </c>
      <c r="O27" s="183"/>
      <c r="P27" s="92">
        <f>MIN(P13:P23)</f>
        <v>0.80194602258378533</v>
      </c>
      <c r="Q27" s="92">
        <f>MIN(Q13:Q23)</f>
        <v>0.5269576375177043</v>
      </c>
      <c r="R27" s="92">
        <f>MIN(R13:R23)</f>
        <v>0.91833177560849832</v>
      </c>
      <c r="S27" s="183"/>
      <c r="T27" s="93">
        <f>MIN(T13:T23)</f>
        <v>3.7199627790391228</v>
      </c>
    </row>
    <row r="29" spans="4:20" x14ac:dyDescent="0.25">
      <c r="D29" s="2" t="s">
        <v>176</v>
      </c>
      <c r="I29" s="2"/>
      <c r="M29" s="201"/>
      <c r="N29" s="201">
        <f>N25</f>
        <v>27.088207864288186</v>
      </c>
      <c r="Q29" s="201"/>
      <c r="R29" s="201">
        <v>5</v>
      </c>
      <c r="T29" s="201">
        <f>T25</f>
        <v>28.153294020796508</v>
      </c>
    </row>
    <row r="34" spans="4:4" x14ac:dyDescent="0.25">
      <c r="D34" t="s">
        <v>178</v>
      </c>
    </row>
  </sheetData>
  <mergeCells count="3">
    <mergeCell ref="L9:N9"/>
    <mergeCell ref="P9:R9"/>
    <mergeCell ref="C3:T3"/>
  </mergeCells>
  <phoneticPr fontId="0" type="noConversion"/>
  <printOptions horizontalCentered="1"/>
  <pageMargins left="0.5" right="0.5" top="0.75" bottom="0.75" header="0.5" footer="0.5"/>
  <pageSetup scale="85" orientation="landscape" verticalDpi="1200" r:id="rId1"/>
  <headerFooter alignWithMargins="0">
    <oddFooter>&amp;L&amp;"Times New Roman,Bold Italic"IdleAire Technologies Corporation Confidential&amp;R&amp;D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
  <sheetViews>
    <sheetView workbookViewId="0">
      <pane ySplit="1032" activePane="bottomLeft"/>
      <selection activeCell="A2" sqref="A2:IV2"/>
      <selection pane="bottomLeft" activeCell="D11" sqref="D11"/>
    </sheetView>
  </sheetViews>
  <sheetFormatPr defaultRowHeight="13.8" x14ac:dyDescent="0.25"/>
  <cols>
    <col min="1" max="1" width="4.5546875" customWidth="1"/>
    <col min="2" max="2" width="10.88671875" customWidth="1"/>
    <col min="3" max="3" width="3" customWidth="1"/>
    <col min="4" max="4" width="24.109375" customWidth="1"/>
    <col min="5" max="5" width="1.5546875" customWidth="1"/>
    <col min="8" max="8" width="19.6640625" customWidth="1"/>
    <col min="9" max="9" width="1.33203125" customWidth="1"/>
    <col min="10" max="10" width="18.33203125" customWidth="1"/>
    <col min="11" max="11" width="1" customWidth="1"/>
    <col min="12" max="12" width="12.44140625" customWidth="1"/>
    <col min="13" max="13" width="1" customWidth="1"/>
    <col min="14" max="14" width="9.6640625" customWidth="1"/>
    <col min="15" max="15" width="1" customWidth="1"/>
    <col min="16" max="16" width="10.88671875" customWidth="1"/>
    <col min="17" max="17" width="1" customWidth="1"/>
    <col min="18" max="18" width="10.109375" customWidth="1"/>
  </cols>
  <sheetData>
    <row r="1" spans="1:18" ht="20.399999999999999" x14ac:dyDescent="0.35">
      <c r="A1" s="62" t="s">
        <v>235</v>
      </c>
    </row>
    <row r="2" spans="1:18" ht="18" x14ac:dyDescent="0.35">
      <c r="B2" s="55"/>
    </row>
    <row r="4" spans="1:18" ht="32.25" customHeight="1" x14ac:dyDescent="0.3">
      <c r="A4" s="56" t="s">
        <v>63</v>
      </c>
      <c r="B4" s="57"/>
      <c r="C4" s="251" t="s">
        <v>64</v>
      </c>
      <c r="D4" s="252"/>
      <c r="E4" s="252"/>
      <c r="F4" s="252"/>
      <c r="G4" s="252"/>
      <c r="H4" s="252"/>
      <c r="I4" s="252"/>
      <c r="J4" s="252"/>
      <c r="K4" s="252"/>
      <c r="L4" s="252"/>
      <c r="M4" s="252"/>
      <c r="N4" s="252"/>
      <c r="O4" s="252"/>
      <c r="P4" s="252"/>
      <c r="Q4" s="252"/>
      <c r="R4" s="252"/>
    </row>
    <row r="5" spans="1:18" x14ac:dyDescent="0.25">
      <c r="B5" s="57"/>
    </row>
    <row r="6" spans="1:18" ht="18.75" customHeight="1" x14ac:dyDescent="0.25">
      <c r="A6" s="253" t="s">
        <v>85</v>
      </c>
      <c r="B6" s="254"/>
      <c r="C6" s="256" t="s">
        <v>65</v>
      </c>
      <c r="D6" s="257"/>
      <c r="E6" s="257"/>
      <c r="F6" s="257"/>
      <c r="G6" s="257"/>
      <c r="H6" s="257"/>
      <c r="I6" s="257"/>
      <c r="J6" s="257"/>
      <c r="K6" s="257"/>
      <c r="L6" s="257"/>
      <c r="M6" s="257"/>
      <c r="N6" s="257"/>
      <c r="O6" s="257"/>
      <c r="P6" s="257"/>
    </row>
    <row r="7" spans="1:18" ht="18.75" customHeight="1" x14ac:dyDescent="0.3">
      <c r="A7" s="123" t="s">
        <v>84</v>
      </c>
      <c r="B7" s="57"/>
      <c r="C7" s="208" t="s">
        <v>153</v>
      </c>
      <c r="D7" s="40" t="s">
        <v>67</v>
      </c>
      <c r="E7" s="40"/>
      <c r="F7" s="40"/>
      <c r="G7" s="40"/>
      <c r="H7" s="40"/>
      <c r="I7" s="40"/>
      <c r="J7" s="40"/>
      <c r="K7" s="40"/>
      <c r="L7" s="40"/>
      <c r="M7" s="40"/>
      <c r="N7" s="40"/>
      <c r="O7" s="40"/>
      <c r="P7" s="40"/>
    </row>
    <row r="8" spans="1:18" ht="15.6" x14ac:dyDescent="0.3">
      <c r="B8" s="57"/>
      <c r="C8" s="208" t="s">
        <v>153</v>
      </c>
      <c r="D8" s="40" t="s">
        <v>68</v>
      </c>
      <c r="E8" s="40"/>
      <c r="F8" s="40"/>
      <c r="G8" s="40"/>
      <c r="H8" s="40"/>
      <c r="I8" s="40"/>
      <c r="J8" s="40"/>
      <c r="K8" s="40"/>
      <c r="L8" s="40"/>
      <c r="M8" s="40"/>
      <c r="N8" s="40"/>
      <c r="O8" s="40"/>
      <c r="P8" s="40"/>
    </row>
    <row r="9" spans="1:18" ht="15.6" x14ac:dyDescent="0.3">
      <c r="B9" s="57"/>
      <c r="C9" s="208" t="s">
        <v>153</v>
      </c>
      <c r="D9" s="40" t="s">
        <v>177</v>
      </c>
      <c r="E9" s="40"/>
      <c r="F9" s="40"/>
      <c r="G9" s="40"/>
      <c r="H9" s="40"/>
      <c r="I9" s="40"/>
      <c r="J9" s="40"/>
      <c r="K9" s="40"/>
      <c r="L9" s="40"/>
      <c r="M9" s="40"/>
      <c r="N9" s="40"/>
      <c r="O9" s="40"/>
      <c r="P9" s="40"/>
    </row>
    <row r="10" spans="1:18" ht="15.6" x14ac:dyDescent="0.3">
      <c r="B10" s="57"/>
      <c r="C10" s="208" t="s">
        <v>153</v>
      </c>
      <c r="D10" s="40" t="s">
        <v>182</v>
      </c>
      <c r="E10" s="40"/>
      <c r="F10" s="40"/>
      <c r="G10" s="40"/>
      <c r="H10" s="40"/>
      <c r="I10" s="40"/>
      <c r="J10" s="40"/>
      <c r="K10" s="40"/>
      <c r="L10" s="40"/>
      <c r="M10" s="40"/>
      <c r="N10" s="40"/>
      <c r="O10" s="40"/>
      <c r="P10" s="40"/>
    </row>
    <row r="11" spans="1:18" ht="15.6" x14ac:dyDescent="0.3">
      <c r="B11" s="57"/>
      <c r="C11" s="208" t="s">
        <v>153</v>
      </c>
      <c r="D11" s="40" t="s">
        <v>236</v>
      </c>
      <c r="E11" s="40"/>
      <c r="F11" s="40"/>
      <c r="G11" s="40"/>
      <c r="H11" s="40"/>
      <c r="I11" s="40"/>
      <c r="J11" s="40"/>
      <c r="K11" s="40"/>
      <c r="L11" s="40"/>
      <c r="M11" s="40"/>
      <c r="N11" s="40"/>
      <c r="O11" s="40"/>
      <c r="P11" s="40"/>
    </row>
    <row r="12" spans="1:18" ht="15.6" x14ac:dyDescent="0.3">
      <c r="B12" s="57"/>
      <c r="C12" s="208" t="s">
        <v>153</v>
      </c>
      <c r="D12" s="40" t="s">
        <v>179</v>
      </c>
      <c r="E12" s="40"/>
      <c r="F12" s="40"/>
      <c r="G12" s="40"/>
      <c r="H12" s="40"/>
      <c r="I12" s="40"/>
      <c r="J12" s="40"/>
      <c r="K12" s="40"/>
      <c r="L12" s="40"/>
      <c r="M12" s="40"/>
      <c r="N12" s="40"/>
      <c r="O12" s="40"/>
      <c r="P12" s="40"/>
    </row>
    <row r="13" spans="1:18" ht="8.25" customHeight="1" x14ac:dyDescent="0.3">
      <c r="B13" s="57"/>
      <c r="C13" s="208"/>
      <c r="D13" s="40"/>
      <c r="E13" s="40"/>
      <c r="F13" s="40"/>
      <c r="G13" s="40"/>
      <c r="H13" s="40"/>
      <c r="I13" s="40"/>
      <c r="J13" s="40"/>
      <c r="K13" s="40"/>
      <c r="L13" s="40"/>
      <c r="M13" s="40"/>
      <c r="N13" s="40"/>
      <c r="O13" s="40"/>
      <c r="P13" s="40"/>
    </row>
    <row r="15" spans="1:18" x14ac:dyDescent="0.25">
      <c r="B15" s="15" t="s">
        <v>69</v>
      </c>
      <c r="J15" s="15" t="s">
        <v>162</v>
      </c>
      <c r="L15" s="15" t="s">
        <v>74</v>
      </c>
      <c r="N15" s="250" t="s">
        <v>76</v>
      </c>
      <c r="O15" s="250"/>
      <c r="P15" s="250"/>
      <c r="Q15" s="250"/>
      <c r="R15" s="250"/>
    </row>
    <row r="16" spans="1:18" x14ac:dyDescent="0.25">
      <c r="B16" s="59" t="s">
        <v>70</v>
      </c>
      <c r="D16" s="59" t="s">
        <v>71</v>
      </c>
      <c r="F16" s="250" t="s">
        <v>72</v>
      </c>
      <c r="G16" s="250"/>
      <c r="H16" s="250"/>
      <c r="J16" s="59" t="s">
        <v>73</v>
      </c>
      <c r="K16" s="58"/>
      <c r="L16" s="59" t="s">
        <v>75</v>
      </c>
      <c r="M16" s="58"/>
      <c r="N16" s="178" t="s">
        <v>18</v>
      </c>
      <c r="O16" s="58"/>
      <c r="P16" s="178" t="s">
        <v>21</v>
      </c>
      <c r="Q16" s="58"/>
      <c r="R16" s="178" t="s">
        <v>32</v>
      </c>
    </row>
    <row r="17" spans="2:18" ht="6.75" customHeight="1" x14ac:dyDescent="0.25">
      <c r="B17" s="1"/>
    </row>
    <row r="18" spans="2:18" ht="30" customHeight="1" x14ac:dyDescent="0.25">
      <c r="B18" s="221">
        <v>36488</v>
      </c>
      <c r="C18" s="197"/>
      <c r="D18" s="197" t="s">
        <v>77</v>
      </c>
      <c r="F18" s="258" t="s">
        <v>201</v>
      </c>
      <c r="G18" s="258"/>
      <c r="H18" s="258"/>
      <c r="J18" s="197" t="s">
        <v>28</v>
      </c>
      <c r="K18" s="197"/>
      <c r="L18" s="198">
        <v>288</v>
      </c>
      <c r="M18" s="197"/>
      <c r="N18" s="199">
        <f>PNV!H11</f>
        <v>21.29742114851668</v>
      </c>
      <c r="O18" s="197"/>
      <c r="P18" s="200" t="s">
        <v>137</v>
      </c>
      <c r="Q18" s="197"/>
      <c r="R18" s="200" t="s">
        <v>137</v>
      </c>
    </row>
    <row r="19" spans="2:18" ht="6" customHeight="1" x14ac:dyDescent="0.25">
      <c r="B19" s="1"/>
    </row>
    <row r="20" spans="2:18" hidden="1" x14ac:dyDescent="0.25">
      <c r="B20" s="220"/>
      <c r="D20" t="s">
        <v>112</v>
      </c>
      <c r="F20" t="s">
        <v>113</v>
      </c>
      <c r="L20" s="61"/>
      <c r="N20" s="6"/>
      <c r="P20" s="21"/>
      <c r="R20" s="21"/>
    </row>
    <row r="21" spans="2:18" ht="6.75" hidden="1" customHeight="1" x14ac:dyDescent="0.25">
      <c r="B21" s="1"/>
    </row>
    <row r="22" spans="2:18" x14ac:dyDescent="0.25">
      <c r="B22" s="220">
        <v>35779</v>
      </c>
      <c r="D22" t="s">
        <v>165</v>
      </c>
      <c r="F22" t="s">
        <v>166</v>
      </c>
      <c r="J22" t="s">
        <v>163</v>
      </c>
      <c r="L22" s="61">
        <v>160</v>
      </c>
      <c r="N22" s="6">
        <f>L22/(4*16.454)</f>
        <v>2.4310198128114742</v>
      </c>
      <c r="P22" s="21">
        <f>L22/(4*1.818651)</f>
        <v>21.994324364597716</v>
      </c>
      <c r="R22" s="21">
        <f>L22/(4*1.2165264)</f>
        <v>32.880503045392189</v>
      </c>
    </row>
    <row r="23" spans="2:18" ht="6" customHeight="1" x14ac:dyDescent="0.25">
      <c r="B23" s="1"/>
    </row>
    <row r="24" spans="2:18" s="197" customFormat="1" ht="33" customHeight="1" x14ac:dyDescent="0.25">
      <c r="B24" s="221">
        <v>36010</v>
      </c>
      <c r="D24" s="197" t="s">
        <v>169</v>
      </c>
      <c r="F24" s="255" t="s">
        <v>175</v>
      </c>
      <c r="G24" s="255"/>
      <c r="H24" s="255"/>
      <c r="I24" s="219"/>
      <c r="J24" s="197" t="s">
        <v>170</v>
      </c>
      <c r="L24" s="198">
        <f>19.91*22.424</f>
        <v>446.46184</v>
      </c>
      <c r="N24" s="199">
        <f>L24/(4*19.267)</f>
        <v>5.7930897389318528</v>
      </c>
      <c r="P24" s="200">
        <f>L24/(4*5.194)</f>
        <v>21.489306892568347</v>
      </c>
      <c r="R24" s="200">
        <f>L24/(4*3.705)</f>
        <v>30.125630229419702</v>
      </c>
    </row>
    <row r="25" spans="2:18" ht="6" customHeight="1" x14ac:dyDescent="0.25">
      <c r="B25" s="1"/>
    </row>
    <row r="26" spans="2:18" x14ac:dyDescent="0.25">
      <c r="B26" s="220">
        <v>36875</v>
      </c>
      <c r="D26" t="s">
        <v>159</v>
      </c>
      <c r="F26" t="s">
        <v>161</v>
      </c>
      <c r="J26" t="s">
        <v>160</v>
      </c>
      <c r="L26" s="61">
        <v>27</v>
      </c>
      <c r="N26" s="6">
        <f>L26/0.825</f>
        <v>32.727272727272727</v>
      </c>
      <c r="P26" s="21" t="s">
        <v>137</v>
      </c>
      <c r="R26" s="21" t="s">
        <v>137</v>
      </c>
    </row>
    <row r="27" spans="2:18" ht="6" customHeight="1" x14ac:dyDescent="0.25">
      <c r="B27" s="1"/>
    </row>
    <row r="28" spans="2:18" x14ac:dyDescent="0.25">
      <c r="B28" s="220">
        <v>36432</v>
      </c>
      <c r="D28" t="s">
        <v>157</v>
      </c>
      <c r="F28" t="s">
        <v>158</v>
      </c>
      <c r="J28" t="s">
        <v>28</v>
      </c>
      <c r="L28" s="61">
        <v>1049.5</v>
      </c>
      <c r="N28" s="6">
        <f>'CPA Companies'!H110</f>
        <v>9466.2622211174239</v>
      </c>
      <c r="P28" s="21" t="s">
        <v>137</v>
      </c>
      <c r="R28" s="21" t="s">
        <v>137</v>
      </c>
    </row>
    <row r="29" spans="2:18" x14ac:dyDescent="0.25">
      <c r="B29" s="60"/>
      <c r="L29" s="61"/>
      <c r="N29" s="6"/>
      <c r="P29" s="21"/>
      <c r="R29" s="21"/>
    </row>
    <row r="30" spans="2:18" ht="14.4" thickBot="1" x14ac:dyDescent="0.3"/>
    <row r="31" spans="2:18" x14ac:dyDescent="0.25">
      <c r="J31" s="74" t="s">
        <v>78</v>
      </c>
      <c r="K31" s="180"/>
      <c r="L31" s="76">
        <f>MAX(L18:L28)</f>
        <v>1049.5</v>
      </c>
      <c r="M31" s="180"/>
      <c r="N31" s="204">
        <f>MAX(N18:N28)</f>
        <v>9466.2622211174239</v>
      </c>
      <c r="O31" s="180"/>
      <c r="P31" s="77">
        <f>MAX(P18:P28)</f>
        <v>21.994324364597716</v>
      </c>
      <c r="Q31" s="180"/>
      <c r="R31" s="78">
        <f>MAX(R18:R28)</f>
        <v>32.880503045392189</v>
      </c>
    </row>
    <row r="32" spans="2:18" x14ac:dyDescent="0.25">
      <c r="J32" s="79" t="s">
        <v>79</v>
      </c>
      <c r="K32" s="181"/>
      <c r="L32" s="70">
        <f>AVERAGE(L18:L28)</f>
        <v>394.19236799999999</v>
      </c>
      <c r="M32" s="181"/>
      <c r="N32" s="205">
        <f>AVERAGE(N18:N28)</f>
        <v>1905.7022049089912</v>
      </c>
      <c r="O32" s="181"/>
      <c r="P32" s="71">
        <f>AVERAGE(P18:P28)</f>
        <v>21.741815628583034</v>
      </c>
      <c r="Q32" s="181"/>
      <c r="R32" s="80">
        <f>AVERAGE(R18:R28)</f>
        <v>31.503066637405944</v>
      </c>
    </row>
    <row r="33" spans="10:18" x14ac:dyDescent="0.25">
      <c r="J33" s="81" t="s">
        <v>80</v>
      </c>
      <c r="K33" s="182"/>
      <c r="L33" s="72">
        <f>MEDIAN(L18:L28)</f>
        <v>288</v>
      </c>
      <c r="M33" s="182"/>
      <c r="N33" s="206">
        <f>MEDIAN(N18:N28)</f>
        <v>21.29742114851668</v>
      </c>
      <c r="O33" s="182"/>
      <c r="P33" s="73">
        <f>MEDIAN(P18:P28)</f>
        <v>21.741815628583034</v>
      </c>
      <c r="Q33" s="182"/>
      <c r="R33" s="82">
        <f>MEDIAN(R18:R28)</f>
        <v>31.503066637405944</v>
      </c>
    </row>
    <row r="34" spans="10:18" ht="14.4" thickBot="1" x14ac:dyDescent="0.3">
      <c r="J34" s="83" t="s">
        <v>81</v>
      </c>
      <c r="K34" s="183"/>
      <c r="L34" s="85">
        <f>MIN(L18:L28)</f>
        <v>27</v>
      </c>
      <c r="M34" s="183"/>
      <c r="N34" s="207">
        <f>MIN(N18:N28)</f>
        <v>2.4310198128114742</v>
      </c>
      <c r="O34" s="183"/>
      <c r="P34" s="86">
        <f>MIN(P18:P28)</f>
        <v>21.489306892568347</v>
      </c>
      <c r="Q34" s="183"/>
      <c r="R34" s="87">
        <f>MIN(R18:R28)</f>
        <v>30.125630229419702</v>
      </c>
    </row>
    <row r="36" spans="10:18" x14ac:dyDescent="0.25">
      <c r="J36" s="2" t="s">
        <v>176</v>
      </c>
      <c r="N36" s="201">
        <f>MEDIAN(N18:N26)</f>
        <v>13.545255443724265</v>
      </c>
      <c r="O36" s="2"/>
      <c r="P36" s="201">
        <f>MEDIAN(P18:P26)</f>
        <v>21.741815628583034</v>
      </c>
    </row>
  </sheetData>
  <mergeCells count="7">
    <mergeCell ref="A6:B6"/>
    <mergeCell ref="N15:R15"/>
    <mergeCell ref="C4:R4"/>
    <mergeCell ref="F24:H24"/>
    <mergeCell ref="F16:H16"/>
    <mergeCell ref="C6:P6"/>
    <mergeCell ref="F18:H18"/>
  </mergeCells>
  <phoneticPr fontId="0" type="noConversion"/>
  <printOptions horizontalCentered="1"/>
  <pageMargins left="0.5" right="0.5" top="0.75" bottom="0.75" header="0.5" footer="0.5"/>
  <pageSetup scale="85" orientation="landscape" verticalDpi="1200" r:id="rId1"/>
  <headerFooter alignWithMargins="0">
    <oddFooter>&amp;L&amp;"Times New Roman,Bold Italic"IdleAire Technologies Corporation Confidential&amp;R&amp;D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3"/>
  <sheetViews>
    <sheetView topLeftCell="A14" workbookViewId="0">
      <pane xSplit="3708" ySplit="936" topLeftCell="D10" activePane="bottomRight"/>
      <selection activeCell="A3" sqref="A1:A65536"/>
      <selection pane="topRight" activeCell="P14" sqref="P1:P65536"/>
      <selection pane="bottomLeft" activeCell="A33" sqref="A33:IV34"/>
      <selection pane="bottomRight" activeCell="P18" sqref="P18"/>
    </sheetView>
  </sheetViews>
  <sheetFormatPr defaultRowHeight="13.8" x14ac:dyDescent="0.25"/>
  <cols>
    <col min="1" max="1" width="2.88671875" customWidth="1"/>
    <col min="2" max="2" width="26.88671875" customWidth="1"/>
    <col min="3" max="3" width="2.33203125" customWidth="1"/>
    <col min="4" max="4" width="11" customWidth="1"/>
    <col min="5" max="5" width="1.44140625" customWidth="1"/>
    <col min="6" max="6" width="10.33203125" customWidth="1"/>
    <col min="7" max="7" width="1.44140625" customWidth="1"/>
    <col min="8" max="8" width="11.33203125" customWidth="1"/>
    <col min="9" max="9" width="1.44140625" customWidth="1"/>
    <col min="10" max="10" width="10.44140625" customWidth="1"/>
    <col min="11" max="11" width="1.44140625" customWidth="1"/>
    <col min="12" max="12" width="10.5546875" customWidth="1"/>
    <col min="13" max="13" width="1.44140625" customWidth="1"/>
    <col min="14" max="14" width="11.44140625" customWidth="1"/>
    <col min="15" max="15" width="1.44140625" customWidth="1"/>
    <col min="16" max="16" width="11" customWidth="1"/>
    <col min="17" max="17" width="1.44140625" customWidth="1"/>
    <col min="18" max="18" width="10.33203125" customWidth="1"/>
  </cols>
  <sheetData>
    <row r="1" spans="1:20" ht="20.399999999999999" x14ac:dyDescent="0.35">
      <c r="A1" s="62" t="s">
        <v>61</v>
      </c>
    </row>
    <row r="2" spans="1:20" ht="18" x14ac:dyDescent="0.35">
      <c r="B2" s="55" t="s">
        <v>147</v>
      </c>
    </row>
    <row r="4" spans="1:20" ht="18" customHeight="1" x14ac:dyDescent="0.3">
      <c r="A4" s="56" t="s">
        <v>63</v>
      </c>
      <c r="B4" s="57"/>
      <c r="C4" s="171" t="s">
        <v>153</v>
      </c>
      <c r="D4" s="167" t="s">
        <v>148</v>
      </c>
      <c r="E4" s="122"/>
      <c r="F4" s="122"/>
      <c r="G4" s="122"/>
      <c r="H4" s="122"/>
      <c r="I4" s="122"/>
      <c r="J4" s="122"/>
      <c r="K4" s="122"/>
      <c r="L4" s="122"/>
      <c r="M4" s="122"/>
      <c r="N4" s="122"/>
      <c r="O4" s="122"/>
      <c r="P4" s="122"/>
      <c r="Q4" s="122"/>
      <c r="R4" s="122"/>
      <c r="S4" s="122"/>
      <c r="T4" s="122"/>
    </row>
    <row r="5" spans="1:20" s="167" customFormat="1" x14ac:dyDescent="0.25">
      <c r="B5" s="168"/>
      <c r="E5" s="169" t="s">
        <v>66</v>
      </c>
      <c r="F5" s="167" t="s">
        <v>173</v>
      </c>
    </row>
    <row r="6" spans="1:20" s="167" customFormat="1" x14ac:dyDescent="0.25">
      <c r="B6" s="168"/>
      <c r="E6" s="169" t="s">
        <v>66</v>
      </c>
      <c r="F6" s="167" t="s">
        <v>149</v>
      </c>
    </row>
    <row r="7" spans="1:20" s="167" customFormat="1" x14ac:dyDescent="0.25">
      <c r="B7" s="168"/>
      <c r="E7" s="169" t="s">
        <v>66</v>
      </c>
      <c r="F7" s="167" t="s">
        <v>150</v>
      </c>
    </row>
    <row r="8" spans="1:20" s="167" customFormat="1" x14ac:dyDescent="0.25">
      <c r="B8" s="168"/>
      <c r="E8" s="169" t="s">
        <v>66</v>
      </c>
      <c r="F8" s="167" t="s">
        <v>174</v>
      </c>
    </row>
    <row r="9" spans="1:20" ht="6" customHeight="1" x14ac:dyDescent="0.25">
      <c r="C9" s="170"/>
    </row>
    <row r="10" spans="1:20" s="167" customFormat="1" ht="17.399999999999999" x14ac:dyDescent="0.3">
      <c r="C10" s="171" t="s">
        <v>153</v>
      </c>
      <c r="D10" s="167" t="s">
        <v>151</v>
      </c>
    </row>
    <row r="11" spans="1:20" ht="6" customHeight="1" x14ac:dyDescent="0.25">
      <c r="C11" s="170"/>
    </row>
    <row r="12" spans="1:20" ht="17.399999999999999" x14ac:dyDescent="0.3">
      <c r="C12" s="171" t="s">
        <v>153</v>
      </c>
      <c r="D12" t="s">
        <v>152</v>
      </c>
    </row>
    <row r="14" spans="1:20" ht="15.6" x14ac:dyDescent="0.3">
      <c r="A14" s="40"/>
      <c r="B14" s="40"/>
      <c r="C14" s="40"/>
      <c r="D14" s="41" t="s">
        <v>33</v>
      </c>
      <c r="E14" s="40"/>
      <c r="F14" s="41"/>
      <c r="G14" s="41"/>
      <c r="H14" s="41"/>
      <c r="I14" s="41"/>
      <c r="J14" s="41"/>
      <c r="K14" s="41"/>
      <c r="L14" s="41"/>
      <c r="M14" s="41"/>
      <c r="N14" s="41"/>
      <c r="O14" s="41"/>
      <c r="P14" s="41"/>
      <c r="Q14" s="40"/>
      <c r="R14" s="42" t="s">
        <v>34</v>
      </c>
    </row>
    <row r="15" spans="1:20" ht="15.6" x14ac:dyDescent="0.3">
      <c r="A15" s="53" t="s">
        <v>49</v>
      </c>
      <c r="B15" s="53"/>
      <c r="C15" s="40"/>
      <c r="D15" s="43" t="s">
        <v>35</v>
      </c>
      <c r="E15" s="40"/>
      <c r="F15" s="43">
        <v>2000</v>
      </c>
      <c r="G15" s="41"/>
      <c r="H15" s="43">
        <v>2001</v>
      </c>
      <c r="I15" s="41"/>
      <c r="J15" s="43">
        <v>2002</v>
      </c>
      <c r="K15" s="41"/>
      <c r="L15" s="43">
        <v>2003</v>
      </c>
      <c r="M15" s="41"/>
      <c r="N15" s="43">
        <v>2004</v>
      </c>
      <c r="O15" s="41"/>
      <c r="P15" s="43">
        <v>2005</v>
      </c>
      <c r="Q15" s="40"/>
      <c r="R15" s="44">
        <v>5</v>
      </c>
    </row>
    <row r="16" spans="1:20" ht="7.5" customHeight="1" x14ac:dyDescent="0.25">
      <c r="A16" s="39"/>
      <c r="B16" s="39"/>
      <c r="C16" s="39"/>
      <c r="D16" s="39"/>
      <c r="E16" s="39"/>
      <c r="F16" s="39"/>
      <c r="G16" s="39"/>
      <c r="H16" s="39"/>
      <c r="I16" s="39"/>
      <c r="J16" s="39"/>
      <c r="K16" s="39"/>
      <c r="L16" s="39"/>
      <c r="M16" s="39"/>
      <c r="N16" s="39"/>
      <c r="O16" s="39"/>
      <c r="P16" s="39"/>
      <c r="Q16" s="39"/>
      <c r="R16" s="39"/>
    </row>
    <row r="17" spans="1:18" ht="15.6" x14ac:dyDescent="0.3">
      <c r="A17" s="45" t="s">
        <v>36</v>
      </c>
      <c r="B17" s="39"/>
      <c r="C17" s="39"/>
      <c r="D17" s="39"/>
      <c r="E17" s="39"/>
      <c r="F17" s="39"/>
      <c r="G17" s="39"/>
      <c r="H17" s="39"/>
      <c r="I17" s="39"/>
      <c r="J17" s="39"/>
      <c r="K17" s="39"/>
      <c r="L17" s="39"/>
      <c r="M17" s="39"/>
      <c r="N17" s="39"/>
      <c r="O17" s="39"/>
      <c r="P17" s="39"/>
      <c r="Q17" s="39"/>
      <c r="R17" s="39"/>
    </row>
    <row r="18" spans="1:18" ht="15.6" x14ac:dyDescent="0.3">
      <c r="A18" s="40"/>
      <c r="B18" s="40" t="s">
        <v>18</v>
      </c>
      <c r="C18" s="40"/>
      <c r="D18" s="46">
        <f>SUM(F18:P18)</f>
        <v>3572.2008070321467</v>
      </c>
      <c r="E18" s="46"/>
      <c r="F18" s="46"/>
      <c r="G18" s="46"/>
      <c r="H18" s="46">
        <f>[1]Numbers!G23/1000</f>
        <v>0.62906385750000005</v>
      </c>
      <c r="I18" s="46"/>
      <c r="J18" s="46">
        <f>[1]Numbers!I23/1000</f>
        <v>30.826719859393751</v>
      </c>
      <c r="K18" s="46"/>
      <c r="L18" s="46">
        <f>[1]Numbers!K23/1000</f>
        <v>276.49500997943824</v>
      </c>
      <c r="M18" s="46"/>
      <c r="N18" s="46">
        <f>[1]Numbers!M23/1000</f>
        <v>984.52471625799114</v>
      </c>
      <c r="O18" s="46"/>
      <c r="P18" s="46">
        <f>[1]Numbers!O23/1000</f>
        <v>2279.7252970778236</v>
      </c>
      <c r="Q18" s="40"/>
      <c r="R18" s="40"/>
    </row>
    <row r="19" spans="1:18" x14ac:dyDescent="0.25">
      <c r="A19" s="39"/>
      <c r="B19" s="47" t="s">
        <v>37</v>
      </c>
      <c r="C19" s="39"/>
      <c r="D19" s="39"/>
      <c r="E19" s="39"/>
      <c r="F19" s="39"/>
      <c r="G19" s="39"/>
      <c r="H19" s="39"/>
      <c r="I19" s="39"/>
      <c r="J19" s="48">
        <f>(J18-H18)/H18</f>
        <v>48.004118567396397</v>
      </c>
      <c r="K19" s="39"/>
      <c r="L19" s="48">
        <f>(L18-J18)/J18</f>
        <v>7.9693295699504203</v>
      </c>
      <c r="M19" s="39"/>
      <c r="N19" s="48">
        <f>(N18-L18)/L18</f>
        <v>2.5607323124247561</v>
      </c>
      <c r="O19" s="39"/>
      <c r="P19" s="48">
        <f>(P18-N18)/N18</f>
        <v>1.3155592332335411</v>
      </c>
      <c r="Q19" s="39"/>
      <c r="R19" s="39"/>
    </row>
    <row r="20" spans="1:18" ht="5.25" customHeight="1" x14ac:dyDescent="0.25">
      <c r="A20" s="39"/>
      <c r="B20" s="39"/>
      <c r="C20" s="39"/>
      <c r="D20" s="39"/>
      <c r="E20" s="39"/>
      <c r="F20" s="39"/>
      <c r="G20" s="39"/>
      <c r="H20" s="39"/>
      <c r="I20" s="39"/>
      <c r="J20" s="39"/>
      <c r="K20" s="39"/>
      <c r="L20" s="39"/>
      <c r="M20" s="39"/>
      <c r="N20" s="39"/>
      <c r="O20" s="39"/>
      <c r="P20" s="39"/>
      <c r="Q20" s="39"/>
      <c r="R20" s="39"/>
    </row>
    <row r="21" spans="1:18" ht="15.6" x14ac:dyDescent="0.3">
      <c r="A21" s="40"/>
      <c r="B21" s="40" t="s">
        <v>38</v>
      </c>
      <c r="C21" s="40"/>
      <c r="D21" s="49">
        <f>SUM(F21:P21)</f>
        <v>72.078974092020005</v>
      </c>
      <c r="E21" s="40"/>
      <c r="F21" s="52">
        <f>[1]Numbers!E38/1000</f>
        <v>0</v>
      </c>
      <c r="G21" s="52"/>
      <c r="H21" s="52">
        <f>[1]Numbers!G41/1000</f>
        <v>6.877880099999999E-4</v>
      </c>
      <c r="I21" s="52"/>
      <c r="J21" s="52">
        <f>[1]Numbers!I41/1000</f>
        <v>0.7848859412100001</v>
      </c>
      <c r="K21" s="52"/>
      <c r="L21" s="52">
        <f>[1]Numbers!K41/1000</f>
        <v>5.9511163067999995</v>
      </c>
      <c r="M21" s="52"/>
      <c r="N21" s="52">
        <f>[1]Numbers!M41/1000</f>
        <v>19.970235280800001</v>
      </c>
      <c r="O21" s="52"/>
      <c r="P21" s="52">
        <f>[1]Numbers!O41/1000</f>
        <v>45.3720487752</v>
      </c>
      <c r="Q21" s="40"/>
      <c r="R21" s="40"/>
    </row>
    <row r="22" spans="1:18" x14ac:dyDescent="0.25">
      <c r="A22" s="39"/>
      <c r="B22" s="47" t="s">
        <v>39</v>
      </c>
      <c r="C22" s="39"/>
      <c r="D22" s="48">
        <f>D21/D18</f>
        <v>2.0177749792264509E-2</v>
      </c>
      <c r="E22" s="39"/>
      <c r="F22" s="39"/>
      <c r="G22" s="39"/>
      <c r="H22" s="48">
        <f>H21/H18</f>
        <v>1.0933516554795868E-3</v>
      </c>
      <c r="I22" s="39"/>
      <c r="J22" s="48">
        <f>J21/J18</f>
        <v>2.5461221459500295E-2</v>
      </c>
      <c r="K22" s="39"/>
      <c r="L22" s="48">
        <f>L21/L18</f>
        <v>2.1523413052707746E-2</v>
      </c>
      <c r="M22" s="39"/>
      <c r="N22" s="48">
        <f>N21/N18</f>
        <v>2.0284138072940845E-2</v>
      </c>
      <c r="O22" s="39"/>
      <c r="P22" s="48">
        <f>P21/P18</f>
        <v>1.9902419310501306E-2</v>
      </c>
      <c r="Q22" s="39"/>
      <c r="R22" s="39"/>
    </row>
    <row r="23" spans="1:18" ht="6" customHeight="1" x14ac:dyDescent="0.25">
      <c r="A23" s="39"/>
      <c r="B23" s="39"/>
      <c r="C23" s="39"/>
      <c r="D23" s="39"/>
      <c r="E23" s="39"/>
      <c r="F23" s="39"/>
      <c r="G23" s="39"/>
      <c r="H23" s="39"/>
      <c r="I23" s="39"/>
      <c r="J23" s="39"/>
      <c r="K23" s="39"/>
      <c r="L23" s="39"/>
      <c r="M23" s="39"/>
      <c r="N23" s="39"/>
      <c r="O23" s="39"/>
      <c r="P23" s="39"/>
      <c r="Q23" s="39"/>
      <c r="R23" s="39"/>
    </row>
    <row r="24" spans="1:18" ht="15.6" x14ac:dyDescent="0.3">
      <c r="A24" s="40"/>
      <c r="B24" s="40" t="s">
        <v>40</v>
      </c>
      <c r="C24" s="40"/>
      <c r="D24" s="49">
        <f>SUM(F24:P24)</f>
        <v>2.7116507899999998</v>
      </c>
      <c r="E24" s="40"/>
      <c r="F24" s="49">
        <f>[1]Numbers!E56/1000</f>
        <v>2.7511599999999999E-3</v>
      </c>
      <c r="G24" s="40"/>
      <c r="H24" s="49">
        <f>[1]Numbers!G56/1000</f>
        <v>1.8365630000000001E-2</v>
      </c>
      <c r="I24" s="40"/>
      <c r="J24" s="49">
        <f>[1]Numbers!I56/1000</f>
        <v>6.857400000000001E-2</v>
      </c>
      <c r="K24" s="40"/>
      <c r="L24" s="49">
        <f>[1]Numbers!K56/1000</f>
        <v>0.25264000000000003</v>
      </c>
      <c r="M24" s="40"/>
      <c r="N24" s="49">
        <f>[1]Numbers!M56/1000</f>
        <v>0.745</v>
      </c>
      <c r="O24" s="40"/>
      <c r="P24" s="49">
        <f>[1]Numbers!O56/1000</f>
        <v>1.6243199999999998</v>
      </c>
      <c r="Q24" s="40"/>
      <c r="R24" s="40"/>
    </row>
    <row r="25" spans="1:18" x14ac:dyDescent="0.25">
      <c r="A25" s="39"/>
      <c r="B25" s="47" t="s">
        <v>39</v>
      </c>
      <c r="C25" s="39"/>
      <c r="D25" s="48">
        <f>D24/D18</f>
        <v>7.5909808448111616E-4</v>
      </c>
      <c r="E25" s="39"/>
      <c r="F25" s="39"/>
      <c r="G25" s="39"/>
      <c r="H25" s="48">
        <f>H24/H18</f>
        <v>2.9195175944438996E-2</v>
      </c>
      <c r="I25" s="39"/>
      <c r="J25" s="48">
        <f>J24/J18</f>
        <v>2.2244987566883028E-3</v>
      </c>
      <c r="K25" s="39"/>
      <c r="L25" s="48">
        <f>L24/L18</f>
        <v>9.1372354249282038E-4</v>
      </c>
      <c r="M25" s="39"/>
      <c r="N25" s="48">
        <f>N24/N18</f>
        <v>7.5671030670679013E-4</v>
      </c>
      <c r="O25" s="39"/>
      <c r="P25" s="48">
        <f>P24/P18</f>
        <v>7.1250689812587099E-4</v>
      </c>
      <c r="Q25" s="39"/>
      <c r="R25" s="39"/>
    </row>
    <row r="26" spans="1:18" ht="6.75" customHeight="1" x14ac:dyDescent="0.25">
      <c r="A26" s="39"/>
      <c r="B26" s="39"/>
      <c r="C26" s="39"/>
      <c r="D26" s="39"/>
      <c r="E26" s="39"/>
      <c r="F26" s="39"/>
      <c r="G26" s="39"/>
      <c r="H26" s="39"/>
      <c r="I26" s="39"/>
      <c r="J26" s="39"/>
      <c r="K26" s="39"/>
      <c r="L26" s="39"/>
      <c r="M26" s="39"/>
      <c r="N26" s="39"/>
      <c r="O26" s="39"/>
      <c r="P26" s="39"/>
      <c r="Q26" s="39"/>
      <c r="R26" s="39"/>
    </row>
    <row r="27" spans="1:18" ht="15.6" x14ac:dyDescent="0.3">
      <c r="A27" s="40"/>
      <c r="B27" s="40" t="s">
        <v>41</v>
      </c>
      <c r="C27" s="40"/>
      <c r="D27" s="49">
        <f>SUM(F27:P27)</f>
        <v>549.64184978521735</v>
      </c>
      <c r="E27" s="40"/>
      <c r="F27" s="40"/>
      <c r="G27" s="40"/>
      <c r="H27" s="49">
        <f>[1]Numbers!G61/1000</f>
        <v>0.33376657913043478</v>
      </c>
      <c r="I27" s="40"/>
      <c r="J27" s="49">
        <f>[1]Numbers!I61/1000</f>
        <v>7.7684766456521741</v>
      </c>
      <c r="K27" s="40"/>
      <c r="L27" s="49">
        <f>[1]Numbers!K61/1000</f>
        <v>49.077660960869565</v>
      </c>
      <c r="M27" s="40"/>
      <c r="N27" s="49">
        <f>[1]Numbers!M61/1000</f>
        <v>154.92470624347823</v>
      </c>
      <c r="O27" s="40"/>
      <c r="P27" s="49">
        <f>[1]Numbers!O61/1000</f>
        <v>337.53723935608696</v>
      </c>
      <c r="Q27" s="40"/>
      <c r="R27" s="40"/>
    </row>
    <row r="28" spans="1:18" x14ac:dyDescent="0.25">
      <c r="A28" s="39"/>
      <c r="B28" s="47" t="s">
        <v>39</v>
      </c>
      <c r="C28" s="39"/>
      <c r="D28" s="48">
        <f>D27/D18</f>
        <v>0.15386644801804139</v>
      </c>
      <c r="E28" s="39"/>
      <c r="F28" s="39"/>
      <c r="G28" s="39"/>
      <c r="H28" s="48">
        <f>H27/H18</f>
        <v>0.53057662612644174</v>
      </c>
      <c r="I28" s="39"/>
      <c r="J28" s="48">
        <f>J27/J18</f>
        <v>0.25200464665347472</v>
      </c>
      <c r="K28" s="39"/>
      <c r="L28" s="48">
        <f>L27/L18</f>
        <v>0.17749926468661861</v>
      </c>
      <c r="M28" s="39"/>
      <c r="N28" s="48">
        <f>N27/N18</f>
        <v>0.15735989527243191</v>
      </c>
      <c r="O28" s="39"/>
      <c r="P28" s="48">
        <f>P27/P18</f>
        <v>0.14806048772136968</v>
      </c>
      <c r="Q28" s="39"/>
      <c r="R28" s="39"/>
    </row>
    <row r="29" spans="1:18" ht="4.5" customHeight="1" x14ac:dyDescent="0.25">
      <c r="A29" s="39"/>
      <c r="B29" s="39"/>
      <c r="C29" s="39"/>
      <c r="D29" s="39"/>
      <c r="E29" s="39"/>
      <c r="F29" s="39"/>
      <c r="G29" s="39"/>
      <c r="H29" s="39"/>
      <c r="I29" s="39"/>
      <c r="J29" s="39"/>
      <c r="K29" s="39"/>
      <c r="L29" s="39"/>
      <c r="M29" s="39"/>
      <c r="N29" s="39"/>
      <c r="O29" s="39"/>
      <c r="P29" s="39"/>
      <c r="Q29" s="39"/>
      <c r="R29" s="39"/>
    </row>
    <row r="30" spans="1:18" ht="15.6" x14ac:dyDescent="0.3">
      <c r="A30" s="40"/>
      <c r="B30" s="40" t="s">
        <v>42</v>
      </c>
      <c r="C30" s="40"/>
      <c r="D30" s="49">
        <f>SUM(F30:P30)</f>
        <v>1486.7998863445473</v>
      </c>
      <c r="E30" s="40"/>
      <c r="F30" s="40"/>
      <c r="G30" s="40"/>
      <c r="H30" s="49">
        <f>SUM([1]Numbers!G63:G64)/1000</f>
        <v>-5.9027313586465615</v>
      </c>
      <c r="I30" s="40"/>
      <c r="J30" s="49">
        <f>SUM([1]Numbers!I63:I64)/1000</f>
        <v>-4.794134147065142</v>
      </c>
      <c r="K30" s="40"/>
      <c r="L30" s="49">
        <f>SUM([1]Numbers!K63:K64)/1000</f>
        <v>98.646833788885857</v>
      </c>
      <c r="M30" s="40"/>
      <c r="N30" s="49">
        <f>SUM([1]Numbers!M63:M64)/1000</f>
        <v>414.16034827484691</v>
      </c>
      <c r="O30" s="40"/>
      <c r="P30" s="49">
        <f>SUM([1]Numbers!O63:O64)/1000</f>
        <v>984.68956978652614</v>
      </c>
      <c r="Q30" s="40"/>
      <c r="R30" s="40"/>
    </row>
    <row r="31" spans="1:18" x14ac:dyDescent="0.25">
      <c r="A31" s="39"/>
      <c r="B31" s="47" t="s">
        <v>39</v>
      </c>
      <c r="C31" s="39"/>
      <c r="D31" s="48">
        <f>D30/D18</f>
        <v>0.41621397190708587</v>
      </c>
      <c r="E31" s="39"/>
      <c r="F31" s="39"/>
      <c r="G31" s="39"/>
      <c r="H31" s="48">
        <f>H30/H18</f>
        <v>-9.383357966399398</v>
      </c>
      <c r="I31" s="39"/>
      <c r="J31" s="48">
        <f>J30/J18</f>
        <v>-0.15551878918457934</v>
      </c>
      <c r="K31" s="39"/>
      <c r="L31" s="48">
        <f>L30/L18</f>
        <v>0.35677618122736393</v>
      </c>
      <c r="M31" s="39"/>
      <c r="N31" s="48">
        <f>N30/N18</f>
        <v>0.42067034116624219</v>
      </c>
      <c r="O31" s="39"/>
      <c r="P31" s="48">
        <f>P30/P18</f>
        <v>0.43193343121152</v>
      </c>
      <c r="Q31" s="39"/>
      <c r="R31" s="39"/>
    </row>
    <row r="32" spans="1:18" ht="5.25" customHeight="1" x14ac:dyDescent="0.25">
      <c r="A32" s="39"/>
      <c r="B32" s="39"/>
      <c r="C32" s="39"/>
      <c r="D32" s="39"/>
      <c r="E32" s="39"/>
      <c r="F32" s="39"/>
      <c r="G32" s="39"/>
      <c r="H32" s="39"/>
      <c r="I32" s="39"/>
      <c r="J32" s="39"/>
      <c r="K32" s="39"/>
      <c r="L32" s="39"/>
      <c r="M32" s="39"/>
      <c r="N32" s="39"/>
      <c r="O32" s="39"/>
      <c r="P32" s="39"/>
      <c r="Q32" s="39"/>
      <c r="R32" s="39"/>
    </row>
    <row r="33" spans="1:18" ht="15.6" hidden="1" x14ac:dyDescent="0.3">
      <c r="A33" s="40"/>
      <c r="B33" s="40" t="s">
        <v>183</v>
      </c>
      <c r="C33" s="40"/>
      <c r="D33" s="49"/>
      <c r="E33" s="40"/>
      <c r="F33" s="52"/>
      <c r="G33" s="40"/>
      <c r="H33" s="52"/>
      <c r="I33" s="40"/>
      <c r="J33" s="52"/>
      <c r="K33" s="40"/>
      <c r="L33" s="52"/>
      <c r="M33" s="40"/>
      <c r="N33" s="52"/>
      <c r="O33" s="40"/>
      <c r="P33" s="52"/>
      <c r="Q33" s="40"/>
      <c r="R33" s="40"/>
    </row>
    <row r="34" spans="1:18" ht="15.6" hidden="1" x14ac:dyDescent="0.3">
      <c r="A34" s="40"/>
      <c r="B34" s="40" t="s">
        <v>202</v>
      </c>
      <c r="C34" s="40"/>
      <c r="D34" s="49"/>
      <c r="E34" s="40"/>
      <c r="F34" s="52"/>
      <c r="G34" s="40"/>
      <c r="H34" s="52"/>
      <c r="I34" s="40"/>
      <c r="J34" s="52"/>
      <c r="K34" s="40"/>
      <c r="L34" s="52"/>
      <c r="M34" s="40"/>
      <c r="N34" s="52"/>
      <c r="O34" s="40"/>
      <c r="P34" s="52"/>
      <c r="Q34" s="40"/>
      <c r="R34" s="40"/>
    </row>
    <row r="35" spans="1:18" ht="5.25" customHeight="1" x14ac:dyDescent="0.25">
      <c r="A35" s="39"/>
      <c r="B35" s="39"/>
      <c r="C35" s="39"/>
      <c r="D35" s="39"/>
      <c r="E35" s="39"/>
      <c r="F35" s="39"/>
      <c r="G35" s="39"/>
      <c r="H35" s="39"/>
      <c r="I35" s="39"/>
      <c r="J35" s="39"/>
      <c r="K35" s="39"/>
      <c r="L35" s="39"/>
      <c r="M35" s="39"/>
      <c r="N35" s="39"/>
      <c r="O35" s="39"/>
      <c r="P35" s="39"/>
      <c r="Q35" s="39"/>
      <c r="R35" s="39"/>
    </row>
    <row r="36" spans="1:18" ht="15.6" x14ac:dyDescent="0.3">
      <c r="A36" s="45" t="s">
        <v>43</v>
      </c>
      <c r="B36" s="40"/>
      <c r="C36" s="40"/>
      <c r="D36" s="46">
        <f>SUM(F36:P36)</f>
        <v>1460.9684460203621</v>
      </c>
      <c r="E36" s="40"/>
      <c r="F36" s="46">
        <f>F18-(F21+F24+F27+F30+F33+F34)</f>
        <v>-2.7511599999999999E-3</v>
      </c>
      <c r="G36" s="40"/>
      <c r="H36" s="46">
        <f>H18-(H21+H24+H27+H30+H33+H34)</f>
        <v>6.1789752190061273</v>
      </c>
      <c r="I36" s="40"/>
      <c r="J36" s="46">
        <f>J18-(J21+J24+J27+J30+J33+J34)</f>
        <v>26.998917419596719</v>
      </c>
      <c r="K36" s="40"/>
      <c r="L36" s="46">
        <f>L18-(L21+L24+L27+L30+L33+L34)</f>
        <v>122.5667589228828</v>
      </c>
      <c r="M36" s="40"/>
      <c r="N36" s="46">
        <f>N18-(N21+N24+N27+N30+N33+N34)</f>
        <v>394.72442645886599</v>
      </c>
      <c r="O36" s="40"/>
      <c r="P36" s="46">
        <f>P18-(P21+P24+P27+P30+P33+P34)</f>
        <v>910.50211916001058</v>
      </c>
      <c r="Q36" s="40"/>
      <c r="R36" s="46">
        <f>$R$15*P36</f>
        <v>4552.5105958000531</v>
      </c>
    </row>
    <row r="37" spans="1:18" ht="6.75" customHeight="1" x14ac:dyDescent="0.25">
      <c r="A37" s="39"/>
      <c r="B37" s="39"/>
      <c r="C37" s="39"/>
      <c r="D37" s="39"/>
      <c r="E37" s="39"/>
      <c r="F37" s="39"/>
      <c r="G37" s="39"/>
      <c r="H37" s="39"/>
      <c r="I37" s="39"/>
      <c r="J37" s="39"/>
      <c r="K37" s="39"/>
      <c r="L37" s="39"/>
      <c r="M37" s="39"/>
      <c r="N37" s="39"/>
      <c r="O37" s="39"/>
      <c r="P37" s="39"/>
      <c r="Q37" s="39"/>
      <c r="R37" s="39"/>
    </row>
    <row r="38" spans="1:18" ht="15.6" hidden="1" x14ac:dyDescent="0.3">
      <c r="A38" s="40"/>
      <c r="B38" s="40" t="s">
        <v>44</v>
      </c>
      <c r="C38" s="40"/>
      <c r="D38" s="46">
        <f>SUM(F38:P38)</f>
        <v>1095.7283978852715</v>
      </c>
      <c r="E38" s="40"/>
      <c r="F38" s="40"/>
      <c r="G38" s="40"/>
      <c r="H38" s="46">
        <f>0.75*H36</f>
        <v>4.6342314142545957</v>
      </c>
      <c r="I38" s="40"/>
      <c r="J38" s="46">
        <f>0.75*J36</f>
        <v>20.249188064697538</v>
      </c>
      <c r="K38" s="40"/>
      <c r="L38" s="46">
        <f>0.75*L36</f>
        <v>91.925069192162098</v>
      </c>
      <c r="M38" s="40"/>
      <c r="N38" s="46">
        <f>0.75*N36</f>
        <v>296.04331984414949</v>
      </c>
      <c r="O38" s="40"/>
      <c r="P38" s="46">
        <f>0.75*P36</f>
        <v>682.87658937000788</v>
      </c>
      <c r="Q38" s="40"/>
      <c r="R38" s="46">
        <f>$R$15*P38</f>
        <v>3414.3829468500394</v>
      </c>
    </row>
    <row r="39" spans="1:18" ht="5.25" hidden="1" customHeight="1" x14ac:dyDescent="0.25">
      <c r="A39" s="39"/>
      <c r="B39" s="39"/>
      <c r="C39" s="39"/>
      <c r="D39" s="39"/>
      <c r="E39" s="39"/>
      <c r="F39" s="39"/>
      <c r="G39" s="39"/>
      <c r="H39" s="39"/>
      <c r="I39" s="39"/>
      <c r="J39" s="39"/>
      <c r="K39" s="39"/>
      <c r="L39" s="39"/>
      <c r="M39" s="39"/>
      <c r="N39" s="39"/>
      <c r="O39" s="39"/>
      <c r="P39" s="39"/>
      <c r="Q39" s="39"/>
      <c r="R39" s="39"/>
    </row>
    <row r="40" spans="1:18" ht="15.6" hidden="1" x14ac:dyDescent="0.3">
      <c r="A40" s="40"/>
      <c r="B40" s="40" t="s">
        <v>45</v>
      </c>
      <c r="C40" s="40"/>
      <c r="D40" s="46">
        <f>SUM(F40:P40)</f>
        <v>730.4855985901811</v>
      </c>
      <c r="E40" s="40"/>
      <c r="F40" s="40"/>
      <c r="G40" s="40"/>
      <c r="H40" s="46">
        <f>H36*0.5</f>
        <v>3.0894876095030637</v>
      </c>
      <c r="I40" s="40"/>
      <c r="J40" s="46">
        <f>J36*0.5</f>
        <v>13.499458709798359</v>
      </c>
      <c r="K40" s="40"/>
      <c r="L40" s="46">
        <f>L36*0.5</f>
        <v>61.283379461441399</v>
      </c>
      <c r="M40" s="40"/>
      <c r="N40" s="46">
        <f>N36*0.5</f>
        <v>197.362213229433</v>
      </c>
      <c r="O40" s="40"/>
      <c r="P40" s="46">
        <f>P36*0.5</f>
        <v>455.25105958000529</v>
      </c>
      <c r="Q40" s="40"/>
      <c r="R40" s="46">
        <f>$R$15*P40</f>
        <v>2276.2552979000266</v>
      </c>
    </row>
    <row r="41" spans="1:18" x14ac:dyDescent="0.25">
      <c r="A41" s="39"/>
      <c r="B41" s="39"/>
      <c r="C41" s="39"/>
      <c r="D41" s="39"/>
      <c r="E41" s="39"/>
      <c r="F41" s="39"/>
      <c r="G41" s="39"/>
      <c r="H41" s="39"/>
      <c r="I41" s="39"/>
      <c r="J41" s="39"/>
      <c r="K41" s="39"/>
      <c r="L41" s="39"/>
      <c r="M41" s="39"/>
      <c r="N41" s="39"/>
      <c r="O41" s="39"/>
      <c r="P41" s="39"/>
      <c r="Q41" s="39"/>
      <c r="R41" s="39"/>
    </row>
    <row r="42" spans="1:18" x14ac:dyDescent="0.25">
      <c r="B42" s="39"/>
      <c r="C42" s="39"/>
      <c r="D42" s="39"/>
      <c r="E42" s="39"/>
      <c r="F42" s="39"/>
      <c r="G42" s="39"/>
      <c r="H42" s="39"/>
      <c r="I42" s="39"/>
      <c r="J42" s="39"/>
      <c r="K42" s="39"/>
      <c r="L42" s="39"/>
      <c r="M42" s="39"/>
      <c r="N42" s="39"/>
      <c r="O42" s="39"/>
      <c r="P42" s="39"/>
      <c r="Q42" s="39"/>
      <c r="R42" s="39"/>
    </row>
    <row r="43" spans="1:18" ht="15.6" x14ac:dyDescent="0.3">
      <c r="A43" s="45" t="s">
        <v>46</v>
      </c>
      <c r="B43" s="39"/>
      <c r="C43" s="39"/>
      <c r="D43" s="209" t="s">
        <v>47</v>
      </c>
      <c r="E43" s="39"/>
      <c r="F43" s="43">
        <v>2000</v>
      </c>
      <c r="G43" s="41"/>
      <c r="H43" s="43">
        <v>2001</v>
      </c>
      <c r="I43" s="41"/>
      <c r="J43" s="43">
        <v>2002</v>
      </c>
      <c r="K43" s="41"/>
      <c r="L43" s="43">
        <v>2003</v>
      </c>
      <c r="M43" s="41"/>
      <c r="N43" s="43">
        <v>2004</v>
      </c>
      <c r="O43" s="39"/>
      <c r="P43" s="39"/>
      <c r="Q43" s="39"/>
      <c r="R43" s="39"/>
    </row>
    <row r="44" spans="1:18" ht="15.6" x14ac:dyDescent="0.3">
      <c r="A44" s="40"/>
      <c r="B44" s="40"/>
      <c r="C44" s="40"/>
      <c r="D44" s="50">
        <v>0.2</v>
      </c>
      <c r="E44" s="40"/>
      <c r="F44" s="46">
        <f>NPV($D$44,$H$36,$J$36,$L$36,$N$36,$P$36,$R$36)</f>
        <v>2175.7222728218935</v>
      </c>
      <c r="G44" s="46"/>
      <c r="H44" s="46">
        <f>NPV($D$44,$J$36,$L$36,$N$36,$P$36,$R$36)</f>
        <v>2604.6877521672654</v>
      </c>
      <c r="I44" s="40"/>
      <c r="J44" s="46">
        <f>NPV($D$44,$L$36,$N$36,$P$36,$R$36)</f>
        <v>3098.6263851811223</v>
      </c>
      <c r="K44" s="40"/>
      <c r="L44" s="46">
        <f>NPV($D$44,$N$36,$P$36,$R$36)</f>
        <v>3595.7849032944637</v>
      </c>
      <c r="M44" s="40"/>
      <c r="N44" s="46">
        <f>NPV($D$44,,$P$36,$R$36)</f>
        <v>3266.8478812454086</v>
      </c>
      <c r="O44" s="40"/>
      <c r="P44" s="40"/>
      <c r="Q44" s="40"/>
      <c r="R44" s="40"/>
    </row>
    <row r="45" spans="1:18" ht="15.6" x14ac:dyDescent="0.3">
      <c r="A45" s="40"/>
      <c r="B45" s="47" t="s">
        <v>199</v>
      </c>
      <c r="C45" s="40"/>
      <c r="D45" s="50"/>
      <c r="E45" s="40"/>
      <c r="F45" s="46"/>
      <c r="G45" s="46"/>
      <c r="H45" s="51">
        <f>H44/H18</f>
        <v>4140.577655373032</v>
      </c>
      <c r="I45" s="51"/>
      <c r="J45" s="51">
        <f>J44/J18</f>
        <v>100.5175509854606</v>
      </c>
      <c r="K45" s="51"/>
      <c r="L45" s="51">
        <f>L44/L18</f>
        <v>13.00488172846905</v>
      </c>
      <c r="M45" s="51"/>
      <c r="N45" s="51">
        <f>N44/N18</f>
        <v>3.3181979358142826</v>
      </c>
      <c r="O45" s="40"/>
      <c r="P45" s="40"/>
      <c r="Q45" s="40"/>
      <c r="R45" s="40"/>
    </row>
    <row r="46" spans="1:18" ht="15.6" x14ac:dyDescent="0.3">
      <c r="A46" s="40"/>
      <c r="B46" s="40"/>
      <c r="C46" s="40"/>
      <c r="D46" s="50">
        <v>0.25</v>
      </c>
      <c r="E46" s="40"/>
      <c r="F46" s="46">
        <f>NPV($D$46,$H$36,$J$36,$L$36,$N$36,$P$36,$R$36)</f>
        <v>1738.4224650015756</v>
      </c>
      <c r="G46" s="46"/>
      <c r="H46" s="46">
        <f>NPV($D$46,$J$36,$L$36,$N$36,$P$36,$R$36)</f>
        <v>2166.8491060329638</v>
      </c>
      <c r="I46" s="40"/>
      <c r="J46" s="46">
        <f>NPV($D$46,$L$36,$N$36,$P$36,$R$36)</f>
        <v>2681.5624651216071</v>
      </c>
      <c r="K46" s="40"/>
      <c r="L46" s="46">
        <f>NPV($D$46,$N$36,$P$36,$R$36)</f>
        <v>3229.3863224791266</v>
      </c>
      <c r="M46" s="40"/>
      <c r="N46" s="46">
        <f>NPV($D$46,,$P$36,$R$36)</f>
        <v>2913.6067813120339</v>
      </c>
      <c r="O46" s="40"/>
      <c r="P46" s="40"/>
      <c r="Q46" s="40"/>
      <c r="R46" s="40"/>
    </row>
    <row r="47" spans="1:18" ht="15.6" x14ac:dyDescent="0.3">
      <c r="A47" s="40"/>
      <c r="B47" s="47" t="s">
        <v>199</v>
      </c>
      <c r="C47" s="40"/>
      <c r="D47" s="50"/>
      <c r="E47" s="40"/>
      <c r="F47" s="46"/>
      <c r="G47" s="46"/>
      <c r="H47" s="51">
        <f>H46/H18</f>
        <v>3444.5614387136584</v>
      </c>
      <c r="I47" s="51"/>
      <c r="J47" s="51">
        <f>J46/J18</f>
        <v>86.988251664552664</v>
      </c>
      <c r="K47" s="51"/>
      <c r="L47" s="51">
        <f>L46/L18</f>
        <v>11.679727322092656</v>
      </c>
      <c r="M47" s="51"/>
      <c r="N47" s="51">
        <f>N46/N18</f>
        <v>2.9594044041739771</v>
      </c>
      <c r="O47" s="40"/>
      <c r="P47" s="40"/>
      <c r="Q47" s="40"/>
      <c r="R47" s="40"/>
    </row>
    <row r="48" spans="1:18" ht="15.6" x14ac:dyDescent="0.3">
      <c r="A48" s="40"/>
      <c r="B48" s="40"/>
      <c r="C48" s="40"/>
      <c r="D48" s="50">
        <v>0.3</v>
      </c>
      <c r="E48" s="40"/>
      <c r="F48" s="46">
        <f>NPV($D$48,$H$36,$J$36,$L$36,$N$36,$P$36,$R$36)</f>
        <v>1403.1175692427721</v>
      </c>
      <c r="G48" s="46"/>
      <c r="H48" s="46">
        <f>NPV($D$48,$J$36,$L$36,$N$36,$P$36,$R$36)</f>
        <v>1817.8738647965977</v>
      </c>
      <c r="I48" s="40"/>
      <c r="J48" s="46">
        <f>NPV($D$48,$L$36,$N$36,$P$36,$R$36)</f>
        <v>2336.237106815981</v>
      </c>
      <c r="K48" s="40"/>
      <c r="L48" s="46">
        <f>NPV($D$48,$N$36,$P$36,$R$36)</f>
        <v>2914.5414799378923</v>
      </c>
      <c r="M48" s="40"/>
      <c r="N48" s="46">
        <f>NPV($D$48,,$P$36,$R$36)</f>
        <v>2610.907305738765</v>
      </c>
      <c r="O48" s="40"/>
      <c r="P48" s="40"/>
      <c r="Q48" s="40"/>
      <c r="R48" s="40"/>
    </row>
    <row r="49" spans="1:18" x14ac:dyDescent="0.25">
      <c r="A49" s="39"/>
      <c r="B49" s="47" t="s">
        <v>199</v>
      </c>
      <c r="C49" s="39"/>
      <c r="D49" s="39"/>
      <c r="E49" s="39"/>
      <c r="F49" s="39"/>
      <c r="G49" s="39"/>
      <c r="H49" s="51">
        <f>H48/H18</f>
        <v>2889.8081540101794</v>
      </c>
      <c r="I49" s="51"/>
      <c r="J49" s="51">
        <f>J48/J18</f>
        <v>75.786107554484587</v>
      </c>
      <c r="K49" s="51"/>
      <c r="L49" s="51">
        <f>L48/L18</f>
        <v>10.541027413676053</v>
      </c>
      <c r="M49" s="51"/>
      <c r="N49" s="51">
        <f>N48/N18</f>
        <v>2.6519469370584967</v>
      </c>
      <c r="O49" s="39"/>
      <c r="P49" s="39"/>
      <c r="Q49" s="39"/>
      <c r="R49" s="39"/>
    </row>
    <row r="50" spans="1:18" ht="15.6" hidden="1" x14ac:dyDescent="0.3">
      <c r="A50" s="40"/>
      <c r="B50" s="40" t="s">
        <v>44</v>
      </c>
      <c r="C50" s="40"/>
      <c r="D50" s="40"/>
      <c r="E50" s="40"/>
      <c r="F50" s="46">
        <f>NPV($D$44,$H$38,$J$38,$L$38,$N$38,$P$38,$R$38)</f>
        <v>1631.7917046164198</v>
      </c>
      <c r="G50" s="46"/>
      <c r="H50" s="46">
        <f>NPV($D$44,$J$38,$L$38,$N$38,$P$38,$R$38)</f>
        <v>1953.5158141254492</v>
      </c>
      <c r="I50" s="40"/>
      <c r="J50" s="46">
        <f>NPV($D$44,$L$38,$N$38,$P$38,$R$38)</f>
        <v>2323.9697888858414</v>
      </c>
      <c r="K50" s="40"/>
      <c r="L50" s="46">
        <f>NPV($D$44,$N$38,$P$38,$R$38)</f>
        <v>2696.8386774708479</v>
      </c>
      <c r="M50" s="40"/>
      <c r="N50" s="46">
        <f>NPV($D$44,$P$38,$R$38)</f>
        <v>2940.1630931208674</v>
      </c>
      <c r="O50" s="40"/>
      <c r="P50" s="40"/>
      <c r="Q50" s="40"/>
      <c r="R50" s="40"/>
    </row>
    <row r="51" spans="1:18" hidden="1" x14ac:dyDescent="0.25">
      <c r="A51" s="39"/>
      <c r="B51" s="39"/>
      <c r="C51" s="39"/>
      <c r="D51" s="39"/>
      <c r="E51" s="39"/>
      <c r="F51" s="39"/>
      <c r="G51" s="39"/>
      <c r="H51" s="39"/>
      <c r="I51" s="39"/>
      <c r="J51" s="39"/>
      <c r="K51" s="39"/>
      <c r="L51" s="39"/>
      <c r="M51" s="39"/>
      <c r="N51" s="39"/>
      <c r="O51" s="39"/>
      <c r="P51" s="39"/>
      <c r="Q51" s="39"/>
      <c r="R51" s="39"/>
    </row>
    <row r="52" spans="1:18" ht="15.6" hidden="1" x14ac:dyDescent="0.3">
      <c r="A52" s="40"/>
      <c r="B52" s="40" t="s">
        <v>45</v>
      </c>
      <c r="C52" s="40"/>
      <c r="D52" s="40"/>
      <c r="E52" s="40"/>
      <c r="F52" s="46">
        <f>NPV($D$44,$H$40,$J$40,$L$40,$N$40,$P$40,$R$40)</f>
        <v>1087.8611364109468</v>
      </c>
      <c r="G52" s="46"/>
      <c r="H52" s="46">
        <f>NPV($D$44,$J$40,$L$40,$N$40,$P$40,$R$40)</f>
        <v>1302.3438760836327</v>
      </c>
      <c r="I52" s="40"/>
      <c r="J52" s="46">
        <f>NPV($D$44,$L$40,$N$40,$P$40,$R$40)</f>
        <v>1549.3131925905611</v>
      </c>
      <c r="K52" s="40"/>
      <c r="L52" s="46">
        <f>NPV($D$44,$N$40,$P$40,$R$40)</f>
        <v>1797.8924516472318</v>
      </c>
      <c r="M52" s="40"/>
      <c r="N52" s="46">
        <f>NPV($D$44,$P$40,$R$40)</f>
        <v>1960.1087287472453</v>
      </c>
      <c r="O52" s="40"/>
      <c r="P52" s="40"/>
      <c r="Q52" s="40"/>
      <c r="R52" s="40"/>
    </row>
    <row r="53" spans="1:18" hidden="1" x14ac:dyDescent="0.25"/>
  </sheetData>
  <phoneticPr fontId="0" type="noConversion"/>
  <printOptions horizontalCentered="1"/>
  <pageMargins left="0.5" right="0.5" top="0.75" bottom="0.75" header="0.5" footer="0.5"/>
  <pageSetup scale="85" orientation="landscape" r:id="rId1"/>
  <headerFooter alignWithMargins="0">
    <oddFooter>&amp;L&amp;"Times New Roman,Bold Italic"&amp;12IdleAire Technologies Corporation Confidential&amp;R&amp;D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1"/>
  <sheetViews>
    <sheetView view="pageBreakPreview" zoomScale="60" zoomScaleNormal="100" workbookViewId="0">
      <pane xSplit="7668" ySplit="720" topLeftCell="A183" activePane="bottomRight"/>
      <selection sqref="A1:IV3"/>
      <selection pane="topRight" activeCell="J2" sqref="J1:J65536"/>
      <selection pane="bottomLeft" activeCell="A194" sqref="A194:IV194"/>
      <selection pane="bottomRight" activeCell="C226" sqref="C226"/>
    </sheetView>
  </sheetViews>
  <sheetFormatPr defaultRowHeight="13.8" x14ac:dyDescent="0.25"/>
  <cols>
    <col min="2" max="2" width="10.109375" customWidth="1"/>
    <col min="3" max="3" width="14.5546875" customWidth="1"/>
    <col min="4" max="4" width="17.109375" customWidth="1"/>
    <col min="5" max="6" width="12.6640625" customWidth="1"/>
    <col min="7" max="7" width="11.109375" customWidth="1"/>
    <col min="8" max="10" width="10.109375" customWidth="1"/>
  </cols>
  <sheetData>
    <row r="1" spans="1:10" x14ac:dyDescent="0.25">
      <c r="A1" s="195"/>
      <c r="B1" s="191" t="s">
        <v>12</v>
      </c>
      <c r="C1" s="191" t="s">
        <v>14</v>
      </c>
      <c r="D1" s="191" t="s">
        <v>16</v>
      </c>
      <c r="E1" s="191" t="s">
        <v>18</v>
      </c>
      <c r="F1" s="191" t="s">
        <v>21</v>
      </c>
      <c r="G1" s="191" t="s">
        <v>20</v>
      </c>
      <c r="H1" s="259" t="s">
        <v>25</v>
      </c>
      <c r="I1" s="259"/>
      <c r="J1" s="260"/>
    </row>
    <row r="2" spans="1:10" x14ac:dyDescent="0.25">
      <c r="A2" s="192" t="s">
        <v>171</v>
      </c>
      <c r="B2" s="192" t="s">
        <v>13</v>
      </c>
      <c r="C2" s="192" t="s">
        <v>15</v>
      </c>
      <c r="D2" s="192" t="s">
        <v>17</v>
      </c>
      <c r="E2" s="192" t="s">
        <v>19</v>
      </c>
      <c r="F2" s="192" t="s">
        <v>19</v>
      </c>
      <c r="G2" s="192" t="s">
        <v>19</v>
      </c>
      <c r="H2" s="191" t="s">
        <v>26</v>
      </c>
      <c r="I2" s="191" t="s">
        <v>21</v>
      </c>
      <c r="J2" s="191" t="s">
        <v>32</v>
      </c>
    </row>
    <row r="3" spans="1:10" x14ac:dyDescent="0.25">
      <c r="A3" s="196"/>
      <c r="B3" s="193"/>
      <c r="C3" s="193" t="s">
        <v>24</v>
      </c>
      <c r="D3" s="193" t="s">
        <v>23</v>
      </c>
      <c r="E3" s="193" t="s">
        <v>23</v>
      </c>
      <c r="F3" s="193" t="s">
        <v>23</v>
      </c>
      <c r="G3" s="193" t="s">
        <v>23</v>
      </c>
      <c r="H3" s="194"/>
      <c r="I3" s="194"/>
      <c r="J3" s="194"/>
    </row>
    <row r="4" spans="1:10" ht="7.5" customHeight="1" thickBot="1" x14ac:dyDescent="0.3">
      <c r="B4" s="15"/>
      <c r="C4" s="15"/>
      <c r="D4" s="15"/>
      <c r="E4" s="15"/>
      <c r="F4" s="15"/>
      <c r="G4" s="15"/>
      <c r="H4" s="2"/>
      <c r="I4" s="2"/>
      <c r="J4" s="2"/>
    </row>
    <row r="5" spans="1:10" ht="18" thickBot="1" x14ac:dyDescent="0.35">
      <c r="A5" s="20" t="s">
        <v>27</v>
      </c>
      <c r="B5" s="17"/>
      <c r="C5" s="18"/>
      <c r="D5" s="18"/>
      <c r="E5" s="18"/>
      <c r="F5" s="18"/>
      <c r="G5" s="18"/>
      <c r="H5" s="17"/>
      <c r="I5" s="17"/>
      <c r="J5" s="19"/>
    </row>
    <row r="6" spans="1:10" x14ac:dyDescent="0.25">
      <c r="A6" s="13" t="s">
        <v>107</v>
      </c>
      <c r="B6" s="3">
        <v>43.75</v>
      </c>
      <c r="C6" s="4">
        <v>749.8</v>
      </c>
      <c r="D6" s="5">
        <f>B6*C6</f>
        <v>32803.75</v>
      </c>
      <c r="E6" s="5">
        <f>AVERAGE(E7:E10)</f>
        <v>2763.6568749999997</v>
      </c>
      <c r="F6" s="5">
        <f>E6*F7/E7</f>
        <v>817.38574900806861</v>
      </c>
      <c r="G6" s="5">
        <f>E6*G7/E7</f>
        <v>577.6108932569698</v>
      </c>
      <c r="H6" s="6">
        <f>D6/E6</f>
        <v>11.86968986517185</v>
      </c>
      <c r="I6" s="21">
        <f>IF(F6&gt;0,D6/F6,"N/A")</f>
        <v>40.132520098140574</v>
      </c>
      <c r="J6" s="22">
        <f>IF(G6&gt;0,D6/G6,"N/A")</f>
        <v>56.79212491133913</v>
      </c>
    </row>
    <row r="7" spans="1:10" x14ac:dyDescent="0.25">
      <c r="A7" s="13" t="s">
        <v>108</v>
      </c>
      <c r="B7" s="3">
        <v>47.54</v>
      </c>
      <c r="C7" s="4">
        <v>749.8</v>
      </c>
      <c r="D7" s="5">
        <f>B7*C7</f>
        <v>35645.491999999998</v>
      </c>
      <c r="E7" s="5">
        <f>AVERAGE(E8:E11)</f>
        <v>2719.2815000000001</v>
      </c>
      <c r="F7" s="5">
        <f>E7*F8/E8</f>
        <v>804.26118225739754</v>
      </c>
      <c r="G7" s="5">
        <f>E7*G8/E8</f>
        <v>568.3363338048805</v>
      </c>
      <c r="H7" s="6">
        <f>D7/E7</f>
        <v>13.108422941869019</v>
      </c>
      <c r="I7" s="21">
        <f>IF(F7&gt;0,D7/F7,"N/A")</f>
        <v>44.320791288161331</v>
      </c>
      <c r="J7" s="22">
        <f>IF(G7&gt;0,D7/G7,"N/A")</f>
        <v>62.719009642339181</v>
      </c>
    </row>
    <row r="8" spans="1:10" x14ac:dyDescent="0.25">
      <c r="A8" s="13" t="s">
        <v>109</v>
      </c>
      <c r="B8" s="3">
        <v>58.48</v>
      </c>
      <c r="C8" s="4">
        <v>749.8</v>
      </c>
      <c r="D8" s="5">
        <f>B8*C8</f>
        <v>43848.303999999996</v>
      </c>
      <c r="E8" s="5">
        <f>AVERAGE(E9:E12)</f>
        <v>2746.2419999999997</v>
      </c>
      <c r="F8" s="5">
        <f>E8*F9/E9</f>
        <v>812.23508404147174</v>
      </c>
      <c r="G8" s="5">
        <f>E8*G9/E9</f>
        <v>573.97114275259196</v>
      </c>
      <c r="H8" s="6">
        <f>D8/E8</f>
        <v>15.966656980703085</v>
      </c>
      <c r="I8" s="6">
        <f>IF(F8&gt;0,D8/F8,"N/A")</f>
        <v>53.984745132926513</v>
      </c>
      <c r="J8" s="7">
        <f>IF(G8&gt;0,D8/G8,"N/A")</f>
        <v>76.394614178191603</v>
      </c>
    </row>
    <row r="9" spans="1:10" x14ac:dyDescent="0.25">
      <c r="A9" s="13" t="s">
        <v>22</v>
      </c>
      <c r="B9" s="3">
        <v>56.625</v>
      </c>
      <c r="C9" s="4">
        <v>749.8</v>
      </c>
      <c r="D9" s="5">
        <f t="shared" ref="D9:D21" si="0">B9*C9</f>
        <v>42457.424999999996</v>
      </c>
      <c r="E9" s="5">
        <f>4*713.255</f>
        <v>2853.02</v>
      </c>
      <c r="F9" s="5">
        <f>4*210.954</f>
        <v>843.81600000000003</v>
      </c>
      <c r="G9" s="5">
        <f>4*149.072</f>
        <v>596.28800000000001</v>
      </c>
      <c r="H9" s="6">
        <f t="shared" ref="H9:H21" si="1">D9/E9</f>
        <v>14.881572859636455</v>
      </c>
      <c r="I9" s="6">
        <f t="shared" ref="I9:I21" si="2">IF(F9&gt;0,D9/F9,"N/A")</f>
        <v>50.315975283711133</v>
      </c>
      <c r="J9" s="7">
        <f t="shared" ref="J9:J21" si="3">IF(G9&gt;0,D9/G9,"N/A")</f>
        <v>71.202883505956848</v>
      </c>
    </row>
    <row r="10" spans="1:10" x14ac:dyDescent="0.25">
      <c r="A10" s="13" t="s">
        <v>0</v>
      </c>
      <c r="B10" s="3">
        <v>82.1875</v>
      </c>
      <c r="C10" s="4">
        <v>749.48199999999997</v>
      </c>
      <c r="D10" s="5">
        <f t="shared" si="0"/>
        <v>61598.051874999997</v>
      </c>
      <c r="E10" s="5">
        <f>4*684.021</f>
        <v>2736.0839999999998</v>
      </c>
      <c r="F10" s="5">
        <f>4*-390.948</f>
        <v>-1563.7919999999999</v>
      </c>
      <c r="G10" s="5">
        <f>4*-248.723</f>
        <v>-994.89200000000005</v>
      </c>
      <c r="H10" s="6">
        <f t="shared" si="1"/>
        <v>22.513216653801564</v>
      </c>
      <c r="I10" s="21" t="str">
        <f t="shared" si="2"/>
        <v>N/A</v>
      </c>
      <c r="J10" s="22" t="str">
        <f t="shared" si="3"/>
        <v>N/A</v>
      </c>
    </row>
    <row r="11" spans="1:10" x14ac:dyDescent="0.25">
      <c r="A11" s="13" t="s">
        <v>1</v>
      </c>
      <c r="B11" s="3">
        <v>71.25</v>
      </c>
      <c r="C11" s="4">
        <f>(C10+C12)/2</f>
        <v>745.60850000000005</v>
      </c>
      <c r="D11" s="5">
        <f t="shared" si="0"/>
        <v>53124.605625000004</v>
      </c>
      <c r="E11" s="5">
        <f>4*(3196.78-713.521-727.741-1120.073)</f>
        <v>2541.7799999999997</v>
      </c>
      <c r="F11" s="5">
        <f>4*(722.538-217.734-71.791-259.921)</f>
        <v>692.36799999999994</v>
      </c>
      <c r="G11" s="5">
        <f>4*(670.211-154.701-199.716-177.119)</f>
        <v>554.69999999999993</v>
      </c>
      <c r="H11" s="6">
        <f t="shared" si="1"/>
        <v>20.900552221278005</v>
      </c>
      <c r="I11" s="6">
        <f t="shared" si="2"/>
        <v>76.728857522300288</v>
      </c>
      <c r="J11" s="7">
        <f t="shared" si="3"/>
        <v>95.771778664142801</v>
      </c>
    </row>
    <row r="12" spans="1:10" x14ac:dyDescent="0.25">
      <c r="A12" s="13" t="s">
        <v>2</v>
      </c>
      <c r="B12" s="3">
        <v>60</v>
      </c>
      <c r="C12" s="4">
        <v>741.73500000000001</v>
      </c>
      <c r="D12" s="5">
        <f t="shared" si="0"/>
        <v>44504.1</v>
      </c>
      <c r="E12" s="5">
        <f>4*713.521</f>
        <v>2854.0839999999998</v>
      </c>
      <c r="F12" s="5">
        <f>4*217.734</f>
        <v>870.93600000000004</v>
      </c>
      <c r="G12" s="5">
        <f>4*154.701</f>
        <v>618.80399999999997</v>
      </c>
      <c r="H12" s="6">
        <f t="shared" si="1"/>
        <v>15.593129003911589</v>
      </c>
      <c r="I12" s="6">
        <f t="shared" si="2"/>
        <v>51.099162280580892</v>
      </c>
      <c r="J12" s="7">
        <f t="shared" si="3"/>
        <v>71.919541567281399</v>
      </c>
    </row>
    <row r="13" spans="1:10" x14ac:dyDescent="0.25">
      <c r="A13" s="13" t="s">
        <v>3</v>
      </c>
      <c r="B13" s="3">
        <v>149.3125</v>
      </c>
      <c r="C13" s="4">
        <v>716.81799999999998</v>
      </c>
      <c r="D13" s="5">
        <f t="shared" si="0"/>
        <v>107029.887625</v>
      </c>
      <c r="E13" s="5">
        <f>4*727.741</f>
        <v>2910.9639999999999</v>
      </c>
      <c r="F13" s="5">
        <f>4*71.791</f>
        <v>287.16399999999999</v>
      </c>
      <c r="G13" s="5">
        <f>4*199.716</f>
        <v>798.86400000000003</v>
      </c>
      <c r="H13" s="6">
        <f t="shared" si="1"/>
        <v>36.767849971693231</v>
      </c>
      <c r="I13" s="6">
        <f t="shared" si="2"/>
        <v>372.71345859857087</v>
      </c>
      <c r="J13" s="7">
        <f t="shared" si="3"/>
        <v>133.97760773423261</v>
      </c>
    </row>
    <row r="14" spans="1:10" x14ac:dyDescent="0.25">
      <c r="A14" s="13" t="s">
        <v>4</v>
      </c>
      <c r="B14" s="3">
        <v>176.125</v>
      </c>
      <c r="C14" s="4">
        <v>664.58600000000001</v>
      </c>
      <c r="D14" s="5">
        <f>B14*C14</f>
        <v>117050.20925</v>
      </c>
      <c r="E14" s="5">
        <f>4*1120.073</f>
        <v>4480.2920000000004</v>
      </c>
      <c r="F14" s="5">
        <f>4*259.921</f>
        <v>1039.684</v>
      </c>
      <c r="G14" s="5">
        <f>4*177.119</f>
        <v>708.476</v>
      </c>
      <c r="H14" s="6">
        <f t="shared" si="1"/>
        <v>26.125576022723518</v>
      </c>
      <c r="I14" s="6">
        <f t="shared" si="2"/>
        <v>112.58248588032518</v>
      </c>
      <c r="J14" s="7">
        <f t="shared" si="3"/>
        <v>165.21407817625439</v>
      </c>
    </row>
    <row r="15" spans="1:10" x14ac:dyDescent="0.25">
      <c r="A15" s="13" t="s">
        <v>7</v>
      </c>
      <c r="B15" s="3">
        <v>189.1875</v>
      </c>
      <c r="C15" s="4">
        <f>(C14+C16)/2</f>
        <v>632.87300000000005</v>
      </c>
      <c r="D15" s="5">
        <f t="shared" si="0"/>
        <v>119731.66068750001</v>
      </c>
      <c r="E15" s="5">
        <f>4*(3937.299-1004.866-932.395-941.223)</f>
        <v>4235.26</v>
      </c>
      <c r="F15" s="5">
        <f>4*(405.14-98.379-5.189-77.948)</f>
        <v>894.49599999999987</v>
      </c>
      <c r="G15" s="5">
        <f>4*(200.879-58.958+42.62-48.53)</f>
        <v>544.04399999999998</v>
      </c>
      <c r="H15" s="6">
        <f t="shared" si="1"/>
        <v>28.270203172296391</v>
      </c>
      <c r="I15" s="6">
        <f t="shared" si="2"/>
        <v>133.85376870047494</v>
      </c>
      <c r="J15" s="7">
        <f t="shared" si="3"/>
        <v>220.07716414021664</v>
      </c>
    </row>
    <row r="16" spans="1:10" x14ac:dyDescent="0.25">
      <c r="A16" s="13" t="s">
        <v>6</v>
      </c>
      <c r="B16" s="3">
        <v>143.5</v>
      </c>
      <c r="C16" s="4">
        <f>4*150.29</f>
        <v>601.16</v>
      </c>
      <c r="D16" s="5">
        <f t="shared" si="0"/>
        <v>86266.459999999992</v>
      </c>
      <c r="E16" s="5">
        <f>4*1004.866</f>
        <v>4019.4639999999999</v>
      </c>
      <c r="F16" s="5">
        <f>4*98.379</f>
        <v>393.51600000000002</v>
      </c>
      <c r="G16" s="5">
        <f>4*58.958</f>
        <v>235.83199999999999</v>
      </c>
      <c r="H16" s="6">
        <f t="shared" si="1"/>
        <v>21.462180031964458</v>
      </c>
      <c r="I16" s="6">
        <f t="shared" si="2"/>
        <v>219.21970135902984</v>
      </c>
      <c r="J16" s="7">
        <f t="shared" si="3"/>
        <v>365.79624478442281</v>
      </c>
    </row>
    <row r="17" spans="1:10" x14ac:dyDescent="0.25">
      <c r="A17" s="13" t="s">
        <v>5</v>
      </c>
      <c r="B17" s="3">
        <v>124.375</v>
      </c>
      <c r="C17" s="4">
        <f>8*72.307</f>
        <v>578.45600000000002</v>
      </c>
      <c r="D17" s="5">
        <f t="shared" si="0"/>
        <v>71945.464999999997</v>
      </c>
      <c r="E17" s="5">
        <f>4*932.395</f>
        <v>3729.58</v>
      </c>
      <c r="F17" s="5">
        <f>4*5.189</f>
        <v>20.756</v>
      </c>
      <c r="G17" s="5">
        <f>4*-42.62</f>
        <v>-170.48</v>
      </c>
      <c r="H17" s="6">
        <f t="shared" si="1"/>
        <v>19.29050053893468</v>
      </c>
      <c r="I17" s="6">
        <f t="shared" si="2"/>
        <v>3466.2490364232026</v>
      </c>
      <c r="J17" s="22" t="str">
        <f t="shared" si="3"/>
        <v>N/A</v>
      </c>
    </row>
    <row r="18" spans="1:10" x14ac:dyDescent="0.25">
      <c r="A18" s="13" t="s">
        <v>8</v>
      </c>
      <c r="B18" s="3">
        <v>51.8125</v>
      </c>
      <c r="C18" s="4">
        <f>8*70.522</f>
        <v>564.17600000000004</v>
      </c>
      <c r="D18" s="5">
        <f t="shared" si="0"/>
        <v>29231.369000000002</v>
      </c>
      <c r="E18" s="5">
        <f>4*941.223</f>
        <v>3764.8919999999998</v>
      </c>
      <c r="F18" s="5">
        <f>4*77.948</f>
        <v>311.79199999999997</v>
      </c>
      <c r="G18" s="5">
        <f>4*48.53</f>
        <v>194.12</v>
      </c>
      <c r="H18" s="6">
        <f t="shared" si="1"/>
        <v>7.764198548059281</v>
      </c>
      <c r="I18" s="6">
        <f t="shared" si="2"/>
        <v>93.752787114486594</v>
      </c>
      <c r="J18" s="7">
        <f t="shared" si="3"/>
        <v>150.58401504224193</v>
      </c>
    </row>
    <row r="19" spans="1:10" x14ac:dyDescent="0.25">
      <c r="A19" s="13" t="s">
        <v>9</v>
      </c>
      <c r="B19" s="3">
        <v>47.9375</v>
      </c>
      <c r="C19" s="4">
        <f>(C18+C20)/2</f>
        <v>559.2360000000001</v>
      </c>
      <c r="D19" s="5">
        <f t="shared" si="0"/>
        <v>26808.375750000007</v>
      </c>
      <c r="E19" s="5">
        <f>4*(3347.87-760.553-875.497-785.854)</f>
        <v>3703.8640000000005</v>
      </c>
      <c r="F19" s="5">
        <f>4*(242.665-53.353-51.301-52.895)</f>
        <v>340.46399999999983</v>
      </c>
      <c r="G19" s="5">
        <f>4*(108.532-5.843-26.011-36.762)</f>
        <v>159.66399999999999</v>
      </c>
      <c r="H19" s="6">
        <f t="shared" si="1"/>
        <v>7.2379481941021604</v>
      </c>
      <c r="I19" s="6">
        <f t="shared" si="2"/>
        <v>78.740706065839618</v>
      </c>
      <c r="J19" s="7">
        <f t="shared" si="3"/>
        <v>167.90494883004314</v>
      </c>
    </row>
    <row r="20" spans="1:10" x14ac:dyDescent="0.25">
      <c r="A20" s="13" t="s">
        <v>10</v>
      </c>
      <c r="B20" s="3">
        <v>56.1875</v>
      </c>
      <c r="C20" s="4">
        <f>8*69.287</f>
        <v>554.29600000000005</v>
      </c>
      <c r="D20" s="5">
        <f t="shared" si="0"/>
        <v>31144.506500000003</v>
      </c>
      <c r="E20" s="5">
        <f>4*875.497</f>
        <v>3501.9879999999998</v>
      </c>
      <c r="F20" s="5">
        <f>4*53.353</f>
        <v>213.41200000000001</v>
      </c>
      <c r="G20" s="5">
        <f>4*5.843</f>
        <v>23.372</v>
      </c>
      <c r="H20" s="6">
        <f t="shared" si="1"/>
        <v>8.8933789893055035</v>
      </c>
      <c r="I20" s="6">
        <f t="shared" si="2"/>
        <v>145.93606029651568</v>
      </c>
      <c r="J20" s="7">
        <f t="shared" si="3"/>
        <v>1332.556328084888</v>
      </c>
    </row>
    <row r="21" spans="1:10" ht="14.4" thickBot="1" x14ac:dyDescent="0.3">
      <c r="A21" s="14" t="s">
        <v>11</v>
      </c>
      <c r="B21" s="8">
        <v>53.5</v>
      </c>
      <c r="C21" s="9">
        <f>8*68.934</f>
        <v>551.47199999999998</v>
      </c>
      <c r="D21" s="10">
        <f t="shared" si="0"/>
        <v>29503.752</v>
      </c>
      <c r="E21" s="10">
        <f>4*760.553</f>
        <v>3042.212</v>
      </c>
      <c r="F21" s="10">
        <f>4*51.301</f>
        <v>205.20400000000001</v>
      </c>
      <c r="G21" s="10">
        <f>4*26.011</f>
        <v>104.044</v>
      </c>
      <c r="H21" s="11">
        <f t="shared" si="1"/>
        <v>9.6981249170011825</v>
      </c>
      <c r="I21" s="11">
        <f t="shared" si="2"/>
        <v>143.77766515272606</v>
      </c>
      <c r="J21" s="12">
        <f t="shared" si="3"/>
        <v>283.5699511745031</v>
      </c>
    </row>
    <row r="22" spans="1:10" ht="14.4" thickBot="1" x14ac:dyDescent="0.3">
      <c r="A22" s="25"/>
      <c r="B22" s="26"/>
      <c r="C22" s="27"/>
      <c r="D22" s="28"/>
      <c r="E22" s="28"/>
      <c r="F22" s="29">
        <f>SUM(F9:F21)/SUM(E9:E21)</f>
        <v>0.1025345677161613</v>
      </c>
      <c r="G22" s="29">
        <f>SUM(G9:G21)/SUM(E9:E21)</f>
        <v>7.6010168595280897E-2</v>
      </c>
      <c r="H22" s="32">
        <f>AVERAGE(H9:H21)</f>
        <v>18.415263932669848</v>
      </c>
      <c r="I22" s="32">
        <f>AVERAGE(I9:I21)</f>
        <v>412.08080538981358</v>
      </c>
      <c r="J22" s="33">
        <f>AVERAGE(J9:J21)</f>
        <v>278.05223106401667</v>
      </c>
    </row>
    <row r="23" spans="1:10" ht="14.4" thickBot="1" x14ac:dyDescent="0.3"/>
    <row r="24" spans="1:10" s="231" customFormat="1" ht="18.600000000000001" thickBot="1" x14ac:dyDescent="0.4">
      <c r="A24" s="20" t="s">
        <v>30</v>
      </c>
      <c r="B24" s="229"/>
      <c r="C24" s="225"/>
      <c r="D24" s="225"/>
      <c r="E24" s="225"/>
      <c r="F24" s="225"/>
      <c r="G24" s="225"/>
      <c r="H24" s="229"/>
      <c r="I24" s="229"/>
      <c r="J24" s="230"/>
    </row>
    <row r="25" spans="1:10" x14ac:dyDescent="0.25">
      <c r="A25" s="13" t="s">
        <v>107</v>
      </c>
      <c r="B25" s="3">
        <v>15.35</v>
      </c>
      <c r="C25" s="4">
        <f t="shared" ref="C25:C27" si="4">C26</f>
        <v>2180</v>
      </c>
      <c r="D25" s="5">
        <f>B25*C25</f>
        <v>33463</v>
      </c>
      <c r="E25" s="5">
        <f>E26+E26-E27</f>
        <v>36112</v>
      </c>
      <c r="F25" s="5">
        <f t="shared" ref="F25:G28" si="5">AVERAGE(F26:F29)</f>
        <v>3626.1796875</v>
      </c>
      <c r="G25" s="5">
        <f t="shared" si="5"/>
        <v>1469.078125</v>
      </c>
      <c r="H25" s="6">
        <f>D25/E25</f>
        <v>0.92664488258750555</v>
      </c>
      <c r="I25" s="21">
        <f>IF(F25&gt;0,D25/F25,"N/A")</f>
        <v>9.2281692811175677</v>
      </c>
      <c r="J25" s="22">
        <f>IF(G25&gt;0,D25/G25,"N/A")</f>
        <v>22.778230395337211</v>
      </c>
    </row>
    <row r="26" spans="1:10" x14ac:dyDescent="0.25">
      <c r="A26" s="13" t="s">
        <v>108</v>
      </c>
      <c r="B26" s="3">
        <v>15.6</v>
      </c>
      <c r="C26" s="4">
        <f t="shared" si="4"/>
        <v>2180</v>
      </c>
      <c r="D26" s="5">
        <f>B26*C26</f>
        <v>34008</v>
      </c>
      <c r="E26" s="5">
        <f>E27+E27-E28</f>
        <v>36484</v>
      </c>
      <c r="F26" s="5">
        <f t="shared" si="5"/>
        <v>3507.34375</v>
      </c>
      <c r="G26" s="5">
        <f t="shared" si="5"/>
        <v>1600.0625</v>
      </c>
      <c r="H26" s="6">
        <f>D26/E26</f>
        <v>0.93213463436026756</v>
      </c>
      <c r="I26" s="21">
        <f>IF(F26&gt;0,D26/F26,"N/A")</f>
        <v>9.6962266672606585</v>
      </c>
      <c r="J26" s="22">
        <f>IF(G26&gt;0,D26/G26,"N/A")</f>
        <v>21.25416975899379</v>
      </c>
    </row>
    <row r="27" spans="1:10" x14ac:dyDescent="0.25">
      <c r="A27" s="13" t="s">
        <v>109</v>
      </c>
      <c r="B27" s="3">
        <v>16.559999999999999</v>
      </c>
      <c r="C27" s="4">
        <f t="shared" si="4"/>
        <v>2180</v>
      </c>
      <c r="D27" s="5">
        <f>B27*C27</f>
        <v>36100.799999999996</v>
      </c>
      <c r="E27" s="5">
        <f>E28+E28-E29</f>
        <v>36856</v>
      </c>
      <c r="F27" s="5">
        <f t="shared" si="5"/>
        <v>3141.875</v>
      </c>
      <c r="G27" s="5">
        <f t="shared" si="5"/>
        <v>1443.25</v>
      </c>
      <c r="H27" s="6">
        <f>D27/E27</f>
        <v>0.97950944215324498</v>
      </c>
      <c r="I27" s="21">
        <f>IF(F27&gt;0,D27/F27,"N/A")</f>
        <v>11.490208872090708</v>
      </c>
      <c r="J27" s="22">
        <f>IF(G27&gt;0,D27/G27,"N/A")</f>
        <v>25.013545816733064</v>
      </c>
    </row>
    <row r="28" spans="1:10" x14ac:dyDescent="0.25">
      <c r="A28" s="13" t="s">
        <v>22</v>
      </c>
      <c r="B28" s="3">
        <v>14.26</v>
      </c>
      <c r="C28" s="4">
        <v>2180</v>
      </c>
      <c r="D28" s="5">
        <f t="shared" ref="D28:D40" si="6">B28*C28</f>
        <v>31086.799999999999</v>
      </c>
      <c r="E28" s="5">
        <f>E29+E29-E30</f>
        <v>37228</v>
      </c>
      <c r="F28" s="5">
        <f t="shared" si="5"/>
        <v>3025.5</v>
      </c>
      <c r="G28" s="5">
        <f t="shared" si="5"/>
        <v>1513</v>
      </c>
      <c r="H28" s="6">
        <f t="shared" ref="H28:H40" si="7">D28/E28</f>
        <v>0.83503814333297521</v>
      </c>
      <c r="I28" s="21">
        <f t="shared" ref="I28:I40" si="8">IF(F28&gt;0,D28/F28,"N/A")</f>
        <v>10.274929763675425</v>
      </c>
      <c r="J28" s="22">
        <f t="shared" ref="J28:J40" si="9">IF(G28&gt;0,D28/G28,"N/A")</f>
        <v>20.546463978849967</v>
      </c>
    </row>
    <row r="29" spans="1:10" x14ac:dyDescent="0.25">
      <c r="A29" s="13" t="s">
        <v>0</v>
      </c>
      <c r="B29" s="3">
        <v>20.25</v>
      </c>
      <c r="C29" s="4">
        <v>2180</v>
      </c>
      <c r="D29" s="5">
        <f t="shared" si="6"/>
        <v>44145</v>
      </c>
      <c r="E29" s="5">
        <v>37600</v>
      </c>
      <c r="F29" s="5">
        <v>4830</v>
      </c>
      <c r="G29" s="5">
        <v>1320</v>
      </c>
      <c r="H29" s="6">
        <f t="shared" si="7"/>
        <v>1.1740691489361703</v>
      </c>
      <c r="I29" s="21">
        <f t="shared" si="8"/>
        <v>9.1397515527950315</v>
      </c>
      <c r="J29" s="22">
        <f t="shared" si="9"/>
        <v>33.44318181818182</v>
      </c>
    </row>
    <row r="30" spans="1:10" x14ac:dyDescent="0.25">
      <c r="A30" s="13" t="s">
        <v>1</v>
      </c>
      <c r="B30" s="3">
        <v>28.881875000000001</v>
      </c>
      <c r="C30" s="4">
        <v>2182.3000000000002</v>
      </c>
      <c r="D30" s="5">
        <f t="shared" si="6"/>
        <v>63028.91581250001</v>
      </c>
      <c r="E30" s="5">
        <f>4*9493</f>
        <v>37972</v>
      </c>
      <c r="F30" s="5">
        <f>4*758</f>
        <v>3032</v>
      </c>
      <c r="G30" s="5">
        <f>4*531</f>
        <v>2124</v>
      </c>
      <c r="H30" s="6">
        <f t="shared" si="7"/>
        <v>1.6598787478273467</v>
      </c>
      <c r="I30" s="21">
        <f t="shared" si="8"/>
        <v>20.787900993568606</v>
      </c>
      <c r="J30" s="22">
        <f t="shared" si="9"/>
        <v>29.67463079684558</v>
      </c>
    </row>
    <row r="31" spans="1:10" x14ac:dyDescent="0.25">
      <c r="A31" s="13" t="s">
        <v>2</v>
      </c>
      <c r="B31" s="3">
        <v>30.254200000000001</v>
      </c>
      <c r="C31" s="4">
        <v>2165</v>
      </c>
      <c r="D31" s="5">
        <f t="shared" si="6"/>
        <v>65500.343000000001</v>
      </c>
      <c r="E31" s="5">
        <f>4*9255</f>
        <v>37020</v>
      </c>
      <c r="F31" s="5">
        <f>4*420</f>
        <v>1680</v>
      </c>
      <c r="G31" s="5">
        <f>4*204</f>
        <v>816</v>
      </c>
      <c r="H31" s="6">
        <f t="shared" si="7"/>
        <v>1.7693231496488384</v>
      </c>
      <c r="I31" s="21">
        <f t="shared" si="8"/>
        <v>38.988299404761904</v>
      </c>
      <c r="J31" s="22">
        <f t="shared" si="9"/>
        <v>80.270028186274516</v>
      </c>
    </row>
    <row r="32" spans="1:10" x14ac:dyDescent="0.25">
      <c r="A32" s="13" t="s">
        <v>3</v>
      </c>
      <c r="B32" s="3">
        <v>48.572499999999998</v>
      </c>
      <c r="C32" s="4">
        <f>3*715.4</f>
        <v>2146.1999999999998</v>
      </c>
      <c r="D32" s="5">
        <f t="shared" si="6"/>
        <v>104246.29949999999</v>
      </c>
      <c r="E32" s="5">
        <f>4*8768</f>
        <v>35072</v>
      </c>
      <c r="F32" s="5">
        <f>4*640</f>
        <v>2560</v>
      </c>
      <c r="G32" s="5">
        <f>4*448</f>
        <v>1792</v>
      </c>
      <c r="H32" s="6">
        <f t="shared" si="7"/>
        <v>2.9723511490647807</v>
      </c>
      <c r="I32" s="21">
        <f t="shared" si="8"/>
        <v>40.721210742187495</v>
      </c>
      <c r="J32" s="22">
        <f t="shared" si="9"/>
        <v>58.173158203124999</v>
      </c>
    </row>
    <row r="33" spans="1:10" x14ac:dyDescent="0.25">
      <c r="A33" s="13" t="s">
        <v>4</v>
      </c>
      <c r="B33" s="3">
        <v>48.987499999999997</v>
      </c>
      <c r="C33" s="4">
        <v>2180</v>
      </c>
      <c r="D33" s="5">
        <f t="shared" si="6"/>
        <v>106792.75</v>
      </c>
      <c r="E33" s="5">
        <f>4*(33075-(8223+8030+7736))</f>
        <v>36344</v>
      </c>
      <c r="F33" s="5">
        <f>4*(1283-(164+372+289))</f>
        <v>1832</v>
      </c>
      <c r="G33" s="5">
        <f>4*(891-(114+255+199))</f>
        <v>1292</v>
      </c>
      <c r="H33" s="6">
        <f t="shared" si="7"/>
        <v>2.9383873541712524</v>
      </c>
      <c r="I33" s="21">
        <f t="shared" si="8"/>
        <v>58.292985807860262</v>
      </c>
      <c r="J33" s="22">
        <f t="shared" si="9"/>
        <v>82.65692724458205</v>
      </c>
    </row>
    <row r="34" spans="1:10" x14ac:dyDescent="0.25">
      <c r="A34" s="13" t="s">
        <v>7</v>
      </c>
      <c r="B34" s="3">
        <v>29.276800000000001</v>
      </c>
      <c r="C34" s="4">
        <v>2123.8000000000002</v>
      </c>
      <c r="D34" s="5">
        <f t="shared" si="6"/>
        <v>62178.067840000011</v>
      </c>
      <c r="E34" s="5">
        <f>4*8223</f>
        <v>32892</v>
      </c>
      <c r="F34" s="5">
        <f>4*164</f>
        <v>656</v>
      </c>
      <c r="G34" s="5">
        <f>4*114</f>
        <v>456</v>
      </c>
      <c r="H34" s="6">
        <f t="shared" si="7"/>
        <v>1.8903705411650253</v>
      </c>
      <c r="I34" s="21">
        <f t="shared" si="8"/>
        <v>94.78364000000002</v>
      </c>
      <c r="J34" s="22">
        <f t="shared" si="9"/>
        <v>136.35541192982458</v>
      </c>
    </row>
    <row r="35" spans="1:10" x14ac:dyDescent="0.25">
      <c r="A35" s="13" t="s">
        <v>6</v>
      </c>
      <c r="B35" s="3">
        <v>31.522500000000001</v>
      </c>
      <c r="C35" s="4">
        <v>2112</v>
      </c>
      <c r="D35" s="5">
        <f t="shared" si="6"/>
        <v>66575.520000000004</v>
      </c>
      <c r="E35" s="5">
        <f>4*8030</f>
        <v>32120</v>
      </c>
      <c r="F35" s="5">
        <f>4*372</f>
        <v>1488</v>
      </c>
      <c r="G35" s="5">
        <f>4*255</f>
        <v>1020</v>
      </c>
      <c r="H35" s="6">
        <f t="shared" si="7"/>
        <v>2.0727123287671234</v>
      </c>
      <c r="I35" s="21">
        <f t="shared" si="8"/>
        <v>44.741612903225807</v>
      </c>
      <c r="J35" s="22">
        <f t="shared" si="9"/>
        <v>65.270117647058825</v>
      </c>
    </row>
    <row r="36" spans="1:10" x14ac:dyDescent="0.25">
      <c r="A36" s="13" t="s">
        <v>5</v>
      </c>
      <c r="B36" s="3">
        <v>24.369599999999998</v>
      </c>
      <c r="C36" s="4">
        <f>3*702.8</f>
        <v>2108.3999999999996</v>
      </c>
      <c r="D36" s="5">
        <f t="shared" si="6"/>
        <v>51380.864639999985</v>
      </c>
      <c r="E36" s="5">
        <f>4*7736</f>
        <v>30944</v>
      </c>
      <c r="F36" s="5">
        <f>4*289</f>
        <v>1156</v>
      </c>
      <c r="G36" s="5">
        <f>4*199</f>
        <v>796</v>
      </c>
      <c r="H36" s="6">
        <f t="shared" si="7"/>
        <v>1.6604467631851081</v>
      </c>
      <c r="I36" s="21">
        <f t="shared" si="8"/>
        <v>44.447114740484416</v>
      </c>
      <c r="J36" s="22">
        <f t="shared" si="9"/>
        <v>64.548824924623091</v>
      </c>
    </row>
    <row r="37" spans="1:10" x14ac:dyDescent="0.25">
      <c r="A37" s="13" t="s">
        <v>8</v>
      </c>
      <c r="B37" s="3">
        <v>20.314900000000002</v>
      </c>
      <c r="C37" s="4">
        <f>(C36+C38)/2</f>
        <v>1952.25</v>
      </c>
      <c r="D37" s="5">
        <f t="shared" si="6"/>
        <v>39659.763525000002</v>
      </c>
      <c r="E37" s="5">
        <f>4*(31340-(6886+7023+7152))</f>
        <v>41116</v>
      </c>
      <c r="F37" s="5">
        <f>4*(-1280-(257-1897+39))</f>
        <v>1284</v>
      </c>
      <c r="G37" s="5">
        <f>4*(-907-(180-1328+27))</f>
        <v>856</v>
      </c>
      <c r="H37" s="6">
        <f t="shared" si="7"/>
        <v>0.96458224353049915</v>
      </c>
      <c r="I37" s="21">
        <f t="shared" si="8"/>
        <v>30.887666296728973</v>
      </c>
      <c r="J37" s="22">
        <f t="shared" si="9"/>
        <v>46.331499445093463</v>
      </c>
    </row>
    <row r="38" spans="1:10" x14ac:dyDescent="0.25">
      <c r="A38" s="13" t="s">
        <v>9</v>
      </c>
      <c r="B38" s="3">
        <v>14.264099999999999</v>
      </c>
      <c r="C38" s="4">
        <f>3*598.7</f>
        <v>1796.1000000000001</v>
      </c>
      <c r="D38" s="5">
        <f t="shared" si="6"/>
        <v>25619.75001</v>
      </c>
      <c r="E38" s="5">
        <f>4*7152</f>
        <v>28608</v>
      </c>
      <c r="F38" s="5">
        <f>4*39</f>
        <v>156</v>
      </c>
      <c r="G38" s="5">
        <f>4*27</f>
        <v>108</v>
      </c>
      <c r="H38" s="6">
        <f t="shared" si="7"/>
        <v>0.89554495281040269</v>
      </c>
      <c r="I38" s="21">
        <f t="shared" si="8"/>
        <v>164.22916673076924</v>
      </c>
      <c r="J38" s="22">
        <f t="shared" si="9"/>
        <v>237.21990750000001</v>
      </c>
    </row>
    <row r="39" spans="1:10" x14ac:dyDescent="0.25">
      <c r="A39" s="13" t="s">
        <v>10</v>
      </c>
      <c r="B39" s="3">
        <v>17.486899999999999</v>
      </c>
      <c r="C39" s="4">
        <f>3*597.9</f>
        <v>1793.6999999999998</v>
      </c>
      <c r="D39" s="5">
        <f t="shared" si="6"/>
        <v>31366.252529999994</v>
      </c>
      <c r="E39" s="5">
        <f>4*7023</f>
        <v>28092</v>
      </c>
      <c r="F39" s="5">
        <f>4*-1897</f>
        <v>-7588</v>
      </c>
      <c r="G39" s="5">
        <f>4*-1328</f>
        <v>-5312</v>
      </c>
      <c r="H39" s="6">
        <f t="shared" si="7"/>
        <v>1.1165546251601877</v>
      </c>
      <c r="I39" s="21" t="str">
        <f t="shared" si="8"/>
        <v>N/A</v>
      </c>
      <c r="J39" s="22" t="str">
        <f t="shared" si="9"/>
        <v>N/A</v>
      </c>
    </row>
    <row r="40" spans="1:10" ht="14.4" thickBot="1" x14ac:dyDescent="0.3">
      <c r="A40" s="14" t="s">
        <v>11</v>
      </c>
      <c r="B40" s="8">
        <v>20.210799999999999</v>
      </c>
      <c r="C40" s="9">
        <f>3*597.4</f>
        <v>1792.1999999999998</v>
      </c>
      <c r="D40" s="10">
        <f t="shared" si="6"/>
        <v>36221.795759999994</v>
      </c>
      <c r="E40" s="10">
        <f>4*6886</f>
        <v>27544</v>
      </c>
      <c r="F40" s="10">
        <f>4*257</f>
        <v>1028</v>
      </c>
      <c r="G40" s="10">
        <f>4*180</f>
        <v>720</v>
      </c>
      <c r="H40" s="11">
        <f t="shared" si="7"/>
        <v>1.3150521260528607</v>
      </c>
      <c r="I40" s="23">
        <f t="shared" si="8"/>
        <v>35.235209883268475</v>
      </c>
      <c r="J40" s="24">
        <f t="shared" si="9"/>
        <v>50.308049666666655</v>
      </c>
    </row>
    <row r="41" spans="1:10" ht="14.4" thickBot="1" x14ac:dyDescent="0.3">
      <c r="A41" s="30"/>
      <c r="B41" s="31"/>
      <c r="C41" s="31"/>
      <c r="D41" s="31"/>
      <c r="E41" s="31"/>
      <c r="F41" s="36">
        <f>SUM(F28:F40)/SUM(E28:E40)</f>
        <v>3.4209539217990199E-2</v>
      </c>
      <c r="G41" s="36">
        <f>SUM(G28:G40)/SUM(E28:E40)</f>
        <v>1.6949420633055552E-2</v>
      </c>
      <c r="H41" s="37">
        <f>AVERAGE(H28:H40)</f>
        <v>1.6357162518194288</v>
      </c>
      <c r="I41" s="37">
        <f>AVERAGE(I28:I40)</f>
        <v>49.377457401610478</v>
      </c>
      <c r="J41" s="38">
        <f>AVERAGE(J28:J40)</f>
        <v>75.399850111760458</v>
      </c>
    </row>
    <row r="42" spans="1:10" ht="6.75" customHeight="1" thickBot="1" x14ac:dyDescent="0.3">
      <c r="A42" s="34"/>
      <c r="B42" s="34"/>
      <c r="C42" s="34"/>
      <c r="D42" s="34"/>
      <c r="E42" s="34"/>
      <c r="F42" s="179"/>
      <c r="G42" s="179"/>
      <c r="H42" s="172"/>
      <c r="I42" s="172"/>
      <c r="J42" s="172"/>
    </row>
    <row r="43" spans="1:10" s="231" customFormat="1" ht="18.600000000000001" thickBot="1" x14ac:dyDescent="0.4">
      <c r="A43" s="20" t="s">
        <v>31</v>
      </c>
      <c r="B43" s="229"/>
      <c r="C43" s="225"/>
      <c r="D43" s="225"/>
      <c r="E43" s="225"/>
      <c r="F43" s="225"/>
      <c r="G43" s="225"/>
      <c r="H43" s="229"/>
      <c r="I43" s="229"/>
      <c r="J43" s="230"/>
    </row>
    <row r="44" spans="1:10" x14ac:dyDescent="0.25">
      <c r="A44" s="13" t="s">
        <v>107</v>
      </c>
      <c r="B44" s="34">
        <v>28.32</v>
      </c>
      <c r="C44" s="35">
        <f t="shared" ref="C44:C46" si="10">C45</f>
        <v>477</v>
      </c>
      <c r="D44" s="5">
        <f>B44*C44</f>
        <v>13508.64</v>
      </c>
      <c r="E44" s="5">
        <f t="shared" ref="E44:G47" si="11">E45+E45-E46</f>
        <v>17259.199999999997</v>
      </c>
      <c r="F44" s="5">
        <f t="shared" si="11"/>
        <v>5440.7999999999993</v>
      </c>
      <c r="G44" s="5">
        <f t="shared" si="11"/>
        <v>1318.9</v>
      </c>
      <c r="H44" s="6">
        <f>D44/E44</f>
        <v>0.78269212941503674</v>
      </c>
      <c r="I44" s="6">
        <f>D44/F44</f>
        <v>2.4828407587119545</v>
      </c>
      <c r="J44" s="7">
        <f>D44/G44</f>
        <v>10.242353476381831</v>
      </c>
    </row>
    <row r="45" spans="1:10" x14ac:dyDescent="0.25">
      <c r="A45" s="13" t="s">
        <v>108</v>
      </c>
      <c r="B45" s="34">
        <v>27.3</v>
      </c>
      <c r="C45" s="35">
        <f t="shared" si="10"/>
        <v>477</v>
      </c>
      <c r="D45" s="5">
        <f>B45*C45</f>
        <v>13022.1</v>
      </c>
      <c r="E45" s="5">
        <f t="shared" si="11"/>
        <v>16094.399999999998</v>
      </c>
      <c r="F45" s="5">
        <f t="shared" si="11"/>
        <v>4605.5999999999995</v>
      </c>
      <c r="G45" s="5">
        <f t="shared" si="11"/>
        <v>1152</v>
      </c>
      <c r="H45" s="6">
        <f>D45/E45</f>
        <v>0.80910751565762018</v>
      </c>
      <c r="I45" s="6">
        <f>D45/F45</f>
        <v>2.8274491922876503</v>
      </c>
      <c r="J45" s="7">
        <f>D45/G45</f>
        <v>11.303906250000001</v>
      </c>
    </row>
    <row r="46" spans="1:10" x14ac:dyDescent="0.25">
      <c r="A46" s="13" t="s">
        <v>109</v>
      </c>
      <c r="B46" s="34">
        <v>32.950000000000003</v>
      </c>
      <c r="C46" s="35">
        <f t="shared" si="10"/>
        <v>477</v>
      </c>
      <c r="D46" s="5">
        <f>B46*C46</f>
        <v>15717.150000000001</v>
      </c>
      <c r="E46" s="5">
        <f t="shared" si="11"/>
        <v>14929.599999999999</v>
      </c>
      <c r="F46" s="5">
        <f t="shared" si="11"/>
        <v>3770.3999999999996</v>
      </c>
      <c r="G46" s="5">
        <f t="shared" si="11"/>
        <v>985.09999999999991</v>
      </c>
      <c r="H46" s="6">
        <f>D46/E46</f>
        <v>1.0527509109420214</v>
      </c>
      <c r="I46" s="6">
        <f>D46/F46</f>
        <v>4.1685630171865062</v>
      </c>
      <c r="J46" s="7">
        <f>D46/G46</f>
        <v>15.954877677393162</v>
      </c>
    </row>
    <row r="47" spans="1:10" x14ac:dyDescent="0.25">
      <c r="A47" s="13" t="s">
        <v>22</v>
      </c>
      <c r="B47" s="34">
        <v>42.85</v>
      </c>
      <c r="C47" s="35">
        <v>477</v>
      </c>
      <c r="D47" s="5">
        <f t="shared" ref="D47:D59" si="12">B47*C47</f>
        <v>20439.45</v>
      </c>
      <c r="E47" s="5">
        <f t="shared" si="11"/>
        <v>13764.8</v>
      </c>
      <c r="F47" s="5">
        <f t="shared" si="11"/>
        <v>2935.2</v>
      </c>
      <c r="G47" s="5">
        <f t="shared" si="11"/>
        <v>818.19999999999993</v>
      </c>
      <c r="H47" s="6">
        <f t="shared" ref="H47:H59" si="13">D47/E47</f>
        <v>1.4849071544809951</v>
      </c>
      <c r="I47" s="6">
        <f t="shared" ref="I47:I59" si="14">D47/F47</f>
        <v>6.9635629599345874</v>
      </c>
      <c r="J47" s="7">
        <f t="shared" ref="J47:J59" si="15">D47/G47</f>
        <v>24.98099486678074</v>
      </c>
    </row>
    <row r="48" spans="1:10" x14ac:dyDescent="0.25">
      <c r="A48" s="13" t="s">
        <v>0</v>
      </c>
      <c r="B48" s="34">
        <v>39.9375</v>
      </c>
      <c r="C48" s="35">
        <v>477</v>
      </c>
      <c r="D48" s="5">
        <f t="shared" si="12"/>
        <v>19050.1875</v>
      </c>
      <c r="E48" s="5">
        <v>12600</v>
      </c>
      <c r="F48" s="5">
        <v>2100</v>
      </c>
      <c r="G48" s="5">
        <v>651.29999999999995</v>
      </c>
      <c r="H48" s="6">
        <f t="shared" si="13"/>
        <v>1.5119196428571429</v>
      </c>
      <c r="I48" s="6">
        <f t="shared" si="14"/>
        <v>9.0715178571428563</v>
      </c>
      <c r="J48" s="7">
        <f t="shared" si="15"/>
        <v>29.249481805619531</v>
      </c>
    </row>
    <row r="49" spans="1:10" x14ac:dyDescent="0.25">
      <c r="A49" s="13" t="s">
        <v>1</v>
      </c>
      <c r="B49" s="34">
        <v>42.080199999999998</v>
      </c>
      <c r="C49" s="35">
        <v>450.29399999999998</v>
      </c>
      <c r="D49" s="5">
        <f t="shared" si="12"/>
        <v>18948.461578799997</v>
      </c>
      <c r="E49" s="5">
        <f>4*2858.8</f>
        <v>11435.2</v>
      </c>
      <c r="F49" s="5">
        <f>4*316.2</f>
        <v>1264.8</v>
      </c>
      <c r="G49" s="5">
        <f>4*121.1</f>
        <v>484.4</v>
      </c>
      <c r="H49" s="6">
        <f t="shared" si="13"/>
        <v>1.6570293111445358</v>
      </c>
      <c r="I49" s="6">
        <f t="shared" si="14"/>
        <v>14.981389610056924</v>
      </c>
      <c r="J49" s="7">
        <f t="shared" si="15"/>
        <v>39.117385587943843</v>
      </c>
    </row>
    <row r="50" spans="1:10" x14ac:dyDescent="0.25">
      <c r="A50" s="13" t="s">
        <v>2</v>
      </c>
      <c r="B50" s="34">
        <v>41.383200000000002</v>
      </c>
      <c r="C50" s="35">
        <f>448.617</f>
        <v>448.61700000000002</v>
      </c>
      <c r="D50" s="5">
        <f t="shared" si="12"/>
        <v>18565.207034400002</v>
      </c>
      <c r="E50" s="5">
        <f>4*2859.1</f>
        <v>11436.4</v>
      </c>
      <c r="F50" s="5">
        <f>4*473.9</f>
        <v>1895.6</v>
      </c>
      <c r="G50" s="5">
        <f>4*351.8</f>
        <v>1407.2</v>
      </c>
      <c r="H50" s="6">
        <f t="shared" si="13"/>
        <v>1.6233436251267883</v>
      </c>
      <c r="I50" s="6">
        <f t="shared" si="14"/>
        <v>9.7938420734332148</v>
      </c>
      <c r="J50" s="7">
        <f t="shared" si="15"/>
        <v>13.193012389425812</v>
      </c>
    </row>
    <row r="51" spans="1:10" x14ac:dyDescent="0.25">
      <c r="A51" s="13" t="s">
        <v>3</v>
      </c>
      <c r="B51" s="34">
        <v>43.464599999999997</v>
      </c>
      <c r="C51" s="35">
        <v>442.88400000000001</v>
      </c>
      <c r="D51" s="5">
        <f t="shared" si="12"/>
        <v>19249.775906399998</v>
      </c>
      <c r="E51" s="5">
        <f>4*2427.7</f>
        <v>9710.7999999999993</v>
      </c>
      <c r="F51" s="5">
        <f>4*267.3</f>
        <v>1069.2</v>
      </c>
      <c r="G51" s="5">
        <f>4*99.7</f>
        <v>398.8</v>
      </c>
      <c r="H51" s="6">
        <f t="shared" si="13"/>
        <v>1.982305876591012</v>
      </c>
      <c r="I51" s="6">
        <f t="shared" si="14"/>
        <v>18.003905636363633</v>
      </c>
      <c r="J51" s="7">
        <f t="shared" si="15"/>
        <v>48.269247508525574</v>
      </c>
    </row>
    <row r="52" spans="1:10" x14ac:dyDescent="0.25">
      <c r="A52" s="13" t="s">
        <v>4</v>
      </c>
      <c r="B52" s="34">
        <v>30.1404</v>
      </c>
      <c r="C52" s="35">
        <f>(C51+C53)/2</f>
        <v>442.56400000000002</v>
      </c>
      <c r="D52" s="5">
        <f t="shared" si="12"/>
        <v>13339.0559856</v>
      </c>
      <c r="E52" s="5">
        <f>4*8593.1-SUM(E53:E55)</f>
        <v>9793.2000000000044</v>
      </c>
      <c r="F52" s="5">
        <f>4*848.6-SUM(F53:F54)</f>
        <v>1769.6000000000001</v>
      </c>
      <c r="G52" s="5">
        <f>4*218.6-SUM(G53:G54)</f>
        <v>689.59999999999991</v>
      </c>
      <c r="H52" s="6">
        <f t="shared" si="13"/>
        <v>1.3620732738634964</v>
      </c>
      <c r="I52" s="6">
        <f t="shared" si="14"/>
        <v>7.5378933010849902</v>
      </c>
      <c r="J52" s="7">
        <f t="shared" si="15"/>
        <v>19.343178633410677</v>
      </c>
    </row>
    <row r="53" spans="1:10" x14ac:dyDescent="0.25">
      <c r="A53" s="13" t="s">
        <v>7</v>
      </c>
      <c r="B53" s="34">
        <v>36.930100000000003</v>
      </c>
      <c r="C53" s="35">
        <v>442.24400000000003</v>
      </c>
      <c r="D53" s="5">
        <f t="shared" si="12"/>
        <v>16332.115144400002</v>
      </c>
      <c r="E53" s="5">
        <f>4*2207.7</f>
        <v>8830.7999999999993</v>
      </c>
      <c r="F53" s="5">
        <f>4*222.6</f>
        <v>890.4</v>
      </c>
      <c r="G53" s="5">
        <f>4*28.1</f>
        <v>112.4</v>
      </c>
      <c r="H53" s="6">
        <f t="shared" si="13"/>
        <v>1.84944910363727</v>
      </c>
      <c r="I53" s="6">
        <f t="shared" si="14"/>
        <v>18.342447376909256</v>
      </c>
      <c r="J53" s="7">
        <f t="shared" si="15"/>
        <v>145.30351551957295</v>
      </c>
    </row>
    <row r="54" spans="1:10" x14ac:dyDescent="0.25">
      <c r="A54" s="13" t="s">
        <v>6</v>
      </c>
      <c r="B54" s="34">
        <v>41.634599999999999</v>
      </c>
      <c r="C54" s="35">
        <v>441.74599999999998</v>
      </c>
      <c r="D54" s="5">
        <f t="shared" si="12"/>
        <v>18391.918011599999</v>
      </c>
      <c r="E54" s="5">
        <f>4*1993</f>
        <v>7972</v>
      </c>
      <c r="F54" s="5">
        <f>4*183.6</f>
        <v>734.4</v>
      </c>
      <c r="G54" s="5">
        <f>4*18.1</f>
        <v>72.400000000000006</v>
      </c>
      <c r="H54" s="6">
        <f t="shared" si="13"/>
        <v>2.3070644771199196</v>
      </c>
      <c r="I54" s="6">
        <f t="shared" si="14"/>
        <v>25.043461344771242</v>
      </c>
      <c r="J54" s="7">
        <f t="shared" si="15"/>
        <v>254.0320167348066</v>
      </c>
    </row>
    <row r="55" spans="1:10" x14ac:dyDescent="0.25">
      <c r="A55" s="13" t="s">
        <v>5</v>
      </c>
      <c r="B55" s="34">
        <v>38.529800000000002</v>
      </c>
      <c r="C55" s="35">
        <v>432.09100000000001</v>
      </c>
      <c r="D55" s="5">
        <f t="shared" si="12"/>
        <v>16648.379811800001</v>
      </c>
      <c r="E55" s="5">
        <f>4*1944.1</f>
        <v>7776.4</v>
      </c>
      <c r="F55" s="5">
        <f>4*226.5</f>
        <v>906</v>
      </c>
      <c r="G55" s="5">
        <f>4*51.3</f>
        <v>205.2</v>
      </c>
      <c r="H55" s="6">
        <f t="shared" si="13"/>
        <v>2.1408852183272469</v>
      </c>
      <c r="I55" s="6">
        <f t="shared" si="14"/>
        <v>18.375695156512144</v>
      </c>
      <c r="J55" s="7">
        <f t="shared" si="15"/>
        <v>81.132455223196885</v>
      </c>
    </row>
    <row r="56" spans="1:10" x14ac:dyDescent="0.25">
      <c r="A56" s="13" t="s">
        <v>8</v>
      </c>
      <c r="B56" s="34">
        <v>30.2867</v>
      </c>
      <c r="C56" s="35">
        <f>(C55+C57)/2</f>
        <v>430.34249999999997</v>
      </c>
      <c r="D56" s="5">
        <f t="shared" si="12"/>
        <v>13033.654194749999</v>
      </c>
      <c r="E56" s="5">
        <f>4*7658.3-SUM(E57:E59)</f>
        <v>8154</v>
      </c>
      <c r="F56" s="5">
        <f>4*716.8-SUM(F57:F58)</f>
        <v>1285.1999999999998</v>
      </c>
      <c r="G56" s="5">
        <f>4*115.2-SUM(G57:G58)</f>
        <v>96</v>
      </c>
      <c r="H56" s="6">
        <f t="shared" si="13"/>
        <v>1.5984368646983074</v>
      </c>
      <c r="I56" s="6">
        <f t="shared" si="14"/>
        <v>10.141343133169935</v>
      </c>
      <c r="J56" s="7">
        <f t="shared" si="15"/>
        <v>135.76723119531249</v>
      </c>
    </row>
    <row r="57" spans="1:10" x14ac:dyDescent="0.25">
      <c r="A57" s="13" t="s">
        <v>9</v>
      </c>
      <c r="B57" s="34">
        <v>27.770700000000001</v>
      </c>
      <c r="C57" s="35">
        <v>428.59399999999999</v>
      </c>
      <c r="D57" s="5">
        <f t="shared" si="12"/>
        <v>11902.355395800001</v>
      </c>
      <c r="E57" s="5">
        <f>4*1886.8</f>
        <v>7547.2</v>
      </c>
      <c r="F57" s="5">
        <f>4*173.6</f>
        <v>694.4</v>
      </c>
      <c r="G57" s="5">
        <f>4*32.1</f>
        <v>128.4</v>
      </c>
      <c r="H57" s="6">
        <f t="shared" si="13"/>
        <v>1.5770557817203734</v>
      </c>
      <c r="I57" s="6">
        <f t="shared" si="14"/>
        <v>17.140488761232721</v>
      </c>
      <c r="J57" s="7">
        <f t="shared" si="15"/>
        <v>92.697471929906541</v>
      </c>
    </row>
    <row r="58" spans="1:10" x14ac:dyDescent="0.25">
      <c r="A58" s="13" t="s">
        <v>10</v>
      </c>
      <c r="B58" s="34">
        <v>32.431800000000003</v>
      </c>
      <c r="C58" s="35">
        <v>426.16300000000001</v>
      </c>
      <c r="D58" s="5">
        <f t="shared" si="12"/>
        <v>13821.233183400002</v>
      </c>
      <c r="E58" s="5">
        <f>4*1774.2</f>
        <v>7096.8</v>
      </c>
      <c r="F58" s="5">
        <f>4*221.9</f>
        <v>887.6</v>
      </c>
      <c r="G58" s="5">
        <f>4*59.1</f>
        <v>236.4</v>
      </c>
      <c r="H58" s="6">
        <f t="shared" si="13"/>
        <v>1.9475303211870141</v>
      </c>
      <c r="I58" s="6">
        <f t="shared" si="14"/>
        <v>15.571465956962598</v>
      </c>
      <c r="J58" s="7">
        <f t="shared" si="15"/>
        <v>58.465453398477159</v>
      </c>
    </row>
    <row r="59" spans="1:10" ht="14.4" thickBot="1" x14ac:dyDescent="0.3">
      <c r="A59" s="13" t="s">
        <v>11</v>
      </c>
      <c r="B59" s="34">
        <v>30.604600000000001</v>
      </c>
      <c r="C59" s="35">
        <v>417.34699999999998</v>
      </c>
      <c r="D59" s="5">
        <f t="shared" si="12"/>
        <v>12772.7379962</v>
      </c>
      <c r="E59" s="5">
        <f>4*1958.8</f>
        <v>7835.2</v>
      </c>
      <c r="F59" s="5">
        <f>4*227.4</f>
        <v>909.6</v>
      </c>
      <c r="G59" s="5">
        <f>4*68.1</f>
        <v>272.39999999999998</v>
      </c>
      <c r="H59" s="6">
        <f t="shared" si="13"/>
        <v>1.6301738304318971</v>
      </c>
      <c r="I59" s="6">
        <f t="shared" si="14"/>
        <v>14.042148192832013</v>
      </c>
      <c r="J59" s="7">
        <f t="shared" si="15"/>
        <v>46.889640220998537</v>
      </c>
    </row>
    <row r="60" spans="1:10" ht="14.4" thickBot="1" x14ac:dyDescent="0.3">
      <c r="A60" s="30"/>
      <c r="B60" s="31"/>
      <c r="C60" s="31"/>
      <c r="D60" s="31"/>
      <c r="E60" s="31"/>
      <c r="F60" s="36">
        <f>SUM(F47:F59)/SUM(E47:E59)</f>
        <v>0.13990809404870241</v>
      </c>
      <c r="G60" s="36">
        <f>SUM(G47:G59)/SUM(E47:E59)</f>
        <v>4.4958242169600031E-2</v>
      </c>
      <c r="H60" s="37">
        <f>AVERAGE(H47:H59)</f>
        <v>1.7440134216296921</v>
      </c>
      <c r="I60" s="37">
        <f>AVERAGE(I47:I59)</f>
        <v>14.231473950800467</v>
      </c>
      <c r="J60" s="38">
        <f>AVERAGE(J47:J59)</f>
        <v>76.033929616459787</v>
      </c>
    </row>
    <row r="61" spans="1:10" ht="6.75" customHeight="1" thickBot="1" x14ac:dyDescent="0.3">
      <c r="A61" s="34"/>
      <c r="B61" s="34"/>
      <c r="C61" s="34"/>
      <c r="D61" s="34"/>
      <c r="E61" s="34"/>
      <c r="F61" s="179"/>
      <c r="G61" s="179"/>
      <c r="H61" s="172"/>
      <c r="I61" s="172"/>
      <c r="J61" s="172"/>
    </row>
    <row r="62" spans="1:10" s="231" customFormat="1" ht="18.600000000000001" thickBot="1" x14ac:dyDescent="0.4">
      <c r="A62" s="20" t="s">
        <v>103</v>
      </c>
      <c r="B62" s="229"/>
      <c r="C62" s="225"/>
      <c r="D62" s="225"/>
      <c r="E62" s="225"/>
      <c r="F62" s="225"/>
      <c r="G62" s="225"/>
      <c r="H62" s="229"/>
      <c r="I62" s="229"/>
      <c r="J62" s="230"/>
    </row>
    <row r="63" spans="1:10" x14ac:dyDescent="0.25">
      <c r="A63" s="13" t="s">
        <v>107</v>
      </c>
      <c r="B63" s="66">
        <v>17.16</v>
      </c>
      <c r="C63" s="35">
        <v>15.8</v>
      </c>
      <c r="D63" s="5">
        <f>B63*C63</f>
        <v>271.12800000000004</v>
      </c>
      <c r="E63" s="5">
        <f>AVERAGE(E64:E67)</f>
        <v>22.607937499999998</v>
      </c>
      <c r="F63" s="5">
        <f t="shared" ref="F63:G67" si="16">F64</f>
        <v>-9.8639999999999972</v>
      </c>
      <c r="G63" s="5">
        <f t="shared" si="16"/>
        <v>-7.0039999999999996</v>
      </c>
      <c r="H63" s="6">
        <f>D63/E63</f>
        <v>11.99260215576941</v>
      </c>
      <c r="I63" s="21" t="str">
        <f>IF(F63&gt;0,D63/F63, "NM")</f>
        <v>NM</v>
      </c>
      <c r="J63" s="22" t="str">
        <f t="shared" ref="J63:J78" si="17">IF(G63&gt;0,D63/G63, "nm")</f>
        <v>nm</v>
      </c>
    </row>
    <row r="64" spans="1:10" x14ac:dyDescent="0.25">
      <c r="A64" s="13" t="s">
        <v>108</v>
      </c>
      <c r="B64" s="66">
        <v>14.81</v>
      </c>
      <c r="C64" s="35">
        <v>15.8</v>
      </c>
      <c r="D64" s="5">
        <f>B64*C64</f>
        <v>233.99800000000002</v>
      </c>
      <c r="E64" s="5">
        <f>AVERAGE(E65:E68)</f>
        <v>24.528749999999995</v>
      </c>
      <c r="F64" s="5">
        <f t="shared" si="16"/>
        <v>-9.8639999999999972</v>
      </c>
      <c r="G64" s="5">
        <f t="shared" si="16"/>
        <v>-7.0039999999999996</v>
      </c>
      <c r="H64" s="6">
        <f>D64/E64</f>
        <v>9.5397441777506007</v>
      </c>
      <c r="I64" s="21" t="str">
        <f>IF(F64&gt;0,D64/F64, "NM")</f>
        <v>NM</v>
      </c>
      <c r="J64" s="22" t="str">
        <f t="shared" si="17"/>
        <v>nm</v>
      </c>
    </row>
    <row r="65" spans="1:10" x14ac:dyDescent="0.25">
      <c r="A65" s="13" t="s">
        <v>109</v>
      </c>
      <c r="B65" s="66">
        <v>23.09</v>
      </c>
      <c r="C65" s="35">
        <v>15.8</v>
      </c>
      <c r="D65" s="5">
        <f>B65*C65</f>
        <v>364.822</v>
      </c>
      <c r="E65" s="5">
        <f>AVERAGE(E66:E69)</f>
        <v>22.918999999999997</v>
      </c>
      <c r="F65" s="5">
        <f t="shared" si="16"/>
        <v>-9.8639999999999972</v>
      </c>
      <c r="G65" s="5">
        <f t="shared" si="16"/>
        <v>-7.0039999999999996</v>
      </c>
      <c r="H65" s="6">
        <f>D65/E65</f>
        <v>15.91788472446442</v>
      </c>
      <c r="I65" s="21" t="str">
        <f>IF(F65&gt;0,D65/F65, "NM")</f>
        <v>NM</v>
      </c>
      <c r="J65" s="22" t="str">
        <f t="shared" si="17"/>
        <v>nm</v>
      </c>
    </row>
    <row r="66" spans="1:10" x14ac:dyDescent="0.25">
      <c r="A66" s="13" t="s">
        <v>22</v>
      </c>
      <c r="B66" s="66">
        <v>50.5</v>
      </c>
      <c r="C66" s="35">
        <v>15.8</v>
      </c>
      <c r="D66" s="5">
        <f t="shared" ref="D66:D78" si="18">B66*C66</f>
        <v>797.90000000000009</v>
      </c>
      <c r="E66" s="5">
        <f>AVERAGE(E67:E70)</f>
        <v>22.283999999999999</v>
      </c>
      <c r="F66" s="5">
        <f t="shared" si="16"/>
        <v>-9.8639999999999972</v>
      </c>
      <c r="G66" s="5">
        <f t="shared" si="16"/>
        <v>-7.0039999999999996</v>
      </c>
      <c r="H66" s="6">
        <f t="shared" ref="H66:H78" si="19">D66/E66</f>
        <v>35.805959432776888</v>
      </c>
      <c r="I66" s="21" t="str">
        <f>IF(F66&gt;0,D66/F66, "NM")</f>
        <v>NM</v>
      </c>
      <c r="J66" s="22" t="str">
        <f t="shared" si="17"/>
        <v>nm</v>
      </c>
    </row>
    <row r="67" spans="1:10" x14ac:dyDescent="0.25">
      <c r="A67" s="13" t="s">
        <v>0</v>
      </c>
      <c r="B67" s="66">
        <v>68.5625</v>
      </c>
      <c r="C67" s="35">
        <v>15.8</v>
      </c>
      <c r="D67" s="5">
        <f t="shared" si="18"/>
        <v>1083.2875000000001</v>
      </c>
      <c r="E67" s="5">
        <f>AVERAGE(E68:E71)</f>
        <v>20.7</v>
      </c>
      <c r="F67" s="5">
        <f t="shared" si="16"/>
        <v>-9.8639999999999972</v>
      </c>
      <c r="G67" s="5">
        <f t="shared" si="16"/>
        <v>-7.0039999999999996</v>
      </c>
      <c r="H67" s="6">
        <f t="shared" si="19"/>
        <v>52.332729468599041</v>
      </c>
      <c r="I67" s="21" t="str">
        <f t="shared" ref="I67:I78" si="20">IF(F67&gt;0,D67/F67, "NM")</f>
        <v>NM</v>
      </c>
      <c r="J67" s="22" t="str">
        <f t="shared" si="17"/>
        <v>nm</v>
      </c>
    </row>
    <row r="68" spans="1:10" x14ac:dyDescent="0.25">
      <c r="A68" s="13" t="s">
        <v>1</v>
      </c>
      <c r="B68" s="66">
        <v>96.234399999999994</v>
      </c>
      <c r="C68" s="35">
        <v>15.73</v>
      </c>
      <c r="D68" s="5">
        <f t="shared" si="18"/>
        <v>1513.767112</v>
      </c>
      <c r="E68" s="5">
        <f>4*20.7-SUM(E69:E71)</f>
        <v>32.211999999999989</v>
      </c>
      <c r="F68" s="5">
        <f>4*-6.733-SUM(F69:F71)</f>
        <v>-9.8639999999999972</v>
      </c>
      <c r="G68" s="5">
        <f>4*-4.589-SUM(G69:G71)</f>
        <v>-7.0039999999999996</v>
      </c>
      <c r="H68" s="6">
        <f t="shared" si="19"/>
        <v>46.993887743698018</v>
      </c>
      <c r="I68" s="21" t="str">
        <f t="shared" si="20"/>
        <v>NM</v>
      </c>
      <c r="J68" s="22" t="str">
        <f t="shared" si="17"/>
        <v>nm</v>
      </c>
    </row>
    <row r="69" spans="1:10" x14ac:dyDescent="0.25">
      <c r="A69" s="13" t="s">
        <v>2</v>
      </c>
      <c r="B69" s="66">
        <v>69.0625</v>
      </c>
      <c r="C69" s="35">
        <v>15.37</v>
      </c>
      <c r="D69" s="5">
        <f t="shared" si="18"/>
        <v>1061.4906249999999</v>
      </c>
      <c r="E69" s="5">
        <f>4*4.12</f>
        <v>16.48</v>
      </c>
      <c r="F69" s="5">
        <f>4*-2.292</f>
        <v>-9.1679999999999993</v>
      </c>
      <c r="G69" s="5">
        <f>4*-1.314</f>
        <v>-5.2560000000000002</v>
      </c>
      <c r="H69" s="6">
        <f t="shared" si="19"/>
        <v>64.410838895631059</v>
      </c>
      <c r="I69" s="21" t="str">
        <f t="shared" si="20"/>
        <v>NM</v>
      </c>
      <c r="J69" s="22" t="str">
        <f t="shared" si="17"/>
        <v>nm</v>
      </c>
    </row>
    <row r="70" spans="1:10" x14ac:dyDescent="0.25">
      <c r="A70" s="13" t="s">
        <v>3</v>
      </c>
      <c r="B70" s="66">
        <v>78.25</v>
      </c>
      <c r="C70" s="35">
        <f>2*6.332898</f>
        <v>12.665796</v>
      </c>
      <c r="D70" s="5">
        <f t="shared" si="18"/>
        <v>991.09853700000008</v>
      </c>
      <c r="E70" s="5">
        <f>4*4.936</f>
        <v>19.744</v>
      </c>
      <c r="F70" s="5">
        <f>4*-1.884</f>
        <v>-7.5359999999999996</v>
      </c>
      <c r="G70" s="5">
        <f>4*-1.711</f>
        <v>-6.8440000000000003</v>
      </c>
      <c r="H70" s="6">
        <f t="shared" si="19"/>
        <v>50.197454264586717</v>
      </c>
      <c r="I70" s="21" t="str">
        <f t="shared" si="20"/>
        <v>NM</v>
      </c>
      <c r="J70" s="22" t="str">
        <f t="shared" si="17"/>
        <v>nm</v>
      </c>
    </row>
    <row r="71" spans="1:10" x14ac:dyDescent="0.25">
      <c r="A71" s="13" t="s">
        <v>4</v>
      </c>
      <c r="B71" s="66">
        <v>25.0625</v>
      </c>
      <c r="C71" s="35">
        <f>2*6.332898</f>
        <v>12.665796</v>
      </c>
      <c r="D71" s="5">
        <f t="shared" si="18"/>
        <v>317.43651225000002</v>
      </c>
      <c r="E71" s="5">
        <f>4*3.591</f>
        <v>14.364000000000001</v>
      </c>
      <c r="F71" s="5">
        <f>4*-0.091</f>
        <v>-0.36399999999999999</v>
      </c>
      <c r="G71" s="5">
        <f>4*0.187</f>
        <v>0.748</v>
      </c>
      <c r="H71" s="6">
        <f t="shared" si="19"/>
        <v>22.09945086675021</v>
      </c>
      <c r="I71" s="21" t="str">
        <f t="shared" si="20"/>
        <v>NM</v>
      </c>
      <c r="J71" s="22">
        <f t="shared" si="17"/>
        <v>424.38036397058829</v>
      </c>
    </row>
    <row r="72" spans="1:10" x14ac:dyDescent="0.25">
      <c r="A72" s="13" t="s">
        <v>7</v>
      </c>
      <c r="B72" s="66">
        <v>26.375</v>
      </c>
      <c r="C72" s="35">
        <v>12.65</v>
      </c>
      <c r="D72" s="5">
        <f t="shared" si="18"/>
        <v>333.64375000000001</v>
      </c>
      <c r="E72" s="5">
        <f>4*19.964-SUM(E73:E75)</f>
        <v>13.903999999999996</v>
      </c>
      <c r="F72" s="5">
        <f>4*-2.247-SUM(F73:F75)</f>
        <v>-2.88</v>
      </c>
      <c r="G72" s="5">
        <f>4*-0.985-SUM(G73:G75)</f>
        <v>-0.35599999999999987</v>
      </c>
      <c r="H72" s="6">
        <f t="shared" si="19"/>
        <v>23.996242088607602</v>
      </c>
      <c r="I72" s="21" t="str">
        <f t="shared" si="20"/>
        <v>NM</v>
      </c>
      <c r="J72" s="22" t="str">
        <f t="shared" si="17"/>
        <v>nm</v>
      </c>
    </row>
    <row r="73" spans="1:10" x14ac:dyDescent="0.25">
      <c r="A73" s="13" t="s">
        <v>6</v>
      </c>
      <c r="B73" s="66">
        <v>14.25</v>
      </c>
      <c r="C73" s="35">
        <v>12.55</v>
      </c>
      <c r="D73" s="5">
        <f t="shared" si="18"/>
        <v>178.83750000000001</v>
      </c>
      <c r="E73" s="5">
        <f>4*4.416</f>
        <v>17.664000000000001</v>
      </c>
      <c r="F73" s="5">
        <f>4*-0.369</f>
        <v>-1.476</v>
      </c>
      <c r="G73" s="5">
        <f>4*-0.2</f>
        <v>-0.8</v>
      </c>
      <c r="H73" s="6">
        <f t="shared" si="19"/>
        <v>10.124405570652174</v>
      </c>
      <c r="I73" s="21" t="str">
        <f t="shared" si="20"/>
        <v>NM</v>
      </c>
      <c r="J73" s="22" t="str">
        <f t="shared" si="17"/>
        <v>nm</v>
      </c>
    </row>
    <row r="74" spans="1:10" x14ac:dyDescent="0.25">
      <c r="A74" s="13" t="s">
        <v>5</v>
      </c>
      <c r="B74" s="66">
        <v>8.5</v>
      </c>
      <c r="C74" s="35">
        <v>12.5</v>
      </c>
      <c r="D74" s="5">
        <f t="shared" si="18"/>
        <v>106.25</v>
      </c>
      <c r="E74" s="5">
        <f>4*5.788</f>
        <v>23.152000000000001</v>
      </c>
      <c r="F74" s="5">
        <f>4*-0.573</f>
        <v>-2.2919999999999998</v>
      </c>
      <c r="G74" s="5">
        <f>4*-0.348</f>
        <v>-1.3919999999999999</v>
      </c>
      <c r="H74" s="6">
        <f t="shared" si="19"/>
        <v>4.5892363510711816</v>
      </c>
      <c r="I74" s="21" t="str">
        <f t="shared" si="20"/>
        <v>NM</v>
      </c>
      <c r="J74" s="22" t="str">
        <f t="shared" si="17"/>
        <v>nm</v>
      </c>
    </row>
    <row r="75" spans="1:10" x14ac:dyDescent="0.25">
      <c r="A75" s="13" t="s">
        <v>8</v>
      </c>
      <c r="B75" s="66">
        <v>14</v>
      </c>
      <c r="C75" s="35">
        <f>2*6.247898</f>
        <v>12.495796</v>
      </c>
      <c r="D75" s="5">
        <f t="shared" si="18"/>
        <v>174.94114400000001</v>
      </c>
      <c r="E75" s="5">
        <f>4*6.284</f>
        <v>25.135999999999999</v>
      </c>
      <c r="F75" s="5">
        <f>4*-0.585</f>
        <v>-2.34</v>
      </c>
      <c r="G75" s="5">
        <f>4*-0.348</f>
        <v>-1.3919999999999999</v>
      </c>
      <c r="H75" s="6">
        <f t="shared" si="19"/>
        <v>6.9597845321451306</v>
      </c>
      <c r="I75" s="21" t="str">
        <f t="shared" si="20"/>
        <v>NM</v>
      </c>
      <c r="J75" s="22" t="str">
        <f t="shared" si="17"/>
        <v>nm</v>
      </c>
    </row>
    <row r="76" spans="1:10" x14ac:dyDescent="0.25">
      <c r="A76" s="13" t="s">
        <v>9</v>
      </c>
      <c r="B76" s="66">
        <v>12.875</v>
      </c>
      <c r="C76" s="35">
        <f>2*6.121</f>
        <v>12.242000000000001</v>
      </c>
      <c r="D76" s="5">
        <f t="shared" si="18"/>
        <v>157.61575000000002</v>
      </c>
      <c r="E76" s="5">
        <f>4*6</f>
        <v>24</v>
      </c>
      <c r="F76" s="5">
        <v>-0.1</v>
      </c>
      <c r="G76" s="5">
        <v>-0.1</v>
      </c>
      <c r="H76" s="6">
        <f t="shared" si="19"/>
        <v>6.5673229166666678</v>
      </c>
      <c r="I76" s="21" t="str">
        <f t="shared" si="20"/>
        <v>NM</v>
      </c>
      <c r="J76" s="22" t="str">
        <f t="shared" si="17"/>
        <v>nm</v>
      </c>
    </row>
    <row r="77" spans="1:10" x14ac:dyDescent="0.25">
      <c r="A77" s="13" t="s">
        <v>10</v>
      </c>
      <c r="B77" s="66">
        <v>19.75</v>
      </c>
      <c r="C77" s="35">
        <f>2*6.121</f>
        <v>12.242000000000001</v>
      </c>
      <c r="D77" s="5">
        <f t="shared" si="18"/>
        <v>241.77950000000001</v>
      </c>
      <c r="E77" s="5">
        <f>4*6</f>
        <v>24</v>
      </c>
      <c r="F77" s="5">
        <v>-0.1</v>
      </c>
      <c r="G77" s="5">
        <v>-0.1</v>
      </c>
      <c r="H77" s="6">
        <f t="shared" si="19"/>
        <v>10.074145833333334</v>
      </c>
      <c r="I77" s="21" t="str">
        <f t="shared" si="20"/>
        <v>NM</v>
      </c>
      <c r="J77" s="22" t="str">
        <f t="shared" si="17"/>
        <v>nm</v>
      </c>
    </row>
    <row r="78" spans="1:10" ht="14.4" thickBot="1" x14ac:dyDescent="0.3">
      <c r="A78" s="13" t="s">
        <v>11</v>
      </c>
      <c r="B78" s="66">
        <v>26.75</v>
      </c>
      <c r="C78" s="35">
        <f>2*6.121</f>
        <v>12.242000000000001</v>
      </c>
      <c r="D78" s="5">
        <f t="shared" si="18"/>
        <v>327.4735</v>
      </c>
      <c r="E78" s="5">
        <f>4*6</f>
        <v>24</v>
      </c>
      <c r="F78" s="5">
        <v>-0.1</v>
      </c>
      <c r="G78" s="5">
        <v>-0.1</v>
      </c>
      <c r="H78" s="6">
        <f t="shared" si="19"/>
        <v>13.644729166666666</v>
      </c>
      <c r="I78" s="21" t="str">
        <f t="shared" si="20"/>
        <v>NM</v>
      </c>
      <c r="J78" s="22" t="str">
        <f t="shared" si="17"/>
        <v>nm</v>
      </c>
    </row>
    <row r="79" spans="1:10" ht="14.4" thickBot="1" x14ac:dyDescent="0.3">
      <c r="A79" s="30"/>
      <c r="B79" s="31"/>
      <c r="C79" s="31"/>
      <c r="D79" s="31"/>
      <c r="E79" s="31"/>
      <c r="F79" s="36">
        <f>SUM(F66:F78)/SUM(E66:E78)</f>
        <v>-0.2015127503241608</v>
      </c>
      <c r="G79" s="36">
        <f>SUM(G66:G78)/SUM(E66:E78)</f>
        <v>-0.13183979253709846</v>
      </c>
      <c r="H79" s="37">
        <f>AVERAGE(H66:H78)</f>
        <v>26.75355285624498</v>
      </c>
      <c r="I79" s="37" t="e">
        <f>AVERAGE(I66:I78)</f>
        <v>#DIV/0!</v>
      </c>
      <c r="J79" s="38">
        <f>AVERAGE(J66:J78)</f>
        <v>424.38036397058829</v>
      </c>
    </row>
    <row r="80" spans="1:10" ht="6.75" customHeight="1" thickBot="1" x14ac:dyDescent="0.3">
      <c r="A80" s="34"/>
      <c r="B80" s="34"/>
      <c r="C80" s="34"/>
      <c r="D80" s="34"/>
      <c r="E80" s="34"/>
      <c r="F80" s="179"/>
      <c r="G80" s="179"/>
      <c r="H80" s="172"/>
      <c r="I80" s="172"/>
      <c r="J80" s="172"/>
    </row>
    <row r="81" spans="1:10" ht="18" thickBot="1" x14ac:dyDescent="0.35">
      <c r="A81" s="20" t="s">
        <v>154</v>
      </c>
      <c r="B81" s="17"/>
      <c r="C81" s="18"/>
      <c r="D81" s="18"/>
      <c r="E81" s="18"/>
      <c r="F81" s="18"/>
      <c r="G81" s="18"/>
      <c r="H81" s="17"/>
      <c r="I81" s="17"/>
      <c r="J81" s="19"/>
    </row>
    <row r="82" spans="1:10" x14ac:dyDescent="0.25">
      <c r="A82" s="13" t="s">
        <v>107</v>
      </c>
      <c r="B82" s="66">
        <v>15.54</v>
      </c>
      <c r="C82" s="35">
        <f t="shared" ref="C82:C84" si="21">C83</f>
        <v>95.4</v>
      </c>
      <c r="D82" s="5">
        <f>B82*C82</f>
        <v>1482.5160000000001</v>
      </c>
      <c r="E82" s="5">
        <f>2*E83-E84</f>
        <v>495.31400000000002</v>
      </c>
      <c r="F82" s="5">
        <f t="shared" ref="F82:G84" si="22">F83</f>
        <v>244.6</v>
      </c>
      <c r="G82" s="5">
        <f t="shared" si="22"/>
        <v>64.8</v>
      </c>
      <c r="H82" s="6">
        <f>D82/E82</f>
        <v>2.9930831755209826</v>
      </c>
      <c r="I82" s="21">
        <f>IF(F82&gt;0,D82/F82, "NM")</f>
        <v>6.0609811937857732</v>
      </c>
      <c r="J82" s="22">
        <f t="shared" ref="J82:J97" si="23">IF(G82&gt;0,D82/G82, "nm")</f>
        <v>22.878333333333334</v>
      </c>
    </row>
    <row r="83" spans="1:10" x14ac:dyDescent="0.25">
      <c r="A83" s="13" t="s">
        <v>108</v>
      </c>
      <c r="B83" s="66">
        <v>14.47</v>
      </c>
      <c r="C83" s="35">
        <f t="shared" si="21"/>
        <v>95.4</v>
      </c>
      <c r="D83" s="5">
        <f>B83*C83</f>
        <v>1380.4380000000001</v>
      </c>
      <c r="E83" s="5">
        <f>2*E84-E85</f>
        <v>495.07600000000002</v>
      </c>
      <c r="F83" s="5">
        <f t="shared" si="22"/>
        <v>244.6</v>
      </c>
      <c r="G83" s="5">
        <f t="shared" si="22"/>
        <v>64.8</v>
      </c>
      <c r="H83" s="6">
        <f>D83/E83</f>
        <v>2.7883355282825266</v>
      </c>
      <c r="I83" s="21">
        <f>IF(F83&gt;0,D83/F83, "NM")</f>
        <v>5.6436549468520036</v>
      </c>
      <c r="J83" s="22">
        <f t="shared" si="23"/>
        <v>21.303055555555559</v>
      </c>
    </row>
    <row r="84" spans="1:10" x14ac:dyDescent="0.25">
      <c r="A84" s="13" t="s">
        <v>109</v>
      </c>
      <c r="B84" s="66">
        <v>15</v>
      </c>
      <c r="C84" s="35">
        <f t="shared" si="21"/>
        <v>95.4</v>
      </c>
      <c r="D84" s="5">
        <f>B84*C84</f>
        <v>1431</v>
      </c>
      <c r="E84" s="5">
        <f>2*E85-E86</f>
        <v>494.83800000000002</v>
      </c>
      <c r="F84" s="5">
        <f t="shared" si="22"/>
        <v>244.6</v>
      </c>
      <c r="G84" s="5">
        <f t="shared" si="22"/>
        <v>64.8</v>
      </c>
      <c r="H84" s="6">
        <f>D84/E84</f>
        <v>2.8918555163508057</v>
      </c>
      <c r="I84" s="21">
        <f>IF(F84&gt;0,D84/F84, "NM")</f>
        <v>5.8503679476696648</v>
      </c>
      <c r="J84" s="22">
        <f t="shared" si="23"/>
        <v>22.083333333333336</v>
      </c>
    </row>
    <row r="85" spans="1:10" x14ac:dyDescent="0.25">
      <c r="A85" s="13" t="s">
        <v>22</v>
      </c>
      <c r="B85" s="66">
        <v>15</v>
      </c>
      <c r="C85" s="35">
        <v>95.4</v>
      </c>
      <c r="D85" s="5">
        <f t="shared" ref="D85:D97" si="24">B85*C85</f>
        <v>1431</v>
      </c>
      <c r="E85" s="5">
        <v>494.6</v>
      </c>
      <c r="F85" s="5">
        <v>244.6</v>
      </c>
      <c r="G85" s="5">
        <v>64.8</v>
      </c>
      <c r="H85" s="6">
        <f t="shared" ref="H85:H97" si="25">D85/E85</f>
        <v>2.8932470683380509</v>
      </c>
      <c r="I85" s="21">
        <f>IF(F85&gt;0,D85/F85, "NM")</f>
        <v>5.8503679476696648</v>
      </c>
      <c r="J85" s="22">
        <f t="shared" si="23"/>
        <v>22.083333333333336</v>
      </c>
    </row>
    <row r="86" spans="1:10" x14ac:dyDescent="0.25">
      <c r="A86" s="13" t="s">
        <v>0</v>
      </c>
      <c r="B86" s="66">
        <v>12.85</v>
      </c>
      <c r="C86" s="35">
        <v>95.4</v>
      </c>
      <c r="D86" s="5">
        <f t="shared" si="24"/>
        <v>1225.8900000000001</v>
      </c>
      <c r="E86" s="5">
        <f>AVERAGE(E87:E90)</f>
        <v>494.36200000000002</v>
      </c>
      <c r="F86" s="5">
        <f>F87</f>
        <v>299.64</v>
      </c>
      <c r="G86" s="5">
        <f>G87</f>
        <v>90.924000000000007</v>
      </c>
      <c r="H86" s="6">
        <f t="shared" si="25"/>
        <v>2.4797415658970552</v>
      </c>
      <c r="I86" s="21">
        <f t="shared" ref="I86:I97" si="26">IF(F86&gt;0,D86/F86, "NM")</f>
        <v>4.0912094513416104</v>
      </c>
      <c r="J86" s="22">
        <f t="shared" si="23"/>
        <v>13.482578857067441</v>
      </c>
    </row>
    <row r="87" spans="1:10" x14ac:dyDescent="0.25">
      <c r="A87" s="13" t="s">
        <v>1</v>
      </c>
      <c r="B87" s="66">
        <v>13.25</v>
      </c>
      <c r="C87" s="35">
        <v>95.191999999999993</v>
      </c>
      <c r="D87" s="5">
        <f t="shared" si="24"/>
        <v>1261.2939999999999</v>
      </c>
      <c r="E87" s="5">
        <f>4*142.622</f>
        <v>570.48800000000006</v>
      </c>
      <c r="F87" s="5">
        <f>4*(58.267+16.643)</f>
        <v>299.64</v>
      </c>
      <c r="G87" s="5">
        <f>4*22.731</f>
        <v>90.924000000000007</v>
      </c>
      <c r="H87" s="6">
        <f t="shared" si="25"/>
        <v>2.2109036474036259</v>
      </c>
      <c r="I87" s="21">
        <f t="shared" si="26"/>
        <v>4.2093645708183152</v>
      </c>
      <c r="J87" s="22">
        <f t="shared" si="23"/>
        <v>13.871958998724207</v>
      </c>
    </row>
    <row r="88" spans="1:10" x14ac:dyDescent="0.25">
      <c r="A88" s="13" t="s">
        <v>2</v>
      </c>
      <c r="B88" s="66">
        <v>9.25</v>
      </c>
      <c r="C88" s="35">
        <v>95.231999999999999</v>
      </c>
      <c r="D88" s="5">
        <f t="shared" si="24"/>
        <v>880.89599999999996</v>
      </c>
      <c r="E88" s="5">
        <f>4*133.235</f>
        <v>532.94000000000005</v>
      </c>
      <c r="F88" s="5">
        <f>4*(53.837+16.357)</f>
        <v>280.77600000000001</v>
      </c>
      <c r="G88" s="5">
        <f>4*21.239</f>
        <v>84.956000000000003</v>
      </c>
      <c r="H88" s="6">
        <f t="shared" si="25"/>
        <v>1.6528990130221035</v>
      </c>
      <c r="I88" s="21">
        <f t="shared" si="26"/>
        <v>3.1373621677066414</v>
      </c>
      <c r="J88" s="22">
        <f t="shared" si="23"/>
        <v>10.36884975752154</v>
      </c>
    </row>
    <row r="89" spans="1:10" x14ac:dyDescent="0.25">
      <c r="A89" s="13" t="s">
        <v>3</v>
      </c>
      <c r="B89" s="66">
        <v>7.5</v>
      </c>
      <c r="C89" s="35">
        <v>95.632000000000005</v>
      </c>
      <c r="D89" s="5">
        <f t="shared" si="24"/>
        <v>717.24</v>
      </c>
      <c r="E89" s="5">
        <f>4*113.24</f>
        <v>452.96</v>
      </c>
      <c r="F89" s="5">
        <f>4*(35.947+16.149)</f>
        <v>208.38400000000001</v>
      </c>
      <c r="G89" s="5">
        <f>4*11.282</f>
        <v>45.128</v>
      </c>
      <c r="H89" s="6">
        <f t="shared" si="25"/>
        <v>1.5834510773578241</v>
      </c>
      <c r="I89" s="21">
        <f t="shared" si="26"/>
        <v>3.4419149262899262</v>
      </c>
      <c r="J89" s="22">
        <f t="shared" si="23"/>
        <v>15.893458606630031</v>
      </c>
    </row>
    <row r="90" spans="1:10" x14ac:dyDescent="0.25">
      <c r="A90" s="13" t="s">
        <v>4</v>
      </c>
      <c r="B90" s="66">
        <v>7.5625</v>
      </c>
      <c r="C90" s="35">
        <f>(C89+C91)/2</f>
        <v>96.077500000000001</v>
      </c>
      <c r="D90" s="5">
        <f t="shared" si="24"/>
        <v>726.58609375000003</v>
      </c>
      <c r="E90" s="5">
        <f>4*417.662-SUM(E91:E93)</f>
        <v>421.05999999999995</v>
      </c>
      <c r="F90" s="5">
        <f>4*(136.082+60.198)-SUM(F91:F93)</f>
        <v>189.66800000000001</v>
      </c>
      <c r="G90" s="5">
        <f>4*47.225-SUM(G91:G93)</f>
        <v>37.964000000000027</v>
      </c>
      <c r="H90" s="6">
        <f t="shared" si="25"/>
        <v>1.7256117744501973</v>
      </c>
      <c r="I90" s="21">
        <f t="shared" si="26"/>
        <v>3.830831209007318</v>
      </c>
      <c r="J90" s="22">
        <f t="shared" si="23"/>
        <v>19.138818189600663</v>
      </c>
    </row>
    <row r="91" spans="1:10" x14ac:dyDescent="0.25">
      <c r="A91" s="13" t="s">
        <v>7</v>
      </c>
      <c r="B91" s="66">
        <v>9</v>
      </c>
      <c r="C91" s="35">
        <v>96.522999999999996</v>
      </c>
      <c r="D91" s="5">
        <f t="shared" si="24"/>
        <v>868.70699999999999</v>
      </c>
      <c r="E91" s="5">
        <f>4*116.491</f>
        <v>465.964</v>
      </c>
      <c r="F91" s="5">
        <f>4*(42.034+15.637)</f>
        <v>230.684</v>
      </c>
      <c r="G91" s="5">
        <f>4*16.255</f>
        <v>65.02</v>
      </c>
      <c r="H91" s="6">
        <f t="shared" si="25"/>
        <v>1.8643221364740623</v>
      </c>
      <c r="I91" s="21">
        <f t="shared" si="26"/>
        <v>3.765787830972239</v>
      </c>
      <c r="J91" s="22">
        <f t="shared" si="23"/>
        <v>13.360612119347893</v>
      </c>
    </row>
    <row r="92" spans="1:10" x14ac:dyDescent="0.25">
      <c r="A92" s="13" t="s">
        <v>6</v>
      </c>
      <c r="B92" s="66">
        <v>12</v>
      </c>
      <c r="C92" s="35">
        <v>96.278000000000006</v>
      </c>
      <c r="D92" s="5">
        <f t="shared" si="24"/>
        <v>1155.336</v>
      </c>
      <c r="E92" s="5">
        <f>4*106.487</f>
        <v>425.94799999999998</v>
      </c>
      <c r="F92" s="5">
        <f>4*(38.162+14.903)</f>
        <v>212.26</v>
      </c>
      <c r="G92" s="5">
        <f>4*14.606</f>
        <v>58.423999999999999</v>
      </c>
      <c r="H92" s="6">
        <f t="shared" si="25"/>
        <v>2.7123874275733191</v>
      </c>
      <c r="I92" s="21">
        <f t="shared" si="26"/>
        <v>5.4430227079996234</v>
      </c>
      <c r="J92" s="22">
        <f t="shared" si="23"/>
        <v>19.775023962755032</v>
      </c>
    </row>
    <row r="93" spans="1:10" x14ac:dyDescent="0.25">
      <c r="A93" s="13" t="s">
        <v>5</v>
      </c>
      <c r="B93" s="66">
        <v>10.1875</v>
      </c>
      <c r="C93" s="35">
        <v>95.974000000000004</v>
      </c>
      <c r="D93" s="5">
        <f t="shared" si="24"/>
        <v>977.73512500000004</v>
      </c>
      <c r="E93" s="5">
        <f>4*89.419</f>
        <v>357.67599999999999</v>
      </c>
      <c r="F93" s="5">
        <f>4*(24.203+13.924)</f>
        <v>152.50799999999998</v>
      </c>
      <c r="G93" s="5">
        <f>4*6.873</f>
        <v>27.492000000000001</v>
      </c>
      <c r="H93" s="6">
        <f t="shared" si="25"/>
        <v>2.733577665261298</v>
      </c>
      <c r="I93" s="21">
        <f t="shared" si="26"/>
        <v>6.411041551918589</v>
      </c>
      <c r="J93" s="22">
        <f t="shared" si="23"/>
        <v>35.564350538338424</v>
      </c>
    </row>
    <row r="94" spans="1:10" x14ac:dyDescent="0.25">
      <c r="A94" s="13" t="s">
        <v>8</v>
      </c>
      <c r="B94" s="66">
        <v>10.5</v>
      </c>
      <c r="C94" s="35">
        <f>(C93+C95)/2</f>
        <v>96.003500000000003</v>
      </c>
      <c r="D94" s="5">
        <f t="shared" si="24"/>
        <v>1008.03675</v>
      </c>
      <c r="E94" s="5">
        <f>4*283.087-SUM(E95:E97)</f>
        <v>311.22399999999993</v>
      </c>
      <c r="F94" s="5">
        <f>4*(67.252+42.293)-SUM(F95:F97)</f>
        <v>132.42399999999998</v>
      </c>
      <c r="G94" s="5">
        <f>4*428.038-SUM(G95:G97)</f>
        <v>1630.5119999999999</v>
      </c>
      <c r="H94" s="6">
        <f t="shared" si="25"/>
        <v>3.2389428514510454</v>
      </c>
      <c r="I94" s="21">
        <f t="shared" si="26"/>
        <v>7.6121907660242867</v>
      </c>
      <c r="J94" s="22">
        <f t="shared" si="23"/>
        <v>0.61823326047278404</v>
      </c>
    </row>
    <row r="95" spans="1:10" x14ac:dyDescent="0.25">
      <c r="A95" s="13" t="s">
        <v>9</v>
      </c>
      <c r="B95" s="66">
        <v>8</v>
      </c>
      <c r="C95" s="35">
        <v>96.033000000000001</v>
      </c>
      <c r="D95" s="5">
        <f t="shared" si="24"/>
        <v>768.26400000000001</v>
      </c>
      <c r="E95" s="5">
        <f>4*81.006</f>
        <v>324.024</v>
      </c>
      <c r="F95" s="5">
        <f>4*(15.582+10.865)</f>
        <v>105.78800000000001</v>
      </c>
      <c r="G95" s="5">
        <f>4*5.492</f>
        <v>21.968</v>
      </c>
      <c r="H95" s="6">
        <f t="shared" si="25"/>
        <v>2.371009554847789</v>
      </c>
      <c r="I95" s="21">
        <f t="shared" si="26"/>
        <v>7.2622981812681964</v>
      </c>
      <c r="J95" s="22">
        <f t="shared" si="23"/>
        <v>34.971959213401313</v>
      </c>
    </row>
    <row r="96" spans="1:10" x14ac:dyDescent="0.25">
      <c r="A96" s="13" t="s">
        <v>10</v>
      </c>
      <c r="B96" s="66">
        <v>11.25</v>
      </c>
      <c r="C96" s="35">
        <v>95.897000000000006</v>
      </c>
      <c r="D96" s="5">
        <f t="shared" si="24"/>
        <v>1078.8412500000002</v>
      </c>
      <c r="E96" s="5">
        <f>4*70.044</f>
        <v>280.17599999999999</v>
      </c>
      <c r="F96" s="5">
        <f>4*(21.421+10.015)</f>
        <v>125.744</v>
      </c>
      <c r="G96" s="5">
        <f>4*10.116</f>
        <v>40.463999999999999</v>
      </c>
      <c r="H96" s="6">
        <f t="shared" si="25"/>
        <v>3.8505840971389422</v>
      </c>
      <c r="I96" s="21">
        <f t="shared" si="26"/>
        <v>8.5796638408194443</v>
      </c>
      <c r="J96" s="22">
        <f t="shared" si="23"/>
        <v>26.661754893238438</v>
      </c>
    </row>
    <row r="97" spans="1:10" ht="14.4" thickBot="1" x14ac:dyDescent="0.3">
      <c r="A97" s="13" t="s">
        <v>11</v>
      </c>
      <c r="B97" s="66">
        <v>14.625</v>
      </c>
      <c r="C97" s="35">
        <v>95.697999999999993</v>
      </c>
      <c r="D97" s="5">
        <f t="shared" si="24"/>
        <v>1399.5832499999999</v>
      </c>
      <c r="E97" s="5">
        <f>4*54.231</f>
        <v>216.92400000000001</v>
      </c>
      <c r="F97" s="5">
        <f>4*(9.126+9.43)</f>
        <v>74.22399999999999</v>
      </c>
      <c r="G97" s="5">
        <f>4*4.802</f>
        <v>19.207999999999998</v>
      </c>
      <c r="H97" s="6">
        <f t="shared" si="25"/>
        <v>6.4519520661614198</v>
      </c>
      <c r="I97" s="21">
        <f t="shared" si="26"/>
        <v>18.856208908169865</v>
      </c>
      <c r="J97" s="22">
        <f t="shared" si="23"/>
        <v>72.864600687213667</v>
      </c>
    </row>
    <row r="98" spans="1:10" ht="14.4" thickBot="1" x14ac:dyDescent="0.3">
      <c r="A98" s="30"/>
      <c r="B98" s="31"/>
      <c r="C98" s="31"/>
      <c r="D98" s="31"/>
      <c r="E98" s="31"/>
      <c r="F98" s="36">
        <f>SUM(F85:F97)/SUM(E85:E97)</f>
        <v>0.47796832890018698</v>
      </c>
      <c r="G98" s="36">
        <f>SUM(G85:G97)/SUM(E85:E97)</f>
        <v>0.42588568503234442</v>
      </c>
      <c r="H98" s="37">
        <f>AVERAGE(H85:H97)</f>
        <v>2.7514330727212868</v>
      </c>
      <c r="I98" s="37">
        <f>AVERAGE(I85:I97)</f>
        <v>6.3454818507696711</v>
      </c>
      <c r="J98" s="38">
        <f>AVERAGE(J85:J97)</f>
        <v>22.973502493664981</v>
      </c>
    </row>
    <row r="99" spans="1:10" ht="6.75" customHeight="1" thickBot="1" x14ac:dyDescent="0.3">
      <c r="A99" s="34"/>
      <c r="B99" s="34"/>
      <c r="C99" s="34"/>
      <c r="D99" s="34"/>
      <c r="E99" s="34"/>
      <c r="F99" s="179"/>
      <c r="G99" s="179"/>
      <c r="H99" s="172"/>
      <c r="I99" s="172"/>
      <c r="J99" s="172"/>
    </row>
    <row r="100" spans="1:10" ht="18" thickBot="1" x14ac:dyDescent="0.35">
      <c r="A100" s="20" t="s">
        <v>155</v>
      </c>
      <c r="B100" s="17"/>
      <c r="C100" s="18"/>
      <c r="D100" s="18"/>
      <c r="E100" s="18"/>
      <c r="F100" s="18"/>
      <c r="G100" s="18"/>
      <c r="H100" s="17"/>
      <c r="I100" s="17"/>
      <c r="J100" s="19"/>
    </row>
    <row r="101" spans="1:10" x14ac:dyDescent="0.25">
      <c r="A101" s="13" t="s">
        <v>107</v>
      </c>
      <c r="B101" s="66">
        <v>3.16</v>
      </c>
      <c r="C101" s="35">
        <f t="shared" ref="C101:C103" si="27">C102</f>
        <v>43.4</v>
      </c>
      <c r="D101" s="5">
        <f>B101*C101</f>
        <v>137.14400000000001</v>
      </c>
      <c r="E101" s="5">
        <f>2*E102-E103</f>
        <v>9.668000000000001</v>
      </c>
      <c r="F101" s="5">
        <f t="shared" ref="F101:G103" si="28">F102</f>
        <v>-209</v>
      </c>
      <c r="G101" s="5">
        <f t="shared" si="28"/>
        <v>-206</v>
      </c>
      <c r="H101" s="6">
        <f>D101/E101</f>
        <v>14.185353744311129</v>
      </c>
      <c r="I101" s="21" t="str">
        <f>IF(F101&gt;0,D101/F101, "NM")</f>
        <v>NM</v>
      </c>
      <c r="J101" s="22" t="str">
        <f t="shared" ref="J101:J110" si="29">IF(G101&gt;0,D101/G101, "nm")</f>
        <v>nm</v>
      </c>
    </row>
    <row r="102" spans="1:10" x14ac:dyDescent="0.25">
      <c r="A102" s="13" t="s">
        <v>108</v>
      </c>
      <c r="B102" s="66">
        <v>3.32</v>
      </c>
      <c r="C102" s="35">
        <f t="shared" si="27"/>
        <v>43.4</v>
      </c>
      <c r="D102" s="5">
        <f>B102*C102</f>
        <v>144.08799999999999</v>
      </c>
      <c r="E102" s="5">
        <f>2*E103-E104</f>
        <v>8.5360000000000014</v>
      </c>
      <c r="F102" s="5">
        <f t="shared" si="28"/>
        <v>-209</v>
      </c>
      <c r="G102" s="5">
        <f t="shared" si="28"/>
        <v>-206</v>
      </c>
      <c r="H102" s="6">
        <f>D102/E102</f>
        <v>16.880037488284909</v>
      </c>
      <c r="I102" s="21" t="str">
        <f>IF(F102&gt;0,D102/F102, "NM")</f>
        <v>NM</v>
      </c>
      <c r="J102" s="22" t="str">
        <f t="shared" si="29"/>
        <v>nm</v>
      </c>
    </row>
    <row r="103" spans="1:10" x14ac:dyDescent="0.25">
      <c r="A103" s="13" t="s">
        <v>109</v>
      </c>
      <c r="B103" s="66">
        <v>5.5</v>
      </c>
      <c r="C103" s="35">
        <f t="shared" si="27"/>
        <v>43.4</v>
      </c>
      <c r="D103" s="5">
        <f>B103*C103</f>
        <v>238.7</v>
      </c>
      <c r="E103" s="5">
        <f>2*E104-E105</f>
        <v>7.4040000000000017</v>
      </c>
      <c r="F103" s="5">
        <f t="shared" si="28"/>
        <v>-209</v>
      </c>
      <c r="G103" s="5">
        <f t="shared" si="28"/>
        <v>-206</v>
      </c>
      <c r="H103" s="6">
        <f>D103/E103</f>
        <v>32.239330091842241</v>
      </c>
      <c r="I103" s="21" t="str">
        <f>IF(F103&gt;0,D103/F103, "NM")</f>
        <v>NM</v>
      </c>
      <c r="J103" s="22" t="str">
        <f t="shared" si="29"/>
        <v>nm</v>
      </c>
    </row>
    <row r="104" spans="1:10" x14ac:dyDescent="0.25">
      <c r="A104" s="13" t="s">
        <v>22</v>
      </c>
      <c r="B104" s="66">
        <f>5+3/16</f>
        <v>5.1875</v>
      </c>
      <c r="C104" s="35">
        <v>43.4</v>
      </c>
      <c r="D104" s="5">
        <f t="shared" ref="D104:D110" si="30">B104*C104</f>
        <v>225.13749999999999</v>
      </c>
      <c r="E104" s="5">
        <f>2*E105-E106</f>
        <v>6.2720000000000011</v>
      </c>
      <c r="F104" s="5">
        <v>-209</v>
      </c>
      <c r="G104" s="5">
        <v>-206</v>
      </c>
      <c r="H104" s="6">
        <f t="shared" ref="H104:H110" si="31">D104/E104</f>
        <v>35.895647321428562</v>
      </c>
      <c r="I104" s="21" t="str">
        <f>IF(F104&gt;0,D104/F104, "NM")</f>
        <v>NM</v>
      </c>
      <c r="J104" s="22" t="str">
        <f t="shared" si="29"/>
        <v>nm</v>
      </c>
    </row>
    <row r="105" spans="1:10" x14ac:dyDescent="0.25">
      <c r="A105" s="13" t="s">
        <v>0</v>
      </c>
      <c r="B105" s="66">
        <v>5.375</v>
      </c>
      <c r="C105" s="35">
        <v>43.4</v>
      </c>
      <c r="D105" s="5">
        <f t="shared" si="30"/>
        <v>233.27500000000001</v>
      </c>
      <c r="E105" s="5">
        <f>2*E106-E107</f>
        <v>5.1400000000000006</v>
      </c>
      <c r="F105" s="5">
        <f>F106</f>
        <v>-259.11200000000002</v>
      </c>
      <c r="G105" s="5">
        <f>G106</f>
        <v>-253.624</v>
      </c>
      <c r="H105" s="6">
        <f t="shared" si="31"/>
        <v>45.384241245136181</v>
      </c>
      <c r="I105" s="21" t="str">
        <f t="shared" ref="I105:I110" si="32">IF(F105&gt;0,D105/F105, "NM")</f>
        <v>NM</v>
      </c>
      <c r="J105" s="22" t="str">
        <f t="shared" si="29"/>
        <v>nm</v>
      </c>
    </row>
    <row r="106" spans="1:10" x14ac:dyDescent="0.25">
      <c r="A106" s="13" t="s">
        <v>1</v>
      </c>
      <c r="B106" s="66">
        <v>19.375</v>
      </c>
      <c r="C106" s="35">
        <v>36.923633000000002</v>
      </c>
      <c r="D106" s="5">
        <f>B106*C106</f>
        <v>715.39538937500004</v>
      </c>
      <c r="E106" s="5">
        <f>4*1.002</f>
        <v>4.008</v>
      </c>
      <c r="F106" s="5">
        <f>4*-64.778</f>
        <v>-259.11200000000002</v>
      </c>
      <c r="G106" s="5">
        <f>4*-63.406</f>
        <v>-253.624</v>
      </c>
      <c r="H106" s="6">
        <f t="shared" si="31"/>
        <v>178.49186361651698</v>
      </c>
      <c r="I106" s="21" t="str">
        <f t="shared" si="32"/>
        <v>NM</v>
      </c>
      <c r="J106" s="22" t="str">
        <f t="shared" si="29"/>
        <v>nm</v>
      </c>
    </row>
    <row r="107" spans="1:10" x14ac:dyDescent="0.25">
      <c r="A107" s="13" t="s">
        <v>2</v>
      </c>
      <c r="B107" s="66">
        <v>35</v>
      </c>
      <c r="C107" s="35">
        <v>35.742848000000002</v>
      </c>
      <c r="D107" s="5">
        <f t="shared" si="30"/>
        <v>1250.9996800000001</v>
      </c>
      <c r="E107" s="5">
        <f>4*0.719</f>
        <v>2.8759999999999999</v>
      </c>
      <c r="F107" s="5">
        <f>4*-31.231</f>
        <v>-124.92400000000001</v>
      </c>
      <c r="G107" s="5">
        <f>4*-29.436</f>
        <v>-117.744</v>
      </c>
      <c r="H107" s="6">
        <f t="shared" si="31"/>
        <v>434.97902642559114</v>
      </c>
      <c r="I107" s="21" t="str">
        <f t="shared" si="32"/>
        <v>NM</v>
      </c>
      <c r="J107" s="22" t="str">
        <f t="shared" si="29"/>
        <v>nm</v>
      </c>
    </row>
    <row r="108" spans="1:10" x14ac:dyDescent="0.25">
      <c r="A108" s="13" t="s">
        <v>3</v>
      </c>
      <c r="B108" s="66">
        <v>34.625</v>
      </c>
      <c r="C108" s="35">
        <v>35.353442000000001</v>
      </c>
      <c r="D108" s="5">
        <f t="shared" si="30"/>
        <v>1224.11292925</v>
      </c>
      <c r="E108" s="5">
        <f>4*0.424</f>
        <v>1.696</v>
      </c>
      <c r="F108" s="5">
        <f>4*-25.809</f>
        <v>-103.236</v>
      </c>
      <c r="G108" s="5">
        <f>4*-24.055</f>
        <v>-96.22</v>
      </c>
      <c r="H108" s="6">
        <f t="shared" si="31"/>
        <v>721.76469885023585</v>
      </c>
      <c r="I108" s="21" t="str">
        <f t="shared" si="32"/>
        <v>NM</v>
      </c>
      <c r="J108" s="22" t="str">
        <f t="shared" si="29"/>
        <v>nm</v>
      </c>
    </row>
    <row r="109" spans="1:10" x14ac:dyDescent="0.25">
      <c r="A109" s="13" t="s">
        <v>4</v>
      </c>
      <c r="B109" s="66">
        <v>33.75</v>
      </c>
      <c r="C109" s="35">
        <v>43.4</v>
      </c>
      <c r="D109" s="5">
        <f t="shared" si="30"/>
        <v>1464.75</v>
      </c>
      <c r="E109" s="5">
        <f>4*0.223-SUM(E110:E112)</f>
        <v>0.72799999999999998</v>
      </c>
      <c r="F109" s="5">
        <f>4*-69.012-SUM(F110:F112)</f>
        <v>-147.78799999999998</v>
      </c>
      <c r="G109" s="5">
        <f>4*-66.565-SUM(G110:G112)</f>
        <v>-139.56799999999998</v>
      </c>
      <c r="H109" s="6">
        <f t="shared" si="31"/>
        <v>2012.0192307692307</v>
      </c>
      <c r="I109" s="21" t="str">
        <f t="shared" si="32"/>
        <v>NM</v>
      </c>
      <c r="J109" s="22" t="str">
        <f t="shared" si="29"/>
        <v>nm</v>
      </c>
    </row>
    <row r="110" spans="1:10" x14ac:dyDescent="0.25">
      <c r="A110" s="13" t="s">
        <v>7</v>
      </c>
      <c r="B110" s="66">
        <v>29.9375</v>
      </c>
      <c r="C110" s="35">
        <v>41.738509000000001</v>
      </c>
      <c r="D110" s="5">
        <f t="shared" si="30"/>
        <v>1249.5466131875</v>
      </c>
      <c r="E110" s="5">
        <f>4*0.033</f>
        <v>0.13200000000000001</v>
      </c>
      <c r="F110" s="5">
        <f>4*-20.378</f>
        <v>-81.512</v>
      </c>
      <c r="G110" s="5">
        <f>4*-20.045</f>
        <v>-80.180000000000007</v>
      </c>
      <c r="H110" s="6">
        <f t="shared" si="31"/>
        <v>9466.2622211174239</v>
      </c>
      <c r="I110" s="21" t="str">
        <f t="shared" si="32"/>
        <v>NM</v>
      </c>
      <c r="J110" s="22" t="str">
        <f t="shared" si="29"/>
        <v>nm</v>
      </c>
    </row>
    <row r="111" spans="1:10" x14ac:dyDescent="0.25">
      <c r="A111" s="13" t="s">
        <v>6</v>
      </c>
      <c r="B111" s="66"/>
      <c r="C111" s="35"/>
      <c r="D111" s="5"/>
      <c r="E111" s="5">
        <f>4*0.008</f>
        <v>3.2000000000000001E-2</v>
      </c>
      <c r="F111" s="5">
        <f>4*-6.121</f>
        <v>-24.484000000000002</v>
      </c>
      <c r="G111" s="5">
        <f>4*-6.113</f>
        <v>-24.452000000000002</v>
      </c>
      <c r="H111" s="6"/>
      <c r="I111" s="21"/>
      <c r="J111" s="22"/>
    </row>
    <row r="112" spans="1:10" x14ac:dyDescent="0.25">
      <c r="A112" s="13" t="s">
        <v>5</v>
      </c>
      <c r="B112" s="66"/>
      <c r="C112" s="35">
        <v>3.4009999999999998</v>
      </c>
      <c r="D112" s="5"/>
      <c r="E112" s="5"/>
      <c r="F112" s="5">
        <f>4*-5.566</f>
        <v>-22.263999999999999</v>
      </c>
      <c r="G112" s="5">
        <f>4*-5.515</f>
        <v>-22.06</v>
      </c>
      <c r="H112" s="6"/>
      <c r="I112" s="21"/>
      <c r="J112" s="22"/>
    </row>
    <row r="113" spans="1:10" x14ac:dyDescent="0.25">
      <c r="A113" s="13" t="s">
        <v>8</v>
      </c>
      <c r="B113" s="66"/>
      <c r="C113" s="35"/>
      <c r="D113" s="5"/>
      <c r="E113" s="5"/>
      <c r="F113" s="5">
        <f>4*-9.837-SUM(F114:F116)</f>
        <v>-16.2</v>
      </c>
      <c r="G113" s="5">
        <f>4*-9.721-SUM(G114:G116)</f>
        <v>-15.98</v>
      </c>
      <c r="H113" s="6"/>
      <c r="I113" s="21"/>
      <c r="J113" s="22"/>
    </row>
    <row r="114" spans="1:10" x14ac:dyDescent="0.25">
      <c r="A114" s="13" t="s">
        <v>9</v>
      </c>
      <c r="B114" s="66"/>
      <c r="C114" s="35"/>
      <c r="D114" s="5"/>
      <c r="E114" s="5"/>
      <c r="F114" s="5">
        <f>4*-2.719</f>
        <v>-10.875999999999999</v>
      </c>
      <c r="G114" s="5">
        <f>4*-2.68</f>
        <v>-10.72</v>
      </c>
      <c r="H114" s="6"/>
      <c r="I114" s="21"/>
      <c r="J114" s="22"/>
    </row>
    <row r="115" spans="1:10" x14ac:dyDescent="0.25">
      <c r="A115" s="13" t="s">
        <v>10</v>
      </c>
      <c r="B115" s="66"/>
      <c r="C115" s="35"/>
      <c r="D115" s="5"/>
      <c r="E115" s="5"/>
      <c r="F115" s="5">
        <f>4*-1.848</f>
        <v>-7.3920000000000003</v>
      </c>
      <c r="G115" s="5">
        <f>4*-1.842</f>
        <v>-7.3680000000000003</v>
      </c>
      <c r="H115" s="6"/>
      <c r="I115" s="21"/>
      <c r="J115" s="22"/>
    </row>
    <row r="116" spans="1:10" ht="14.4" thickBot="1" x14ac:dyDescent="0.3">
      <c r="A116" s="13" t="s">
        <v>11</v>
      </c>
      <c r="B116" s="66"/>
      <c r="C116" s="35"/>
      <c r="D116" s="5"/>
      <c r="E116" s="5"/>
      <c r="F116" s="5">
        <f>4*-1.22</f>
        <v>-4.88</v>
      </c>
      <c r="G116" s="5">
        <f>4*-1.204</f>
        <v>-4.8159999999999998</v>
      </c>
      <c r="H116" s="6"/>
      <c r="I116" s="21"/>
      <c r="J116" s="22"/>
    </row>
    <row r="117" spans="1:10" ht="14.4" thickBot="1" x14ac:dyDescent="0.3">
      <c r="A117" s="30"/>
      <c r="B117" s="31"/>
      <c r="C117" s="31"/>
      <c r="D117" s="31"/>
      <c r="E117" s="31"/>
      <c r="F117" s="36">
        <f>SUM(F104:F116)/SUM(E104:E116)</f>
        <v>-60.849454127561749</v>
      </c>
      <c r="G117" s="36">
        <f>SUM(G104:G116)/SUM(E104:E116)</f>
        <v>-59.009576709442626</v>
      </c>
      <c r="H117" s="37">
        <f>AVERAGE(H104:H116)</f>
        <v>1842.1138470493663</v>
      </c>
      <c r="I117" s="37" t="e">
        <f>AVERAGE(I104:I116)</f>
        <v>#DIV/0!</v>
      </c>
      <c r="J117" s="38" t="e">
        <f>AVERAGE(J104:J116)</f>
        <v>#DIV/0!</v>
      </c>
    </row>
    <row r="118" spans="1:10" ht="8.25" customHeight="1" thickBot="1" x14ac:dyDescent="0.3"/>
    <row r="119" spans="1:10" ht="18" thickBot="1" x14ac:dyDescent="0.35">
      <c r="A119" s="20" t="s">
        <v>167</v>
      </c>
      <c r="B119" s="17"/>
      <c r="C119" s="18"/>
      <c r="D119" s="18"/>
      <c r="E119" s="18"/>
      <c r="F119" s="18"/>
      <c r="G119" s="18"/>
      <c r="H119" s="17"/>
      <c r="I119" s="17"/>
      <c r="J119" s="19"/>
    </row>
    <row r="120" spans="1:10" x14ac:dyDescent="0.25">
      <c r="A120" s="13" t="s">
        <v>107</v>
      </c>
      <c r="B120" s="66">
        <v>47.5</v>
      </c>
      <c r="C120" s="35">
        <f t="shared" ref="C120:C122" si="33">C121</f>
        <v>428.8</v>
      </c>
      <c r="D120" s="5">
        <f>B120*C120</f>
        <v>20368</v>
      </c>
      <c r="E120" s="5">
        <f t="shared" ref="E120:G123" si="34">2*E121-E122</f>
        <v>13348.788</v>
      </c>
      <c r="F120" s="5">
        <f t="shared" si="34"/>
        <v>1371.2000000000007</v>
      </c>
      <c r="G120" s="5">
        <f t="shared" si="34"/>
        <v>1211.1799999999996</v>
      </c>
      <c r="H120" s="6">
        <f>D120/E120</f>
        <v>1.5258314088140437</v>
      </c>
      <c r="I120" s="21">
        <f>IF(F120&gt;0,D120/F120, "NM")</f>
        <v>14.854142357059501</v>
      </c>
      <c r="J120" s="22">
        <f t="shared" ref="J120:J135" si="35">IF(G120&gt;0,D120/G120, "nm")</f>
        <v>16.816658135041866</v>
      </c>
    </row>
    <row r="121" spans="1:10" x14ac:dyDescent="0.25">
      <c r="A121" s="13" t="s">
        <v>108</v>
      </c>
      <c r="B121" s="66">
        <v>47.06</v>
      </c>
      <c r="C121" s="35">
        <f t="shared" si="33"/>
        <v>428.8</v>
      </c>
      <c r="D121" s="5">
        <f>B121*C121</f>
        <v>20179.328000000001</v>
      </c>
      <c r="E121" s="5">
        <f t="shared" si="34"/>
        <v>13931.056</v>
      </c>
      <c r="F121" s="5">
        <f t="shared" si="34"/>
        <v>1642.4000000000005</v>
      </c>
      <c r="G121" s="5">
        <f t="shared" si="34"/>
        <v>1265.7239999999997</v>
      </c>
      <c r="H121" s="6">
        <f>D121/E121</f>
        <v>1.4485138815033118</v>
      </c>
      <c r="I121" s="21">
        <f>IF(F121&gt;0,D121/F121, "NM")</f>
        <v>12.286488066244518</v>
      </c>
      <c r="J121" s="22">
        <f t="shared" si="35"/>
        <v>15.942913304954324</v>
      </c>
    </row>
    <row r="122" spans="1:10" x14ac:dyDescent="0.25">
      <c r="A122" s="13" t="s">
        <v>109</v>
      </c>
      <c r="B122" s="66">
        <v>60.5</v>
      </c>
      <c r="C122" s="35">
        <f t="shared" si="33"/>
        <v>428.8</v>
      </c>
      <c r="D122" s="5">
        <f>B122*C122</f>
        <v>25942.400000000001</v>
      </c>
      <c r="E122" s="5">
        <f t="shared" si="34"/>
        <v>14513.324000000001</v>
      </c>
      <c r="F122" s="5">
        <f t="shared" si="34"/>
        <v>1913.6000000000004</v>
      </c>
      <c r="G122" s="5">
        <f t="shared" si="34"/>
        <v>1320.2679999999998</v>
      </c>
      <c r="H122" s="6">
        <f>D122/E122</f>
        <v>1.7874885174478294</v>
      </c>
      <c r="I122" s="21">
        <f>IF(F122&gt;0,D122/F122, "NM")</f>
        <v>13.556856187290968</v>
      </c>
      <c r="J122" s="22">
        <f t="shared" si="35"/>
        <v>19.649343921082693</v>
      </c>
    </row>
    <row r="123" spans="1:10" x14ac:dyDescent="0.25">
      <c r="A123" s="13" t="s">
        <v>22</v>
      </c>
      <c r="B123" s="66">
        <v>62</v>
      </c>
      <c r="C123" s="35">
        <v>428.8</v>
      </c>
      <c r="D123" s="5">
        <f t="shared" ref="D123:D135" si="36">B123*C123</f>
        <v>26585.600000000002</v>
      </c>
      <c r="E123" s="5">
        <f t="shared" si="34"/>
        <v>15095.592000000001</v>
      </c>
      <c r="F123" s="5">
        <f t="shared" si="34"/>
        <v>2184.8000000000002</v>
      </c>
      <c r="G123" s="5">
        <f t="shared" si="34"/>
        <v>1374.8119999999999</v>
      </c>
      <c r="H123" s="6">
        <f t="shared" ref="H123:H135" si="37">D123/E123</f>
        <v>1.7611498773946725</v>
      </c>
      <c r="I123" s="21">
        <f>IF(F123&gt;0,D123/F123, "NM")</f>
        <v>12.168436470157452</v>
      </c>
      <c r="J123" s="22">
        <f t="shared" si="35"/>
        <v>19.33762579901834</v>
      </c>
    </row>
    <row r="124" spans="1:10" x14ac:dyDescent="0.25">
      <c r="A124" s="13" t="s">
        <v>0</v>
      </c>
      <c r="B124" s="66">
        <v>78.8125</v>
      </c>
      <c r="C124" s="35">
        <f>G124/4/0.84</f>
        <v>425.40357142857147</v>
      </c>
      <c r="D124" s="5">
        <f t="shared" si="36"/>
        <v>33527.118973214288</v>
      </c>
      <c r="E124" s="5">
        <f>4*3919.465</f>
        <v>15677.86</v>
      </c>
      <c r="F124" s="5">
        <f>4*(544.1+83.6-13.7)</f>
        <v>2456</v>
      </c>
      <c r="G124" s="5">
        <f>4*357.339</f>
        <v>1429.356</v>
      </c>
      <c r="H124" s="6">
        <f t="shared" si="37"/>
        <v>2.1385009799305701</v>
      </c>
      <c r="I124" s="21">
        <f t="shared" ref="I124:I135" si="38">IF(F124&gt;0,D124/F124, "NM")</f>
        <v>13.651107073784319</v>
      </c>
      <c r="J124" s="22">
        <f t="shared" si="35"/>
        <v>23.456101190476193</v>
      </c>
    </row>
    <row r="125" spans="1:10" x14ac:dyDescent="0.25">
      <c r="A125" s="13" t="s">
        <v>1</v>
      </c>
      <c r="B125" s="66">
        <v>67</v>
      </c>
      <c r="C125" s="35">
        <f>G125/4/0.86</f>
        <v>431.36627906976747</v>
      </c>
      <c r="D125" s="5">
        <f t="shared" si="36"/>
        <v>28901.54069767442</v>
      </c>
      <c r="E125" s="5">
        <f>4*4065.032</f>
        <v>16260.128000000001</v>
      </c>
      <c r="F125" s="5">
        <f>4*(569.6+83.4+28.8)</f>
        <v>2727.2</v>
      </c>
      <c r="G125" s="5">
        <f>4*370.975</f>
        <v>1483.9</v>
      </c>
      <c r="H125" s="6">
        <f t="shared" si="37"/>
        <v>1.7774485353174598</v>
      </c>
      <c r="I125" s="21">
        <f t="shared" si="38"/>
        <v>10.597514189525675</v>
      </c>
      <c r="J125" s="22">
        <f t="shared" si="35"/>
        <v>19.47674418604651</v>
      </c>
    </row>
    <row r="126" spans="1:10" x14ac:dyDescent="0.25">
      <c r="A126" s="13" t="s">
        <v>2</v>
      </c>
      <c r="B126" s="66">
        <v>60.375</v>
      </c>
      <c r="C126" s="35">
        <f>G126/4/0.87</f>
        <v>429.60689655172411</v>
      </c>
      <c r="D126" s="5">
        <f t="shared" si="36"/>
        <v>25937.516379310342</v>
      </c>
      <c r="E126" s="5">
        <f>4*4041.795</f>
        <v>16167.18</v>
      </c>
      <c r="F126" s="5">
        <f>4*(574.1+83.2+12.1)</f>
        <v>2677.6000000000004</v>
      </c>
      <c r="G126" s="5">
        <f>4*373.758</f>
        <v>1495.0319999999999</v>
      </c>
      <c r="H126" s="6">
        <f t="shared" si="37"/>
        <v>1.6043315147917163</v>
      </c>
      <c r="I126" s="21">
        <f t="shared" si="38"/>
        <v>9.6868525467994981</v>
      </c>
      <c r="J126" s="22">
        <f t="shared" si="35"/>
        <v>17.34913793103448</v>
      </c>
    </row>
    <row r="127" spans="1:10" x14ac:dyDescent="0.25">
      <c r="A127" s="13" t="s">
        <v>3</v>
      </c>
      <c r="B127" s="66">
        <v>53.125</v>
      </c>
      <c r="C127" s="35">
        <f>G127/4/0.88</f>
        <v>400.90909090909093</v>
      </c>
      <c r="D127" s="5">
        <f t="shared" si="36"/>
        <v>21298.295454545456</v>
      </c>
      <c r="E127" s="5">
        <f>4*3894.7</f>
        <v>15578.8</v>
      </c>
      <c r="F127" s="5">
        <f>4*(538.6+60.9+29.5)</f>
        <v>2516</v>
      </c>
      <c r="G127" s="5">
        <f>4*352.8</f>
        <v>1411.2</v>
      </c>
      <c r="H127" s="6">
        <f t="shared" si="37"/>
        <v>1.367133248680608</v>
      </c>
      <c r="I127" s="21">
        <f t="shared" si="38"/>
        <v>8.465141277641278</v>
      </c>
      <c r="J127" s="22">
        <f t="shared" si="35"/>
        <v>15.092329545454547</v>
      </c>
    </row>
    <row r="128" spans="1:10" x14ac:dyDescent="0.25">
      <c r="A128" s="13" t="s">
        <v>4</v>
      </c>
      <c r="B128" s="66">
        <v>57.375</v>
      </c>
      <c r="C128" s="35">
        <f>G128/4/0.75</f>
        <v>433.2</v>
      </c>
      <c r="D128" s="5">
        <f t="shared" si="36"/>
        <v>24854.85</v>
      </c>
      <c r="E128" s="5">
        <f>4*3543.3</f>
        <v>14173.2</v>
      </c>
      <c r="F128" s="5">
        <f>4*(324.9+52+4.6)</f>
        <v>1526</v>
      </c>
      <c r="G128" s="5">
        <f>4*324.9</f>
        <v>1299.5999999999999</v>
      </c>
      <c r="H128" s="6">
        <f t="shared" si="37"/>
        <v>1.7536512573025145</v>
      </c>
      <c r="I128" s="21">
        <f t="shared" si="38"/>
        <v>16.287581913499345</v>
      </c>
      <c r="J128" s="22">
        <f t="shared" si="35"/>
        <v>19.125</v>
      </c>
    </row>
    <row r="129" spans="1:10" x14ac:dyDescent="0.25">
      <c r="A129" s="13" t="s">
        <v>7</v>
      </c>
      <c r="B129" s="66">
        <v>63.1875</v>
      </c>
      <c r="C129" s="35">
        <f>(C128+C130)/2</f>
        <v>432.28750000000002</v>
      </c>
      <c r="D129" s="5">
        <f t="shared" si="36"/>
        <v>27315.166406250002</v>
      </c>
      <c r="E129" s="5">
        <f>4*14265.9-SUM(E130:E132)</f>
        <v>14466</v>
      </c>
      <c r="F129" s="5">
        <f>(F128+F130)/2</f>
        <v>1960</v>
      </c>
      <c r="G129" s="5">
        <f>4*1313.6-SUM(G130:G132)</f>
        <v>1360.7999999999997</v>
      </c>
      <c r="H129" s="6">
        <f t="shared" si="37"/>
        <v>1.8882321585960185</v>
      </c>
      <c r="I129" s="21">
        <f t="shared" si="38"/>
        <v>13.93630939094388</v>
      </c>
      <c r="J129" s="22">
        <f t="shared" si="35"/>
        <v>20.072873608355383</v>
      </c>
    </row>
    <row r="130" spans="1:10" x14ac:dyDescent="0.25">
      <c r="A130" s="13" t="s">
        <v>6</v>
      </c>
      <c r="B130" s="66">
        <v>62.9375</v>
      </c>
      <c r="C130" s="35">
        <f>G130/4/0.8</f>
        <v>431.375</v>
      </c>
      <c r="D130" s="5">
        <f t="shared" si="36"/>
        <v>27149.6640625</v>
      </c>
      <c r="E130" s="5">
        <f>4*3634</f>
        <v>14536</v>
      </c>
      <c r="F130" s="5">
        <f>4*(534.2+48.9+15.4)</f>
        <v>2394</v>
      </c>
      <c r="G130" s="5">
        <f>4*345.1</f>
        <v>1380.4</v>
      </c>
      <c r="H130" s="6">
        <f t="shared" si="37"/>
        <v>1.8677534440354981</v>
      </c>
      <c r="I130" s="21">
        <f t="shared" si="38"/>
        <v>11.340711805555555</v>
      </c>
      <c r="J130" s="22">
        <f t="shared" si="35"/>
        <v>19.66796875</v>
      </c>
    </row>
    <row r="131" spans="1:10" x14ac:dyDescent="0.25">
      <c r="A131" s="13" t="s">
        <v>5</v>
      </c>
      <c r="B131" s="66">
        <v>52.9375</v>
      </c>
      <c r="C131" s="35">
        <f>G131/4/0.8</f>
        <v>407.37499999999994</v>
      </c>
      <c r="D131" s="5">
        <f t="shared" si="36"/>
        <v>21565.414062499996</v>
      </c>
      <c r="E131" s="5">
        <f>4*3588.7</f>
        <v>14354.8</v>
      </c>
      <c r="F131" s="5">
        <f>4*(504.3+44.8+31.1)</f>
        <v>2320.8000000000002</v>
      </c>
      <c r="G131" s="5">
        <f>4*325.9</f>
        <v>1303.5999999999999</v>
      </c>
      <c r="H131" s="6">
        <f t="shared" si="37"/>
        <v>1.5023137948630421</v>
      </c>
      <c r="I131" s="21">
        <f t="shared" si="38"/>
        <v>9.2922328776714895</v>
      </c>
      <c r="J131" s="22">
        <f t="shared" si="35"/>
        <v>16.54296875</v>
      </c>
    </row>
    <row r="132" spans="1:10" x14ac:dyDescent="0.25">
      <c r="A132" s="13" t="s">
        <v>8</v>
      </c>
      <c r="B132" s="66">
        <v>60.5</v>
      </c>
      <c r="C132" s="35">
        <f>G132/4/0.769</f>
        <v>393.23797139141737</v>
      </c>
      <c r="D132" s="5">
        <f t="shared" si="36"/>
        <v>23790.89726918075</v>
      </c>
      <c r="E132" s="5">
        <f>4*3426.7</f>
        <v>13706.8</v>
      </c>
      <c r="F132" s="5">
        <f>4*(472.4+44.9+6.4)</f>
        <v>2094.7999999999997</v>
      </c>
      <c r="G132" s="5">
        <f>4*302.4</f>
        <v>1209.5999999999999</v>
      </c>
      <c r="H132" s="6">
        <f t="shared" si="37"/>
        <v>1.7357003289739947</v>
      </c>
      <c r="I132" s="21">
        <f t="shared" si="38"/>
        <v>11.357121094701524</v>
      </c>
      <c r="J132" s="22">
        <f t="shared" si="35"/>
        <v>19.668400520156045</v>
      </c>
    </row>
    <row r="133" spans="1:10" x14ac:dyDescent="0.25">
      <c r="A133" s="13" t="s">
        <v>9</v>
      </c>
      <c r="B133" s="66">
        <v>62.25</v>
      </c>
      <c r="C133" s="35">
        <f>(C132+C134)/2</f>
        <v>416.0784451551682</v>
      </c>
      <c r="D133" s="5">
        <f t="shared" si="36"/>
        <v>25900.883210909222</v>
      </c>
      <c r="E133" s="5">
        <f>(4*13447)-(E134+E135+(4*3171.5))</f>
        <v>13711.599999999999</v>
      </c>
      <c r="F133" s="5">
        <f>(F132+F134)/2</f>
        <v>2186</v>
      </c>
      <c r="G133" s="5">
        <f>4*1228.6-(G134+G135+(4*282.3))</f>
        <v>1255.5999999999995</v>
      </c>
      <c r="H133" s="6">
        <f t="shared" si="37"/>
        <v>1.8889759919272167</v>
      </c>
      <c r="I133" s="21">
        <f t="shared" si="38"/>
        <v>11.848528458787385</v>
      </c>
      <c r="J133" s="22">
        <f t="shared" si="35"/>
        <v>20.628291821367661</v>
      </c>
    </row>
    <row r="134" spans="1:10" x14ac:dyDescent="0.25">
      <c r="A134" s="13" t="s">
        <v>10</v>
      </c>
      <c r="B134" s="66">
        <v>60.375</v>
      </c>
      <c r="C134" s="35">
        <f>G134/4/0.74</f>
        <v>438.91891891891896</v>
      </c>
      <c r="D134" s="5">
        <f t="shared" si="36"/>
        <v>26499.729729729734</v>
      </c>
      <c r="E134" s="5">
        <f>4*3465.2</f>
        <v>13860.8</v>
      </c>
      <c r="F134" s="5">
        <f>4*(507.5+37.3+24.5)</f>
        <v>2277.1999999999998</v>
      </c>
      <c r="G134" s="5">
        <f>4*324.8</f>
        <v>1299.2</v>
      </c>
      <c r="H134" s="6">
        <f t="shared" si="37"/>
        <v>1.9118470600347552</v>
      </c>
      <c r="I134" s="21">
        <f t="shared" si="38"/>
        <v>11.636979505414429</v>
      </c>
      <c r="J134" s="22">
        <f t="shared" si="35"/>
        <v>20.396959459459463</v>
      </c>
    </row>
    <row r="135" spans="1:10" ht="14.4" thickBot="1" x14ac:dyDescent="0.3">
      <c r="A135" s="13" t="s">
        <v>11</v>
      </c>
      <c r="B135" s="66">
        <v>65.1875</v>
      </c>
      <c r="C135" s="35">
        <f>G135/4/0.7</f>
        <v>439.4285714285715</v>
      </c>
      <c r="D135" s="5">
        <f t="shared" si="36"/>
        <v>28645.250000000004</v>
      </c>
      <c r="E135" s="5">
        <f>4*3382.4</f>
        <v>13529.6</v>
      </c>
      <c r="F135" s="5">
        <f>4*(480.6+39.7+29.1)</f>
        <v>2197.6000000000004</v>
      </c>
      <c r="G135" s="5">
        <f>4*307.6</f>
        <v>1230.4000000000001</v>
      </c>
      <c r="H135" s="6">
        <f t="shared" si="37"/>
        <v>2.1172281516083258</v>
      </c>
      <c r="I135" s="21">
        <f t="shared" si="38"/>
        <v>13.034787950491445</v>
      </c>
      <c r="J135" s="22">
        <f t="shared" si="35"/>
        <v>23.28125</v>
      </c>
    </row>
    <row r="136" spans="1:10" ht="14.4" thickBot="1" x14ac:dyDescent="0.3">
      <c r="A136" s="30"/>
      <c r="B136" s="31"/>
      <c r="C136" s="31"/>
      <c r="D136" s="31"/>
      <c r="E136" s="31"/>
      <c r="F136" s="36">
        <f>SUM(F123:F135)/SUM(E123:E135)</f>
        <v>0.15444879288415828</v>
      </c>
      <c r="G136" s="36">
        <f>SUM(G123:G135)/SUM(E123:E135)</f>
        <v>9.1741578360132442E-2</v>
      </c>
      <c r="H136" s="37">
        <f>AVERAGE(H123:H135)</f>
        <v>1.7934051033427996</v>
      </c>
      <c r="I136" s="37">
        <f>AVERAGE(I123:I135)</f>
        <v>11.7925618888441</v>
      </c>
      <c r="J136" s="38">
        <f>AVERAGE(J123:J135)</f>
        <v>19.54581935087451</v>
      </c>
    </row>
    <row r="137" spans="1:10" ht="6.75" customHeight="1" thickBot="1" x14ac:dyDescent="0.3">
      <c r="A137" s="34"/>
      <c r="B137" s="34"/>
      <c r="C137" s="34"/>
      <c r="D137" s="34"/>
      <c r="E137" s="34"/>
      <c r="F137" s="179"/>
      <c r="G137" s="179"/>
      <c r="H137" s="172"/>
      <c r="I137" s="172"/>
      <c r="J137" s="172"/>
    </row>
    <row r="138" spans="1:10" ht="18" thickBot="1" x14ac:dyDescent="0.35">
      <c r="A138" s="20" t="s">
        <v>168</v>
      </c>
      <c r="B138" s="17"/>
      <c r="C138" s="18"/>
      <c r="D138" s="18"/>
      <c r="E138" s="18"/>
      <c r="F138" s="18"/>
      <c r="G138" s="18"/>
      <c r="H138" s="17"/>
      <c r="I138" s="17"/>
      <c r="J138" s="19"/>
    </row>
    <row r="139" spans="1:10" x14ac:dyDescent="0.25">
      <c r="A139" s="13" t="s">
        <v>107</v>
      </c>
      <c r="B139" s="66">
        <v>42.08</v>
      </c>
      <c r="C139" s="35">
        <f t="shared" ref="C139:C141" si="39">C140</f>
        <v>599.79999999999995</v>
      </c>
      <c r="D139" s="5">
        <f>B139*C139</f>
        <v>25239.583999999995</v>
      </c>
      <c r="E139" s="5">
        <f t="shared" ref="E139:G140" si="40">2*E140-E141</f>
        <v>4482.5279999999993</v>
      </c>
      <c r="F139" s="5">
        <f t="shared" si="40"/>
        <v>2063.3999999999996</v>
      </c>
      <c r="G139" s="5">
        <f t="shared" si="40"/>
        <v>1922.3879999999997</v>
      </c>
      <c r="H139" s="6">
        <f>D139/E139</f>
        <v>5.6306584141805693</v>
      </c>
      <c r="I139" s="21">
        <f>IF(F139&gt;0,D139/F139, "NM")</f>
        <v>12.232036444702917</v>
      </c>
      <c r="J139" s="22">
        <f t="shared" ref="J139:J154" si="41">IF(G139&gt;0,D139/G139, "nm")</f>
        <v>13.12928711581637</v>
      </c>
    </row>
    <row r="140" spans="1:10" x14ac:dyDescent="0.25">
      <c r="A140" s="13" t="s">
        <v>108</v>
      </c>
      <c r="B140" s="66">
        <v>41.75</v>
      </c>
      <c r="C140" s="35">
        <f t="shared" si="39"/>
        <v>599.79999999999995</v>
      </c>
      <c r="D140" s="5">
        <f>B140*C140</f>
        <v>25041.649999999998</v>
      </c>
      <c r="E140" s="5">
        <f t="shared" si="40"/>
        <v>4307.7919999999995</v>
      </c>
      <c r="F140" s="5">
        <f t="shared" si="40"/>
        <v>1933.9999999999995</v>
      </c>
      <c r="G140" s="5">
        <f t="shared" si="40"/>
        <v>1662.8093333333331</v>
      </c>
      <c r="H140" s="6">
        <f>D140/E140</f>
        <v>5.813105646697891</v>
      </c>
      <c r="I140" s="21">
        <f>IF(F140&gt;0,D140/F140, "NM")</f>
        <v>12.948112719751812</v>
      </c>
      <c r="J140" s="22">
        <f t="shared" si="41"/>
        <v>15.059844504120337</v>
      </c>
    </row>
    <row r="141" spans="1:10" x14ac:dyDescent="0.25">
      <c r="A141" s="13" t="s">
        <v>109</v>
      </c>
      <c r="B141" s="66">
        <v>44.3</v>
      </c>
      <c r="C141" s="35">
        <f t="shared" si="39"/>
        <v>599.79999999999995</v>
      </c>
      <c r="D141" s="5">
        <f>B141*C141</f>
        <v>26571.139999999996</v>
      </c>
      <c r="E141" s="5">
        <f>2*E142-E143</f>
        <v>4133.0559999999996</v>
      </c>
      <c r="F141" s="5">
        <f>2*F142-F143</f>
        <v>1804.5999999999997</v>
      </c>
      <c r="G141" s="5">
        <f>AVERAGE(G142:G144)</f>
        <v>1403.2306666666666</v>
      </c>
      <c r="H141" s="6">
        <f>D141/E141</f>
        <v>6.4289329735672585</v>
      </c>
      <c r="I141" s="21">
        <f>IF(F141&gt;0,D141/F141, "NM")</f>
        <v>14.724116147622743</v>
      </c>
      <c r="J141" s="22">
        <f t="shared" si="41"/>
        <v>18.935689356846058</v>
      </c>
    </row>
    <row r="142" spans="1:10" x14ac:dyDescent="0.25">
      <c r="A142" s="13" t="s">
        <v>22</v>
      </c>
      <c r="B142" s="66">
        <v>44.49</v>
      </c>
      <c r="C142" s="35">
        <v>599.79999999999995</v>
      </c>
      <c r="D142" s="5">
        <f t="shared" ref="D142:D154" si="42">B142*C142</f>
        <v>26685.101999999999</v>
      </c>
      <c r="E142" s="5">
        <f>2*E143-E144</f>
        <v>3958.3199999999997</v>
      </c>
      <c r="F142" s="5">
        <f>2*F143-F144</f>
        <v>1675.1999999999998</v>
      </c>
      <c r="G142" s="5">
        <f>AVERAGE(G143:G145)</f>
        <v>1143.652</v>
      </c>
      <c r="H142" s="6">
        <f t="shared" ref="H142:H154" si="43">D142/E142</f>
        <v>6.7415221609167526</v>
      </c>
      <c r="I142" s="21">
        <f>IF(F142&gt;0,D142/F142, "NM")</f>
        <v>15.929502148997136</v>
      </c>
      <c r="J142" s="22">
        <f t="shared" si="41"/>
        <v>23.333235984372866</v>
      </c>
    </row>
    <row r="143" spans="1:10" x14ac:dyDescent="0.25">
      <c r="A143" s="13" t="s">
        <v>0</v>
      </c>
      <c r="B143" s="66">
        <v>46.524999999999999</v>
      </c>
      <c r="C143" s="35">
        <v>599.79999999999995</v>
      </c>
      <c r="D143" s="5">
        <f t="shared" si="42"/>
        <v>27905.694999999996</v>
      </c>
      <c r="E143" s="5">
        <f>4*945.896</f>
        <v>3783.5839999999998</v>
      </c>
      <c r="F143" s="5">
        <f>4*386.45</f>
        <v>1545.8</v>
      </c>
      <c r="G143" s="5">
        <f>4*-71.636</f>
        <v>-286.54399999999998</v>
      </c>
      <c r="H143" s="6">
        <f t="shared" si="43"/>
        <v>7.3754659603169896</v>
      </c>
      <c r="I143" s="21">
        <f t="shared" ref="I143:I154" si="44">IF(F143&gt;0,D143/F143, "NM")</f>
        <v>18.052590891447792</v>
      </c>
      <c r="J143" s="22" t="str">
        <f t="shared" si="41"/>
        <v>nm</v>
      </c>
    </row>
    <row r="144" spans="1:10" x14ac:dyDescent="0.25">
      <c r="A144" s="13" t="s">
        <v>1</v>
      </c>
      <c r="B144" s="66">
        <v>38.25</v>
      </c>
      <c r="C144" s="35">
        <v>600.997165</v>
      </c>
      <c r="D144" s="5">
        <f t="shared" si="42"/>
        <v>22988.141561249999</v>
      </c>
      <c r="E144" s="5">
        <f>4*902.212</f>
        <v>3608.848</v>
      </c>
      <c r="F144" s="5">
        <f>4*(354.1)</f>
        <v>1416.4</v>
      </c>
      <c r="G144" s="5">
        <f>4*838.146</f>
        <v>3352.5839999999998</v>
      </c>
      <c r="H144" s="6">
        <f t="shared" si="43"/>
        <v>6.3699389836451958</v>
      </c>
      <c r="I144" s="21">
        <f t="shared" si="44"/>
        <v>16.229978509778309</v>
      </c>
      <c r="J144" s="22">
        <f t="shared" si="41"/>
        <v>6.8568428296651183</v>
      </c>
    </row>
    <row r="145" spans="1:10" x14ac:dyDescent="0.25">
      <c r="A145" s="13" t="s">
        <v>2</v>
      </c>
      <c r="B145" s="66">
        <v>45.546900000000001</v>
      </c>
      <c r="C145" s="35">
        <v>603.31667000000004</v>
      </c>
      <c r="D145" s="5">
        <f t="shared" si="42"/>
        <v>27479.204036823001</v>
      </c>
      <c r="E145" s="5">
        <f>4*801.179</f>
        <v>3204.7159999999999</v>
      </c>
      <c r="F145" s="5">
        <f>4*337.023</f>
        <v>1348.0920000000001</v>
      </c>
      <c r="G145" s="5">
        <f>4*91.229</f>
        <v>364.916</v>
      </c>
      <c r="H145" s="6">
        <f t="shared" si="43"/>
        <v>8.5746144235005541</v>
      </c>
      <c r="I145" s="21">
        <f t="shared" si="44"/>
        <v>20.38377502189984</v>
      </c>
      <c r="J145" s="22">
        <f t="shared" si="41"/>
        <v>75.302820476008179</v>
      </c>
    </row>
    <row r="146" spans="1:10" x14ac:dyDescent="0.25">
      <c r="A146" s="13" t="s">
        <v>3</v>
      </c>
      <c r="B146" s="66">
        <v>48.5</v>
      </c>
      <c r="C146" s="35">
        <v>599.79999999999995</v>
      </c>
      <c r="D146" s="5">
        <f t="shared" si="42"/>
        <v>29090.3</v>
      </c>
      <c r="E146" s="5">
        <f>4*779.9</f>
        <v>3119.6</v>
      </c>
      <c r="F146" s="5">
        <f>4*325.538</f>
        <v>1302.152</v>
      </c>
      <c r="G146" s="5">
        <f>4*1067.516</f>
        <v>4270.0640000000003</v>
      </c>
      <c r="H146" s="6">
        <f t="shared" si="43"/>
        <v>9.3250096166175158</v>
      </c>
      <c r="I146" s="21">
        <f t="shared" si="44"/>
        <v>22.340172268675239</v>
      </c>
      <c r="J146" s="22">
        <f t="shared" si="41"/>
        <v>6.8126145181898909</v>
      </c>
    </row>
    <row r="147" spans="1:10" x14ac:dyDescent="0.25">
      <c r="A147" s="13" t="s">
        <v>4</v>
      </c>
      <c r="B147" s="66">
        <v>51.5</v>
      </c>
      <c r="C147" s="35">
        <v>599.79999999999995</v>
      </c>
      <c r="D147" s="5">
        <f t="shared" si="42"/>
        <v>30889.699999999997</v>
      </c>
      <c r="E147" s="5">
        <f>4*838.149</f>
        <v>3352.596</v>
      </c>
      <c r="F147" s="5">
        <f>4*291.075</f>
        <v>1164.3</v>
      </c>
      <c r="G147" s="5">
        <f>4*113.056</f>
        <v>452.22399999999999</v>
      </c>
      <c r="H147" s="6">
        <f t="shared" si="43"/>
        <v>9.2136660665347083</v>
      </c>
      <c r="I147" s="21">
        <f t="shared" si="44"/>
        <v>26.530705144722148</v>
      </c>
      <c r="J147" s="22">
        <f t="shared" si="41"/>
        <v>68.306193390885923</v>
      </c>
    </row>
    <row r="148" spans="1:10" x14ac:dyDescent="0.25">
      <c r="A148" s="13" t="s">
        <v>7</v>
      </c>
      <c r="B148" s="66">
        <v>41.75</v>
      </c>
      <c r="C148" s="35">
        <v>576.10311300000001</v>
      </c>
      <c r="D148" s="5">
        <f t="shared" si="42"/>
        <v>24052.304967750002</v>
      </c>
      <c r="E148" s="5">
        <f>4*809.1</f>
        <v>3236.4</v>
      </c>
      <c r="F148" s="5">
        <f>4*314.947</f>
        <v>1259.788</v>
      </c>
      <c r="G148" s="5">
        <f>4*11.86</f>
        <v>47.44</v>
      </c>
      <c r="H148" s="6">
        <f t="shared" si="43"/>
        <v>7.4318084809510569</v>
      </c>
      <c r="I148" s="21">
        <f t="shared" si="44"/>
        <v>19.092343289307408</v>
      </c>
      <c r="J148" s="22">
        <f t="shared" si="41"/>
        <v>507.0047421532463</v>
      </c>
    </row>
    <row r="149" spans="1:10" x14ac:dyDescent="0.25">
      <c r="A149" s="13" t="s">
        <v>6</v>
      </c>
      <c r="B149" s="66">
        <v>36.8125</v>
      </c>
      <c r="C149" s="35">
        <v>555.10288700000001</v>
      </c>
      <c r="D149" s="5">
        <f t="shared" si="42"/>
        <v>20434.725027687502</v>
      </c>
      <c r="E149" s="5">
        <f>4*752.159</f>
        <v>3008.636</v>
      </c>
      <c r="F149" s="5">
        <f>4*315.317</f>
        <v>1261.268</v>
      </c>
      <c r="G149" s="5">
        <f>4*505.833</f>
        <v>2023.3320000000001</v>
      </c>
      <c r="H149" s="6">
        <f t="shared" si="43"/>
        <v>6.7920230389078311</v>
      </c>
      <c r="I149" s="21">
        <f t="shared" si="44"/>
        <v>16.20173113698873</v>
      </c>
      <c r="J149" s="22">
        <f t="shared" si="41"/>
        <v>10.099541265441115</v>
      </c>
    </row>
    <row r="150" spans="1:10" x14ac:dyDescent="0.25">
      <c r="A150" s="13" t="s">
        <v>5</v>
      </c>
      <c r="B150" s="66">
        <v>37.8125</v>
      </c>
      <c r="C150" s="35">
        <f>2*277.448177</f>
        <v>554.89635399999997</v>
      </c>
      <c r="D150" s="5">
        <f t="shared" si="42"/>
        <v>20982.018385625001</v>
      </c>
      <c r="E150" s="5">
        <f>4*498.546</f>
        <v>1994.184</v>
      </c>
      <c r="F150" s="5">
        <f>4*302.565</f>
        <v>1210.26</v>
      </c>
      <c r="G150" s="5">
        <f>4*251.179</f>
        <v>1004.716</v>
      </c>
      <c r="H150" s="6">
        <f t="shared" si="43"/>
        <v>10.521606023127756</v>
      </c>
      <c r="I150" s="21">
        <f t="shared" si="44"/>
        <v>17.336785802740735</v>
      </c>
      <c r="J150" s="22">
        <f t="shared" si="41"/>
        <v>20.883531650361892</v>
      </c>
    </row>
    <row r="151" spans="1:10" x14ac:dyDescent="0.25">
      <c r="A151" s="13" t="s">
        <v>8</v>
      </c>
      <c r="B151" s="66">
        <v>34.524999999999999</v>
      </c>
      <c r="C151" s="35">
        <f>G151/4/0.19/3</f>
        <v>557.71929824561391</v>
      </c>
      <c r="D151" s="5">
        <f t="shared" si="42"/>
        <v>19255.258771929821</v>
      </c>
      <c r="E151" s="5">
        <f>4*486.7</f>
        <v>1946.8</v>
      </c>
      <c r="F151" s="5">
        <f>4*111.9</f>
        <v>447.6</v>
      </c>
      <c r="G151" s="5">
        <f>4*317.9</f>
        <v>1271.5999999999999</v>
      </c>
      <c r="H151" s="6">
        <f t="shared" si="43"/>
        <v>9.8907226073196117</v>
      </c>
      <c r="I151" s="21">
        <f t="shared" si="44"/>
        <v>43.018898060611754</v>
      </c>
      <c r="J151" s="22">
        <f t="shared" si="41"/>
        <v>15.142543859649122</v>
      </c>
    </row>
    <row r="152" spans="1:10" x14ac:dyDescent="0.25">
      <c r="A152" s="13" t="s">
        <v>9</v>
      </c>
      <c r="B152" s="66">
        <v>27.3125</v>
      </c>
      <c r="C152" s="35">
        <f>G152/4/1.97</f>
        <v>540.59593908629438</v>
      </c>
      <c r="D152" s="5">
        <f t="shared" si="42"/>
        <v>14765.026586294416</v>
      </c>
      <c r="E152" s="5">
        <f>4*447.873</f>
        <v>1791.492</v>
      </c>
      <c r="F152" s="5">
        <f>4*179.316</f>
        <v>717.26400000000001</v>
      </c>
      <c r="G152" s="5">
        <f>4*1064.974</f>
        <v>4259.8959999999997</v>
      </c>
      <c r="H152" s="6">
        <f t="shared" si="43"/>
        <v>8.2417485460690951</v>
      </c>
      <c r="I152" s="21">
        <f t="shared" si="44"/>
        <v>20.585205149421157</v>
      </c>
      <c r="J152" s="22">
        <f t="shared" si="41"/>
        <v>3.4660532994923861</v>
      </c>
    </row>
    <row r="153" spans="1:10" x14ac:dyDescent="0.25">
      <c r="A153" s="13" t="s">
        <v>10</v>
      </c>
      <c r="B153" s="66">
        <v>24.218800000000002</v>
      </c>
      <c r="C153" s="35">
        <f>G153/4/-0.02</f>
        <v>612.29999999999995</v>
      </c>
      <c r="D153" s="5">
        <f t="shared" si="42"/>
        <v>14829.17124</v>
      </c>
      <c r="E153" s="5">
        <f>4*444.251</f>
        <v>1777.0039999999999</v>
      </c>
      <c r="F153" s="5">
        <f>4*177.193</f>
        <v>708.77200000000005</v>
      </c>
      <c r="G153" s="5">
        <f>4*-12.246</f>
        <v>-48.984000000000002</v>
      </c>
      <c r="H153" s="6">
        <f t="shared" si="43"/>
        <v>8.3450410015959449</v>
      </c>
      <c r="I153" s="21">
        <f t="shared" si="44"/>
        <v>20.922343489866979</v>
      </c>
      <c r="J153" s="22" t="str">
        <f t="shared" si="41"/>
        <v>nm</v>
      </c>
    </row>
    <row r="154" spans="1:10" ht="14.4" thickBot="1" x14ac:dyDescent="0.3">
      <c r="A154" s="13" t="s">
        <v>11</v>
      </c>
      <c r="B154" s="66">
        <v>21</v>
      </c>
      <c r="C154" s="35">
        <f>G154/2/-0.38</f>
        <v>536.41578947368419</v>
      </c>
      <c r="D154" s="5">
        <f t="shared" si="42"/>
        <v>11264.731578947369</v>
      </c>
      <c r="E154" s="5">
        <f>4*430.992</f>
        <v>1723.9680000000001</v>
      </c>
      <c r="F154" s="5">
        <f>4*169.266</f>
        <v>677.06399999999996</v>
      </c>
      <c r="G154" s="5">
        <f>4*-101.919</f>
        <v>-407.67599999999999</v>
      </c>
      <c r="H154" s="6">
        <f t="shared" si="43"/>
        <v>6.5341883253908239</v>
      </c>
      <c r="I154" s="21">
        <f t="shared" si="44"/>
        <v>16.637617092250316</v>
      </c>
      <c r="J154" s="22" t="str">
        <f t="shared" si="41"/>
        <v>nm</v>
      </c>
    </row>
    <row r="155" spans="1:10" ht="14.4" thickBot="1" x14ac:dyDescent="0.3">
      <c r="A155" s="30"/>
      <c r="B155" s="31"/>
      <c r="C155" s="31"/>
      <c r="D155" s="31"/>
      <c r="E155" s="31"/>
      <c r="F155" s="36">
        <f>SUM(F142:F154)/SUM(E142:E154)</f>
        <v>0.40360215490278517</v>
      </c>
      <c r="G155" s="36">
        <f>SUM(G142:G154)/SUM(E142:E154)</f>
        <v>0.47792552640722324</v>
      </c>
      <c r="H155" s="37">
        <f>AVERAGE(H142:H154)</f>
        <v>8.1044119411456794</v>
      </c>
      <c r="I155" s="37">
        <f>AVERAGE(I142:I154)</f>
        <v>21.020126769746735</v>
      </c>
      <c r="J155" s="38">
        <f>AVERAGE(J142:J154)</f>
        <v>73.720811942731274</v>
      </c>
    </row>
    <row r="156" spans="1:10" ht="6.75" customHeight="1" thickBot="1" x14ac:dyDescent="0.3">
      <c r="A156" s="34"/>
      <c r="B156" s="34"/>
      <c r="C156" s="34"/>
      <c r="D156" s="34"/>
      <c r="E156" s="34"/>
      <c r="F156" s="179"/>
      <c r="G156" s="179"/>
      <c r="H156" s="172"/>
      <c r="I156" s="172"/>
      <c r="J156" s="172"/>
    </row>
    <row r="157" spans="1:10" ht="18" thickBot="1" x14ac:dyDescent="0.35">
      <c r="A157" s="20" t="s">
        <v>172</v>
      </c>
      <c r="B157" s="17"/>
      <c r="C157" s="18"/>
      <c r="D157" s="18"/>
      <c r="E157" s="18"/>
      <c r="F157" s="18"/>
      <c r="G157" s="18"/>
      <c r="H157" s="17"/>
      <c r="I157" s="17"/>
      <c r="J157" s="19"/>
    </row>
    <row r="158" spans="1:10" x14ac:dyDescent="0.25">
      <c r="A158" s="13" t="s">
        <v>107</v>
      </c>
      <c r="B158" s="66">
        <f t="shared" ref="B158:C160" si="45">B159</f>
        <v>4.5309999999999997</v>
      </c>
      <c r="C158" s="35">
        <f t="shared" si="45"/>
        <v>30.8</v>
      </c>
      <c r="D158" s="5">
        <f>B158*C158</f>
        <v>139.5548</v>
      </c>
      <c r="E158" s="5">
        <f t="shared" ref="E158:G159" si="46">2*E159-E160</f>
        <v>18.592000000000006</v>
      </c>
      <c r="F158" s="5">
        <f t="shared" si="46"/>
        <v>264.70000000000005</v>
      </c>
      <c r="G158" s="5">
        <f t="shared" si="46"/>
        <v>-304.488</v>
      </c>
      <c r="H158" s="6">
        <f>D158/E158</f>
        <v>7.5061746987951787</v>
      </c>
      <c r="I158" s="21">
        <f>IF(F158&gt;0,D158/F158, "NM")</f>
        <v>0.52721873819418197</v>
      </c>
      <c r="J158" s="22" t="str">
        <f t="shared" ref="J158:J173" si="47">IF(G158&gt;0,D158/G158, "nm")</f>
        <v>nm</v>
      </c>
    </row>
    <row r="159" spans="1:10" x14ac:dyDescent="0.25">
      <c r="A159" s="13" t="s">
        <v>108</v>
      </c>
      <c r="B159" s="66">
        <f t="shared" si="45"/>
        <v>4.5309999999999997</v>
      </c>
      <c r="C159" s="35">
        <f t="shared" si="45"/>
        <v>30.8</v>
      </c>
      <c r="D159" s="5">
        <f>B159*C159</f>
        <v>139.5548</v>
      </c>
      <c r="E159" s="5">
        <f t="shared" si="46"/>
        <v>16.328000000000003</v>
      </c>
      <c r="F159" s="5">
        <f t="shared" si="46"/>
        <v>103.50000000000003</v>
      </c>
      <c r="G159" s="5">
        <f t="shared" si="46"/>
        <v>-284.82533333333333</v>
      </c>
      <c r="H159" s="6">
        <f>D159/E159</f>
        <v>8.5469622733953923</v>
      </c>
      <c r="I159" s="21">
        <f>IF(F159&gt;0,D159/F159, "NM")</f>
        <v>1.3483555555555551</v>
      </c>
      <c r="J159" s="22" t="str">
        <f t="shared" si="47"/>
        <v>nm</v>
      </c>
    </row>
    <row r="160" spans="1:10" x14ac:dyDescent="0.25">
      <c r="A160" s="13" t="s">
        <v>109</v>
      </c>
      <c r="B160" s="66">
        <f t="shared" si="45"/>
        <v>4.5309999999999997</v>
      </c>
      <c r="C160" s="35">
        <f t="shared" si="45"/>
        <v>30.8</v>
      </c>
      <c r="D160" s="5">
        <f>B160*C160</f>
        <v>139.5548</v>
      </c>
      <c r="E160" s="5">
        <f>2*E161-E162</f>
        <v>14.064000000000002</v>
      </c>
      <c r="F160" s="5">
        <f>2*F161-F162</f>
        <v>-57.699999999999989</v>
      </c>
      <c r="G160" s="5">
        <f>AVERAGE(G161:G163)</f>
        <v>-265.16266666666667</v>
      </c>
      <c r="H160" s="6">
        <f>D160/E160</f>
        <v>9.9228384527872571</v>
      </c>
      <c r="I160" s="21" t="str">
        <f>IF(F160&gt;0,D160/F160, "NM")</f>
        <v>NM</v>
      </c>
      <c r="J160" s="22" t="str">
        <f t="shared" si="47"/>
        <v>nm</v>
      </c>
    </row>
    <row r="161" spans="1:10" x14ac:dyDescent="0.25">
      <c r="A161" s="13" t="s">
        <v>22</v>
      </c>
      <c r="B161" s="66">
        <v>4.5309999999999997</v>
      </c>
      <c r="C161" s="35">
        <v>30.8</v>
      </c>
      <c r="D161" s="5">
        <f t="shared" ref="D161:D173" si="48">B161*C161</f>
        <v>139.5548</v>
      </c>
      <c r="E161" s="5">
        <v>11.8</v>
      </c>
      <c r="F161" s="5">
        <v>-218.9</v>
      </c>
      <c r="G161" s="5">
        <v>-245.5</v>
      </c>
      <c r="H161" s="6">
        <f t="shared" ref="H161:H173" si="49">D161/E161</f>
        <v>11.826677966101695</v>
      </c>
      <c r="I161" s="21" t="str">
        <f>IF(F161&gt;0,D161/F161, "NM")</f>
        <v>NM</v>
      </c>
      <c r="J161" s="22" t="str">
        <f t="shared" si="47"/>
        <v>nm</v>
      </c>
    </row>
    <row r="162" spans="1:10" x14ac:dyDescent="0.25">
      <c r="A162" s="13" t="s">
        <v>0</v>
      </c>
      <c r="B162" s="66">
        <v>10.0625</v>
      </c>
      <c r="C162" s="35">
        <v>30.785</v>
      </c>
      <c r="D162" s="5">
        <f t="shared" si="48"/>
        <v>309.77406250000001</v>
      </c>
      <c r="E162" s="5">
        <f>4*2.384</f>
        <v>9.5359999999999996</v>
      </c>
      <c r="F162" s="5">
        <f>4*(-106.992+11.967)</f>
        <v>-380.1</v>
      </c>
      <c r="G162" s="5">
        <f>4*-95.971</f>
        <v>-383.88400000000001</v>
      </c>
      <c r="H162" s="6">
        <f t="shared" si="49"/>
        <v>32.484696151426178</v>
      </c>
      <c r="I162" s="21" t="str">
        <f t="shared" ref="I162:I173" si="50">IF(F162&gt;0,D162/F162, "NM")</f>
        <v>NM</v>
      </c>
      <c r="J162" s="22" t="str">
        <f t="shared" si="47"/>
        <v>nm</v>
      </c>
    </row>
    <row r="163" spans="1:10" x14ac:dyDescent="0.25">
      <c r="A163" s="13" t="s">
        <v>1</v>
      </c>
      <c r="B163" s="66">
        <v>25.75</v>
      </c>
      <c r="C163" s="35">
        <v>30.747</v>
      </c>
      <c r="D163" s="5">
        <f t="shared" si="48"/>
        <v>791.73524999999995</v>
      </c>
      <c r="E163" s="5">
        <f>4*3.932</f>
        <v>15.728</v>
      </c>
      <c r="F163" s="5">
        <f>4*(-58.923+3.963)</f>
        <v>-219.84</v>
      </c>
      <c r="G163" s="5">
        <f>4*-41.526</f>
        <v>-166.10400000000001</v>
      </c>
      <c r="H163" s="6">
        <f t="shared" si="49"/>
        <v>50.33921986266531</v>
      </c>
      <c r="I163" s="21" t="str">
        <f t="shared" si="50"/>
        <v>NM</v>
      </c>
      <c r="J163" s="22" t="str">
        <f t="shared" si="47"/>
        <v>nm</v>
      </c>
    </row>
    <row r="164" spans="1:10" x14ac:dyDescent="0.25">
      <c r="A164" s="13" t="s">
        <v>2</v>
      </c>
      <c r="B164" s="66">
        <v>27.875</v>
      </c>
      <c r="C164" s="35">
        <v>30.654</v>
      </c>
      <c r="D164" s="5">
        <f t="shared" si="48"/>
        <v>854.48024999999996</v>
      </c>
      <c r="E164" s="5">
        <f>4*2.307</f>
        <v>9.2279999999999998</v>
      </c>
      <c r="F164" s="5">
        <f>4*(-45.006+2.428)</f>
        <v>-170.31200000000001</v>
      </c>
      <c r="G164" s="5">
        <f>4*-31.335</f>
        <v>-125.34</v>
      </c>
      <c r="H164" s="6">
        <f t="shared" si="49"/>
        <v>92.596472691807534</v>
      </c>
      <c r="I164" s="21" t="str">
        <f t="shared" si="50"/>
        <v>NM</v>
      </c>
      <c r="J164" s="22" t="str">
        <f t="shared" si="47"/>
        <v>nm</v>
      </c>
    </row>
    <row r="165" spans="1:10" x14ac:dyDescent="0.25">
      <c r="A165" s="13" t="s">
        <v>3</v>
      </c>
      <c r="B165" s="66">
        <v>46.375</v>
      </c>
      <c r="C165" s="35">
        <v>28.16</v>
      </c>
      <c r="D165" s="5">
        <f t="shared" si="48"/>
        <v>1305.92</v>
      </c>
      <c r="E165" s="5">
        <f>4*3.223</f>
        <v>12.891999999999999</v>
      </c>
      <c r="F165" s="5">
        <f>4*-28.439</f>
        <v>-113.756</v>
      </c>
      <c r="G165" s="5">
        <f>4*-19.317</f>
        <v>-77.268000000000001</v>
      </c>
      <c r="H165" s="6">
        <f t="shared" si="49"/>
        <v>101.29692832764506</v>
      </c>
      <c r="I165" s="21" t="str">
        <f t="shared" si="50"/>
        <v>NM</v>
      </c>
      <c r="J165" s="22" t="str">
        <f t="shared" si="47"/>
        <v>nm</v>
      </c>
    </row>
    <row r="166" spans="1:10" x14ac:dyDescent="0.25">
      <c r="A166" s="13" t="s">
        <v>4</v>
      </c>
      <c r="B166" s="66">
        <v>78.625</v>
      </c>
      <c r="C166" s="35">
        <v>22.398</v>
      </c>
      <c r="D166" s="5">
        <f t="shared" si="48"/>
        <v>1761.0427500000001</v>
      </c>
      <c r="E166" s="5">
        <f>4*4.88</f>
        <v>19.52</v>
      </c>
      <c r="F166" s="5">
        <f>4*(-20.977+1.596)</f>
        <v>-77.524000000000001</v>
      </c>
      <c r="G166" s="5">
        <f>4*-18.064</f>
        <v>-72.256</v>
      </c>
      <c r="H166" s="6">
        <f t="shared" si="49"/>
        <v>90.217353995901647</v>
      </c>
      <c r="I166" s="21" t="str">
        <f t="shared" si="50"/>
        <v>NM</v>
      </c>
      <c r="J166" s="22" t="str">
        <f t="shared" si="47"/>
        <v>nm</v>
      </c>
    </row>
    <row r="167" spans="1:10" x14ac:dyDescent="0.25">
      <c r="A167" s="13" t="s">
        <v>7</v>
      </c>
      <c r="B167" s="66">
        <v>22.75</v>
      </c>
      <c r="C167" s="35">
        <v>20.888999999999999</v>
      </c>
      <c r="D167" s="5">
        <f t="shared" si="48"/>
        <v>475.22474999999997</v>
      </c>
      <c r="E167" s="5">
        <f>4*4.795</f>
        <v>19.18</v>
      </c>
      <c r="F167" s="5">
        <f>4*(-19.956+1.114)</f>
        <v>-75.367999999999995</v>
      </c>
      <c r="G167" s="5">
        <f>4*-16.634</f>
        <v>-66.536000000000001</v>
      </c>
      <c r="H167" s="6">
        <f t="shared" si="49"/>
        <v>24.777098540145985</v>
      </c>
      <c r="I167" s="21" t="str">
        <f t="shared" si="50"/>
        <v>NM</v>
      </c>
      <c r="J167" s="22" t="str">
        <f t="shared" si="47"/>
        <v>nm</v>
      </c>
    </row>
    <row r="168" spans="1:10" x14ac:dyDescent="0.25">
      <c r="A168" s="13" t="s">
        <v>6</v>
      </c>
      <c r="B168" s="66">
        <v>20</v>
      </c>
      <c r="C168" s="35">
        <v>19.295999999999999</v>
      </c>
      <c r="D168" s="5">
        <f t="shared" si="48"/>
        <v>385.91999999999996</v>
      </c>
      <c r="E168" s="5">
        <f>4*4.663</f>
        <v>18.652000000000001</v>
      </c>
      <c r="F168" s="5">
        <f>4*(-15.142+1.065)</f>
        <v>-56.308</v>
      </c>
      <c r="G168" s="5">
        <f>4*-16.557</f>
        <v>-66.227999999999994</v>
      </c>
      <c r="H168" s="6">
        <f t="shared" si="49"/>
        <v>20.690542569161479</v>
      </c>
      <c r="I168" s="21" t="str">
        <f t="shared" si="50"/>
        <v>NM</v>
      </c>
      <c r="J168" s="22" t="str">
        <f t="shared" si="47"/>
        <v>nm</v>
      </c>
    </row>
    <row r="169" spans="1:10" x14ac:dyDescent="0.25">
      <c r="A169" s="13" t="s">
        <v>5</v>
      </c>
      <c r="B169" s="66">
        <v>6.4375</v>
      </c>
      <c r="C169" s="35">
        <v>18.873000000000001</v>
      </c>
      <c r="D169" s="5">
        <f t="shared" si="48"/>
        <v>121.49493750000001</v>
      </c>
      <c r="E169" s="5">
        <f>4*4.1866</f>
        <v>16.746400000000001</v>
      </c>
      <c r="F169" s="5">
        <f>4*-13.948</f>
        <v>-55.792000000000002</v>
      </c>
      <c r="G169" s="5">
        <f>4*-15.018</f>
        <v>-60.072000000000003</v>
      </c>
      <c r="H169" s="6">
        <f t="shared" si="49"/>
        <v>7.2549883855634638</v>
      </c>
      <c r="I169" s="21" t="str">
        <f t="shared" si="50"/>
        <v>NM</v>
      </c>
      <c r="J169" s="22" t="str">
        <f t="shared" si="47"/>
        <v>nm</v>
      </c>
    </row>
    <row r="170" spans="1:10" x14ac:dyDescent="0.25">
      <c r="A170" s="13" t="s">
        <v>8</v>
      </c>
      <c r="B170" s="66">
        <v>5.1875</v>
      </c>
      <c r="C170" s="35">
        <f>(C169+C171)/2</f>
        <v>18.741500000000002</v>
      </c>
      <c r="D170" s="5">
        <f t="shared" si="48"/>
        <v>97.221531250000012</v>
      </c>
      <c r="E170" s="5">
        <f>4*15.859-SUM(E171:E173)</f>
        <v>14.799999999999997</v>
      </c>
      <c r="F170" s="5">
        <f>4*-82.14-SUM(F171:F173)</f>
        <v>-149.78400000000002</v>
      </c>
      <c r="G170" s="5">
        <f>4*-84.164-SUM(G171:G173)</f>
        <v>-154.91999999999999</v>
      </c>
      <c r="H170" s="6">
        <f t="shared" si="49"/>
        <v>6.569022381756759</v>
      </c>
      <c r="I170" s="21" t="str">
        <f t="shared" si="50"/>
        <v>NM</v>
      </c>
      <c r="J170" s="22" t="str">
        <f t="shared" si="47"/>
        <v>nm</v>
      </c>
    </row>
    <row r="171" spans="1:10" x14ac:dyDescent="0.25">
      <c r="A171" s="13" t="s">
        <v>9</v>
      </c>
      <c r="B171" s="66">
        <v>5</v>
      </c>
      <c r="C171" s="35">
        <v>18.61</v>
      </c>
      <c r="D171" s="5">
        <f t="shared" si="48"/>
        <v>93.05</v>
      </c>
      <c r="E171" s="5">
        <f>4*4.195</f>
        <v>16.78</v>
      </c>
      <c r="F171" s="5">
        <f>4*-20.507</f>
        <v>-82.028000000000006</v>
      </c>
      <c r="G171" s="5">
        <f>4*-21.006</f>
        <v>-84.024000000000001</v>
      </c>
      <c r="H171" s="6">
        <f t="shared" si="49"/>
        <v>5.5452920143027411</v>
      </c>
      <c r="I171" s="21" t="str">
        <f t="shared" si="50"/>
        <v>NM</v>
      </c>
      <c r="J171" s="22" t="str">
        <f t="shared" si="47"/>
        <v>nm</v>
      </c>
    </row>
    <row r="172" spans="1:10" x14ac:dyDescent="0.25">
      <c r="A172" s="13" t="s">
        <v>10</v>
      </c>
      <c r="B172" s="66">
        <v>8.4062000000000001</v>
      </c>
      <c r="C172" s="35">
        <v>18.512</v>
      </c>
      <c r="D172" s="5">
        <f t="shared" si="48"/>
        <v>155.61557440000001</v>
      </c>
      <c r="E172" s="5">
        <f>4*4.361</f>
        <v>17.443999999999999</v>
      </c>
      <c r="F172" s="5">
        <f>4*-12.939</f>
        <v>-51.756</v>
      </c>
      <c r="G172" s="5">
        <f>4*-13.221</f>
        <v>-52.884</v>
      </c>
      <c r="H172" s="6">
        <f t="shared" si="49"/>
        <v>8.920865306122451</v>
      </c>
      <c r="I172" s="21" t="str">
        <f t="shared" si="50"/>
        <v>NM</v>
      </c>
      <c r="J172" s="22" t="str">
        <f t="shared" si="47"/>
        <v>nm</v>
      </c>
    </row>
    <row r="173" spans="1:10" ht="14.4" thickBot="1" x14ac:dyDescent="0.3">
      <c r="A173" s="13" t="s">
        <v>11</v>
      </c>
      <c r="B173" s="66">
        <v>9.875</v>
      </c>
      <c r="C173" s="35">
        <v>16.943999999999999</v>
      </c>
      <c r="D173" s="5">
        <f t="shared" si="48"/>
        <v>167.322</v>
      </c>
      <c r="E173" s="5">
        <f>4*3.603</f>
        <v>14.412000000000001</v>
      </c>
      <c r="F173" s="5">
        <f>4*-11.248</f>
        <v>-44.991999999999997</v>
      </c>
      <c r="G173" s="5">
        <f>4*-11.207</f>
        <v>-44.828000000000003</v>
      </c>
      <c r="H173" s="6">
        <f t="shared" si="49"/>
        <v>11.609908409658617</v>
      </c>
      <c r="I173" s="21" t="str">
        <f t="shared" si="50"/>
        <v>NM</v>
      </c>
      <c r="J173" s="22" t="str">
        <f t="shared" si="47"/>
        <v>nm</v>
      </c>
    </row>
    <row r="174" spans="1:10" ht="14.4" thickBot="1" x14ac:dyDescent="0.3">
      <c r="A174" s="30"/>
      <c r="B174" s="31"/>
      <c r="C174" s="31"/>
      <c r="D174" s="31"/>
      <c r="E174" s="31"/>
      <c r="F174" s="36">
        <f>SUM(F161:F173)/SUM(E161:E173)</f>
        <v>-8.6237992988962908</v>
      </c>
      <c r="G174" s="36">
        <f>SUM(G161:G173)/SUM(E161:E173)</f>
        <v>-8.1326606967116444</v>
      </c>
      <c r="H174" s="37">
        <f>AVERAGE(H161:H173)</f>
        <v>35.702235892481454</v>
      </c>
      <c r="I174" s="37" t="e">
        <f>AVERAGE(I161:I173)</f>
        <v>#DIV/0!</v>
      </c>
      <c r="J174" s="38" t="e">
        <f>AVERAGE(J161:J173)</f>
        <v>#DIV/0!</v>
      </c>
    </row>
    <row r="175" spans="1:10" ht="14.4" thickBot="1" x14ac:dyDescent="0.3"/>
    <row r="176" spans="1:10" ht="18" thickBot="1" x14ac:dyDescent="0.35">
      <c r="A176" s="20" t="s">
        <v>205</v>
      </c>
      <c r="B176" s="17"/>
      <c r="C176" s="18"/>
      <c r="D176" s="18"/>
      <c r="E176" s="18"/>
      <c r="F176" s="18"/>
      <c r="G176" s="18"/>
      <c r="H176" s="17"/>
      <c r="I176" s="17"/>
      <c r="J176" s="19"/>
    </row>
    <row r="177" spans="1:10" x14ac:dyDescent="0.25">
      <c r="A177" s="13" t="s">
        <v>107</v>
      </c>
      <c r="B177" s="66">
        <v>33.5</v>
      </c>
      <c r="C177" s="35">
        <f t="shared" ref="C177:C179" si="51">C178</f>
        <v>872</v>
      </c>
      <c r="D177" s="5">
        <f>B177*C177</f>
        <v>29212</v>
      </c>
      <c r="E177" s="5">
        <f>2*E178-E179</f>
        <v>302236</v>
      </c>
      <c r="F177" s="5">
        <f>E177*SUM(F178:F181)/SUM(E178:E181)</f>
        <v>4925.0053269965811</v>
      </c>
      <c r="G177" s="5">
        <f>E177*SUM(G178:G181)/SUM(E178:E181)</f>
        <v>2033.190090397075</v>
      </c>
      <c r="H177" s="6">
        <f>D177/E177</f>
        <v>9.6652946703900261E-2</v>
      </c>
      <c r="I177" s="21">
        <f>IF(F177&gt;0,D177/F177, "NM")</f>
        <v>5.9313641428717743</v>
      </c>
      <c r="J177" s="22">
        <f t="shared" ref="J177:J192" si="52">IF(G177&gt;0,D177/G177, "nm")</f>
        <v>14.367569534187036</v>
      </c>
    </row>
    <row r="178" spans="1:10" x14ac:dyDescent="0.25">
      <c r="A178" s="13" t="s">
        <v>108</v>
      </c>
      <c r="B178" s="66">
        <v>27.23</v>
      </c>
      <c r="C178" s="35">
        <f t="shared" si="51"/>
        <v>872</v>
      </c>
      <c r="D178" s="5">
        <f>B178*C178</f>
        <v>23744.560000000001</v>
      </c>
      <c r="E178" s="5">
        <f>2*E179-E180</f>
        <v>267428</v>
      </c>
      <c r="F178" s="5">
        <f>E178*SUM(F179:F182)/SUM(E179:E182)</f>
        <v>4404.7262405222618</v>
      </c>
      <c r="G178" s="5">
        <f>E178*SUM(G179:G182)/SUM(E179:E182)</f>
        <v>1874.4296511229243</v>
      </c>
      <c r="H178" s="6">
        <f>D178/E178</f>
        <v>8.8788608522667789E-2</v>
      </c>
      <c r="I178" s="21">
        <f>IF(F178&gt;0,D178/F178, "NM")</f>
        <v>5.3907005119992757</v>
      </c>
      <c r="J178" s="22">
        <f t="shared" si="52"/>
        <v>12.66761864643745</v>
      </c>
    </row>
    <row r="179" spans="1:10" x14ac:dyDescent="0.25">
      <c r="A179" s="13" t="s">
        <v>109</v>
      </c>
      <c r="B179" s="66">
        <v>49.1</v>
      </c>
      <c r="C179" s="35">
        <f t="shared" si="51"/>
        <v>872</v>
      </c>
      <c r="D179" s="5">
        <f>B179*C179</f>
        <v>42815.200000000004</v>
      </c>
      <c r="E179" s="5">
        <f>2*E180-E181</f>
        <v>232620</v>
      </c>
      <c r="F179" s="5">
        <f>E179*SUM(F180:F183)/SUM(E180:E183)</f>
        <v>3999.2511871156917</v>
      </c>
      <c r="G179" s="5">
        <f>E179*SUM(G180:G183)/SUM(E180:E183)</f>
        <v>1808.7406726624215</v>
      </c>
      <c r="H179" s="6">
        <f>D179/E179</f>
        <v>0.18405640099733472</v>
      </c>
      <c r="I179" s="21">
        <f>IF(F179&gt;0,D179/F179, "NM")</f>
        <v>10.705804161023165</v>
      </c>
      <c r="J179" s="22">
        <f t="shared" si="52"/>
        <v>23.671276179673171</v>
      </c>
    </row>
    <row r="180" spans="1:10" x14ac:dyDescent="0.25">
      <c r="A180" s="13" t="s">
        <v>22</v>
      </c>
      <c r="B180" s="66">
        <v>58.1</v>
      </c>
      <c r="C180" s="35">
        <v>872</v>
      </c>
      <c r="D180" s="5">
        <f t="shared" ref="D180:D192" si="53">B180*C180</f>
        <v>50663.200000000004</v>
      </c>
      <c r="E180" s="5">
        <f>4*49453</f>
        <v>197812</v>
      </c>
      <c r="F180" s="5">
        <f>4*676</f>
        <v>2704</v>
      </c>
      <c r="G180" s="5">
        <f>4*405</f>
        <v>1620</v>
      </c>
      <c r="H180" s="6">
        <f t="shared" ref="H180:H192" si="54">D180/E180</f>
        <v>0.25611793015590562</v>
      </c>
      <c r="I180" s="21">
        <f>IF(F180&gt;0,D180/F180, "NM")</f>
        <v>18.73639053254438</v>
      </c>
      <c r="J180" s="22">
        <f t="shared" si="52"/>
        <v>31.273580246913582</v>
      </c>
    </row>
    <row r="181" spans="1:10" x14ac:dyDescent="0.25">
      <c r="A181" s="13" t="s">
        <v>0</v>
      </c>
      <c r="B181">
        <v>82.977699999999999</v>
      </c>
      <c r="C181" s="35">
        <f>(C180+C182)/2</f>
        <v>871</v>
      </c>
      <c r="D181" s="5">
        <f t="shared" si="53"/>
        <v>72273.576700000005</v>
      </c>
      <c r="E181" s="5">
        <f>4*100789-SUM(E182:E184)</f>
        <v>163004</v>
      </c>
      <c r="F181" s="5">
        <f>4*1953-SUM(F182:F184)</f>
        <v>2920</v>
      </c>
      <c r="G181" s="5">
        <f>4*979-SUM(G182:G184)</f>
        <v>488</v>
      </c>
      <c r="H181" s="6">
        <f t="shared" si="54"/>
        <v>0.44338529545287236</v>
      </c>
      <c r="I181" s="21">
        <f t="shared" ref="I181:I192" si="55">IF(F181&gt;0,D181/F181, "NM")</f>
        <v>24.751224897260276</v>
      </c>
      <c r="J181" s="22">
        <f t="shared" si="52"/>
        <v>148.10159159836067</v>
      </c>
    </row>
    <row r="182" spans="1:10" x14ac:dyDescent="0.25">
      <c r="A182" s="13" t="s">
        <v>1</v>
      </c>
      <c r="B182">
        <v>87.3459</v>
      </c>
      <c r="C182" s="35">
        <v>870</v>
      </c>
      <c r="D182" s="5">
        <f t="shared" si="53"/>
        <v>75990.933000000005</v>
      </c>
      <c r="E182" s="5">
        <f>4*30007</f>
        <v>120028</v>
      </c>
      <c r="F182" s="5">
        <f>4*532</f>
        <v>2128</v>
      </c>
      <c r="G182" s="5">
        <f>4*271</f>
        <v>1084</v>
      </c>
      <c r="H182" s="6">
        <f t="shared" si="54"/>
        <v>0.63311004932182491</v>
      </c>
      <c r="I182" s="21">
        <f t="shared" si="55"/>
        <v>35.710024906015043</v>
      </c>
      <c r="J182" s="22">
        <f t="shared" si="52"/>
        <v>70.102336715867168</v>
      </c>
    </row>
    <row r="183" spans="1:10" x14ac:dyDescent="0.25">
      <c r="A183" s="13" t="s">
        <v>2</v>
      </c>
      <c r="B183">
        <v>87.3459</v>
      </c>
      <c r="C183" s="35">
        <v>862</v>
      </c>
      <c r="D183" s="5">
        <f t="shared" si="53"/>
        <v>75292.165800000002</v>
      </c>
      <c r="E183" s="5">
        <f>4*16886</f>
        <v>67544</v>
      </c>
      <c r="F183" s="5">
        <f>4*419</f>
        <v>1676</v>
      </c>
      <c r="G183" s="5">
        <f>4*268</f>
        <v>1072</v>
      </c>
      <c r="H183" s="6">
        <f t="shared" si="54"/>
        <v>1.1147128656875518</v>
      </c>
      <c r="I183" s="21">
        <f t="shared" si="55"/>
        <v>44.92372661097852</v>
      </c>
      <c r="J183" s="22">
        <f t="shared" si="52"/>
        <v>70.235229291044774</v>
      </c>
    </row>
    <row r="184" spans="1:10" x14ac:dyDescent="0.25">
      <c r="A184" s="13" t="s">
        <v>3</v>
      </c>
      <c r="B184">
        <v>74.380300000000005</v>
      </c>
      <c r="C184" s="35">
        <v>852</v>
      </c>
      <c r="D184" s="5">
        <f t="shared" si="53"/>
        <v>63372.015600000006</v>
      </c>
      <c r="E184" s="5">
        <f>4*13145</f>
        <v>52580</v>
      </c>
      <c r="F184" s="5">
        <f>4*272</f>
        <v>1088</v>
      </c>
      <c r="G184" s="5">
        <f>4*318</f>
        <v>1272</v>
      </c>
      <c r="H184" s="6">
        <f t="shared" si="54"/>
        <v>1.2052494408520351</v>
      </c>
      <c r="I184" s="21">
        <f t="shared" si="55"/>
        <v>58.246337867647064</v>
      </c>
      <c r="J184" s="22">
        <f t="shared" si="52"/>
        <v>49.820766981132081</v>
      </c>
    </row>
    <row r="185" spans="1:10" x14ac:dyDescent="0.25">
      <c r="A185" s="13" t="s">
        <v>4</v>
      </c>
      <c r="B185">
        <v>43.997900000000001</v>
      </c>
      <c r="C185" s="35">
        <f>(C184+C186)/2</f>
        <v>816.5</v>
      </c>
      <c r="D185" s="5">
        <f t="shared" si="53"/>
        <v>35924.285349999998</v>
      </c>
      <c r="E185" s="5">
        <f>4*40112-SUM(E186:E188)</f>
        <v>42580</v>
      </c>
      <c r="F185" s="5">
        <f>4*802-SUM(F186:F188)</f>
        <v>880</v>
      </c>
      <c r="G185" s="5">
        <f>4*1378-SUM(G186:G188)</f>
        <v>3144</v>
      </c>
      <c r="H185" s="6">
        <f t="shared" si="54"/>
        <v>0.84368918154062933</v>
      </c>
      <c r="I185" s="21">
        <f t="shared" si="55"/>
        <v>40.823051534090908</v>
      </c>
      <c r="J185" s="22">
        <f t="shared" si="52"/>
        <v>11.426299411577608</v>
      </c>
    </row>
    <row r="186" spans="1:10" x14ac:dyDescent="0.25">
      <c r="A186" s="13" t="s">
        <v>7</v>
      </c>
      <c r="B186">
        <v>40.578699999999998</v>
      </c>
      <c r="C186" s="35">
        <v>781</v>
      </c>
      <c r="D186" s="5">
        <f t="shared" si="53"/>
        <v>31691.964699999997</v>
      </c>
      <c r="E186" s="5">
        <f>4*11835</f>
        <v>47340</v>
      </c>
      <c r="F186" s="5">
        <f>4*-36</f>
        <v>-144</v>
      </c>
      <c r="G186" s="5">
        <f>4*271</f>
        <v>1084</v>
      </c>
      <c r="H186" s="6">
        <f t="shared" si="54"/>
        <v>0.66945426066751157</v>
      </c>
      <c r="I186" s="21" t="str">
        <f t="shared" si="55"/>
        <v>NM</v>
      </c>
      <c r="J186" s="22">
        <f t="shared" si="52"/>
        <v>29.236129797047969</v>
      </c>
    </row>
    <row r="187" spans="1:10" x14ac:dyDescent="0.25">
      <c r="A187" s="13" t="s">
        <v>6</v>
      </c>
      <c r="B187">
        <v>40.274299999999997</v>
      </c>
      <c r="C187" s="35">
        <v>771</v>
      </c>
      <c r="D187" s="5">
        <f t="shared" si="53"/>
        <v>31051.485299999997</v>
      </c>
      <c r="E187" s="5">
        <v>40000</v>
      </c>
      <c r="F187" s="5">
        <f>4*233</f>
        <v>932</v>
      </c>
      <c r="G187" s="5">
        <f>4*203</f>
        <v>812</v>
      </c>
      <c r="H187" s="6">
        <f t="shared" si="54"/>
        <v>0.77628713249999992</v>
      </c>
      <c r="I187" s="21">
        <f t="shared" si="55"/>
        <v>33.31704431330472</v>
      </c>
      <c r="J187" s="22">
        <f t="shared" si="52"/>
        <v>38.240745443349752</v>
      </c>
    </row>
    <row r="188" spans="1:10" x14ac:dyDescent="0.25">
      <c r="A188" s="13" t="s">
        <v>5</v>
      </c>
      <c r="B188">
        <v>31.544499999999999</v>
      </c>
      <c r="C188" s="35">
        <v>745</v>
      </c>
      <c r="D188" s="5">
        <f t="shared" si="53"/>
        <v>23500.6525</v>
      </c>
      <c r="E188" s="5">
        <f>4*7632</f>
        <v>30528</v>
      </c>
      <c r="F188" s="5">
        <f>4*385</f>
        <v>1540</v>
      </c>
      <c r="G188" s="5">
        <f>4*118</f>
        <v>472</v>
      </c>
      <c r="H188" s="6">
        <f t="shared" si="54"/>
        <v>0.76980648912473792</v>
      </c>
      <c r="I188" s="21">
        <f t="shared" si="55"/>
        <v>15.260163961038961</v>
      </c>
      <c r="J188" s="22">
        <f t="shared" si="52"/>
        <v>49.789518008474573</v>
      </c>
    </row>
    <row r="189" spans="1:10" x14ac:dyDescent="0.25">
      <c r="A189" s="13" t="s">
        <v>8</v>
      </c>
      <c r="B189">
        <v>57.0625</v>
      </c>
      <c r="C189" s="35">
        <f>(C188+C190)/2</f>
        <v>729</v>
      </c>
      <c r="D189" s="5">
        <f t="shared" si="53"/>
        <v>41598.5625</v>
      </c>
      <c r="E189" s="5">
        <f>4*31260-SUM(E190:E192)</f>
        <v>30804</v>
      </c>
      <c r="F189" s="5">
        <f>4*1953-SUM(F190:F192)</f>
        <v>3812</v>
      </c>
      <c r="G189" s="5">
        <f>4*703-SUM(G190:G192)</f>
        <v>756</v>
      </c>
      <c r="H189" s="6">
        <f t="shared" si="54"/>
        <v>1.3504272984028047</v>
      </c>
      <c r="I189" s="21">
        <f t="shared" si="55"/>
        <v>10.912529512067156</v>
      </c>
      <c r="J189" s="22">
        <f t="shared" si="52"/>
        <v>55.024553571428569</v>
      </c>
    </row>
    <row r="190" spans="1:10" x14ac:dyDescent="0.25">
      <c r="A190" s="13" t="s">
        <v>9</v>
      </c>
      <c r="B190" s="66">
        <v>53.5</v>
      </c>
      <c r="C190" s="35">
        <v>713</v>
      </c>
      <c r="D190" s="5">
        <f t="shared" si="53"/>
        <v>38145.5</v>
      </c>
      <c r="E190" s="5">
        <f>4*11320</f>
        <v>45280</v>
      </c>
      <c r="F190" s="5">
        <f>4*390</f>
        <v>1560</v>
      </c>
      <c r="G190" s="5">
        <f>4*164</f>
        <v>656</v>
      </c>
      <c r="H190" s="6">
        <f t="shared" si="54"/>
        <v>0.84243595406360428</v>
      </c>
      <c r="I190" s="21">
        <f t="shared" si="55"/>
        <v>24.452243589743588</v>
      </c>
      <c r="J190" s="22">
        <f t="shared" si="52"/>
        <v>58.148628048780488</v>
      </c>
    </row>
    <row r="191" spans="1:10" x14ac:dyDescent="0.25">
      <c r="A191" s="13" t="s">
        <v>10</v>
      </c>
      <c r="B191" s="66">
        <v>54.0625</v>
      </c>
      <c r="C191" s="35">
        <f>2*346</f>
        <v>692</v>
      </c>
      <c r="D191" s="5">
        <f t="shared" si="53"/>
        <v>37411.25</v>
      </c>
      <c r="E191" s="5">
        <f>4*6557</f>
        <v>26228</v>
      </c>
      <c r="F191" s="5">
        <f>4*198</f>
        <v>792</v>
      </c>
      <c r="G191" s="5">
        <f>4*140</f>
        <v>560</v>
      </c>
      <c r="H191" s="6">
        <f t="shared" si="54"/>
        <v>1.4263859234405978</v>
      </c>
      <c r="I191" s="21">
        <f t="shared" si="55"/>
        <v>47.236426767676768</v>
      </c>
      <c r="J191" s="22">
        <f t="shared" si="52"/>
        <v>66.805803571428569</v>
      </c>
    </row>
    <row r="192" spans="1:10" ht="14.4" thickBot="1" x14ac:dyDescent="0.3">
      <c r="A192" s="13" t="s">
        <v>11</v>
      </c>
      <c r="B192" s="66">
        <v>46.375</v>
      </c>
      <c r="C192" s="35">
        <f>2*330</f>
        <v>660</v>
      </c>
      <c r="D192" s="5">
        <f t="shared" si="53"/>
        <v>30607.5</v>
      </c>
      <c r="E192" s="5">
        <f>4*5682</f>
        <v>22728</v>
      </c>
      <c r="F192" s="5">
        <f>4*412</f>
        <v>1648</v>
      </c>
      <c r="G192" s="5">
        <f>4*210</f>
        <v>840</v>
      </c>
      <c r="H192" s="6">
        <f t="shared" si="54"/>
        <v>1.3466869060190074</v>
      </c>
      <c r="I192" s="21">
        <f t="shared" si="55"/>
        <v>18.572512135922331</v>
      </c>
      <c r="J192" s="22">
        <f t="shared" si="52"/>
        <v>36.4375</v>
      </c>
    </row>
    <row r="193" spans="1:10" ht="14.4" thickBot="1" x14ac:dyDescent="0.3">
      <c r="A193" s="30"/>
      <c r="B193" s="31"/>
      <c r="C193" s="31"/>
      <c r="D193" s="31"/>
      <c r="E193" s="31"/>
      <c r="F193" s="36">
        <f>SUM(F180:F192)/SUM(E180:E192)</f>
        <v>2.4294494030160551E-2</v>
      </c>
      <c r="G193" s="36">
        <f>SUM(G180:G192)/SUM(E180:E192)</f>
        <v>1.5635293799128213E-2</v>
      </c>
      <c r="H193" s="37">
        <f>AVERAGE(H180:H192)</f>
        <v>0.89828836363300657</v>
      </c>
      <c r="I193" s="37">
        <f>AVERAGE(I180:I192)</f>
        <v>31.078473052357484</v>
      </c>
      <c r="J193" s="38">
        <f>AVERAGE(J180:J192)</f>
        <v>54.972514052723518</v>
      </c>
    </row>
    <row r="194" spans="1:10" ht="6.75" customHeight="1" thickBot="1" x14ac:dyDescent="0.3">
      <c r="A194" s="34"/>
      <c r="B194" s="34"/>
      <c r="C194" s="34"/>
      <c r="D194" s="34"/>
      <c r="E194" s="34"/>
      <c r="F194" s="179"/>
      <c r="G194" s="179"/>
      <c r="H194" s="172"/>
      <c r="I194" s="172"/>
      <c r="J194" s="172"/>
    </row>
    <row r="195" spans="1:10" s="231" customFormat="1" ht="18.600000000000001" thickBot="1" x14ac:dyDescent="0.4">
      <c r="A195" s="20" t="s">
        <v>206</v>
      </c>
      <c r="B195" s="229"/>
      <c r="C195" s="225"/>
      <c r="D195" s="225"/>
      <c r="E195" s="225"/>
      <c r="F195" s="225"/>
      <c r="G195" s="225"/>
      <c r="H195" s="229"/>
      <c r="I195" s="229"/>
      <c r="J195" s="230"/>
    </row>
    <row r="196" spans="1:10" x14ac:dyDescent="0.25">
      <c r="A196" s="13" t="s">
        <v>107</v>
      </c>
      <c r="B196" s="66">
        <v>24.78</v>
      </c>
      <c r="C196" s="35">
        <f>C197</f>
        <v>89.461980999999994</v>
      </c>
      <c r="D196" s="5">
        <f>B196*C196</f>
        <v>2216.86788918</v>
      </c>
      <c r="E196" s="5">
        <f t="shared" ref="E196:G198" si="56">AVERAGE(E197:E200)</f>
        <v>95.855687500000002</v>
      </c>
      <c r="F196" s="5">
        <f t="shared" si="56"/>
        <v>-91.603437499999998</v>
      </c>
      <c r="G196" s="5">
        <f t="shared" si="56"/>
        <v>-117.8936875</v>
      </c>
      <c r="H196" s="6">
        <f>D196/E196</f>
        <v>23.127139839041892</v>
      </c>
      <c r="I196" s="21" t="str">
        <f>IF(F196&gt;0,D196/F196, "NM")</f>
        <v>NM</v>
      </c>
      <c r="J196" s="22" t="str">
        <f t="shared" ref="J196:J211" si="57">IF(G196&gt;0,D196/G196, "nm")</f>
        <v>nm</v>
      </c>
    </row>
    <row r="197" spans="1:10" x14ac:dyDescent="0.25">
      <c r="A197" s="13" t="s">
        <v>108</v>
      </c>
      <c r="B197" s="66">
        <v>19.559999999999999</v>
      </c>
      <c r="C197" s="35">
        <f>C198</f>
        <v>89.461980999999994</v>
      </c>
      <c r="D197" s="5">
        <f>B197*C197</f>
        <v>1749.8763483599998</v>
      </c>
      <c r="E197" s="5">
        <f t="shared" si="56"/>
        <v>91.303750000000008</v>
      </c>
      <c r="F197" s="5">
        <f t="shared" si="56"/>
        <v>-88.458749999999995</v>
      </c>
      <c r="G197" s="5">
        <f t="shared" si="56"/>
        <v>-101.98375</v>
      </c>
      <c r="H197" s="6">
        <f>D197/E197</f>
        <v>19.165437874786083</v>
      </c>
      <c r="I197" s="21" t="str">
        <f>IF(F197&gt;0,D197/F197, "NM")</f>
        <v>NM</v>
      </c>
      <c r="J197" s="22" t="str">
        <f t="shared" si="57"/>
        <v>nm</v>
      </c>
    </row>
    <row r="198" spans="1:10" x14ac:dyDescent="0.25">
      <c r="A198" s="13" t="s">
        <v>109</v>
      </c>
      <c r="B198" s="66">
        <v>53.23</v>
      </c>
      <c r="C198" s="35">
        <f>C199</f>
        <v>89.461980999999994</v>
      </c>
      <c r="D198" s="5">
        <f>B198*C198</f>
        <v>4762.0612486299997</v>
      </c>
      <c r="E198" s="5">
        <f t="shared" si="56"/>
        <v>88.043000000000006</v>
      </c>
      <c r="F198" s="5">
        <f t="shared" si="56"/>
        <v>-81.766999999999996</v>
      </c>
      <c r="G198" s="5">
        <f t="shared" si="56"/>
        <v>-93.387</v>
      </c>
      <c r="H198" s="6">
        <f>D198/E198</f>
        <v>54.087903054530166</v>
      </c>
      <c r="I198" s="21" t="str">
        <f>IF(F198&gt;0,D198/F198, "NM")</f>
        <v>NM</v>
      </c>
      <c r="J198" s="22" t="str">
        <f t="shared" si="57"/>
        <v>nm</v>
      </c>
    </row>
    <row r="199" spans="1:10" x14ac:dyDescent="0.25">
      <c r="A199" s="13" t="s">
        <v>22</v>
      </c>
      <c r="B199" s="66">
        <v>39.9375</v>
      </c>
      <c r="C199" s="35">
        <v>89.461980999999994</v>
      </c>
      <c r="D199" s="5">
        <f t="shared" ref="D199:D211" si="58">B199*C199</f>
        <v>3572.8878661874996</v>
      </c>
      <c r="E199" s="5">
        <f>4*20.022</f>
        <v>80.087999999999994</v>
      </c>
      <c r="F199" s="5">
        <f>4*-17.631</f>
        <v>-70.524000000000001</v>
      </c>
      <c r="G199" s="5">
        <f>4*-22.396</f>
        <v>-89.584000000000003</v>
      </c>
      <c r="H199" s="6">
        <f t="shared" ref="H199:H211" si="59">D199/E199</f>
        <v>44.612025099734041</v>
      </c>
      <c r="I199" s="21" t="str">
        <f>IF(F199&gt;0,D199/F199, "NM")</f>
        <v>NM</v>
      </c>
      <c r="J199" s="22" t="str">
        <f t="shared" si="57"/>
        <v>nm</v>
      </c>
    </row>
    <row r="200" spans="1:10" x14ac:dyDescent="0.25">
      <c r="A200" s="13" t="s">
        <v>0</v>
      </c>
      <c r="B200" s="66">
        <v>63.156199999999998</v>
      </c>
      <c r="C200" s="35">
        <f>88.820624</f>
        <v>88.820623999999995</v>
      </c>
      <c r="D200" s="5">
        <f t="shared" si="58"/>
        <v>5609.5730934687999</v>
      </c>
      <c r="E200" s="5">
        <f>4*30.997</f>
        <v>123.988</v>
      </c>
      <c r="F200" s="5">
        <f>4*-31.416</f>
        <v>-125.664</v>
      </c>
      <c r="G200" s="5">
        <f>4*-46.655</f>
        <v>-186.62</v>
      </c>
      <c r="H200" s="6">
        <f t="shared" si="59"/>
        <v>45.242871031622414</v>
      </c>
      <c r="I200" s="21" t="str">
        <f t="shared" ref="I200:I211" si="60">IF(F200&gt;0,D200/F200, "NM")</f>
        <v>NM</v>
      </c>
      <c r="J200" s="22" t="str">
        <f t="shared" si="57"/>
        <v>nm</v>
      </c>
    </row>
    <row r="201" spans="1:10" x14ac:dyDescent="0.25">
      <c r="A201" s="13" t="s">
        <v>1</v>
      </c>
      <c r="B201" s="66">
        <v>109.26560000000001</v>
      </c>
      <c r="C201" s="35">
        <v>89.1</v>
      </c>
      <c r="D201" s="5">
        <f t="shared" si="58"/>
        <v>9735.5649599999997</v>
      </c>
      <c r="E201" s="5">
        <f>4*85.521-(E200+E203+E202)</f>
        <v>73.096000000000004</v>
      </c>
      <c r="F201" s="5">
        <f>4*-78.193-(F200+F203+F202)</f>
        <v>-75.88</v>
      </c>
      <c r="G201" s="5">
        <f>4*-85.733-(G200+G203+G202)</f>
        <v>-38.343999999999994</v>
      </c>
      <c r="H201" s="6">
        <f t="shared" si="59"/>
        <v>133.18875123125753</v>
      </c>
      <c r="I201" s="21" t="str">
        <f t="shared" si="60"/>
        <v>NM</v>
      </c>
      <c r="J201" s="22" t="str">
        <f t="shared" si="57"/>
        <v>nm</v>
      </c>
    </row>
    <row r="202" spans="1:10" x14ac:dyDescent="0.25">
      <c r="A202" s="13" t="s">
        <v>2</v>
      </c>
      <c r="B202" s="66">
        <v>89.8125</v>
      </c>
      <c r="C202" s="35">
        <v>89.1</v>
      </c>
      <c r="D202" s="5">
        <f t="shared" si="58"/>
        <v>8002.2937499999998</v>
      </c>
      <c r="E202" s="5">
        <v>75</v>
      </c>
      <c r="F202" s="5">
        <v>-55</v>
      </c>
      <c r="G202" s="5">
        <v>-59</v>
      </c>
      <c r="H202" s="6">
        <f t="shared" si="59"/>
        <v>106.69725</v>
      </c>
      <c r="I202" s="21" t="str">
        <f t="shared" si="60"/>
        <v>NM</v>
      </c>
      <c r="J202" s="22" t="str">
        <f t="shared" si="57"/>
        <v>nm</v>
      </c>
    </row>
    <row r="203" spans="1:10" x14ac:dyDescent="0.25">
      <c r="A203" s="13" t="s">
        <v>3</v>
      </c>
      <c r="B203" s="66">
        <v>84.5</v>
      </c>
      <c r="C203" s="35">
        <f>85.476506</f>
        <v>85.476506000000001</v>
      </c>
      <c r="D203" s="5">
        <f t="shared" si="58"/>
        <v>7222.7647569999999</v>
      </c>
      <c r="E203" s="5">
        <v>70</v>
      </c>
      <c r="F203" s="5">
        <f>4*-14.057</f>
        <v>-56.228000000000002</v>
      </c>
      <c r="G203" s="5">
        <f>4*-14.742</f>
        <v>-58.968000000000004</v>
      </c>
      <c r="H203" s="6">
        <f t="shared" si="59"/>
        <v>103.18235367142857</v>
      </c>
      <c r="I203" s="21" t="str">
        <f t="shared" si="60"/>
        <v>NM</v>
      </c>
      <c r="J203" s="22" t="str">
        <f t="shared" si="57"/>
        <v>nm</v>
      </c>
    </row>
    <row r="204" spans="1:10" x14ac:dyDescent="0.25">
      <c r="A204" s="13" t="s">
        <v>4</v>
      </c>
      <c r="B204" s="66">
        <v>28.1875</v>
      </c>
      <c r="C204" s="35">
        <v>83.988422999999997</v>
      </c>
      <c r="D204" s="5">
        <f t="shared" si="58"/>
        <v>2367.4236733124999</v>
      </c>
      <c r="E204" s="5">
        <f>4*18.156</f>
        <v>72.623999999999995</v>
      </c>
      <c r="F204" s="5">
        <f>4*-22.127</f>
        <v>-88.507999999999996</v>
      </c>
      <c r="G204" s="5">
        <f>4*-25.809</f>
        <v>-103.236</v>
      </c>
      <c r="H204" s="6">
        <f t="shared" si="59"/>
        <v>32.598365186611865</v>
      </c>
      <c r="I204" s="21" t="str">
        <f t="shared" si="60"/>
        <v>NM</v>
      </c>
      <c r="J204" s="22" t="str">
        <f t="shared" si="57"/>
        <v>nm</v>
      </c>
    </row>
    <row r="205" spans="1:10" x14ac:dyDescent="0.25">
      <c r="A205" s="13" t="s">
        <v>7</v>
      </c>
      <c r="B205" s="66">
        <v>28.875</v>
      </c>
      <c r="C205" s="35">
        <v>89.1</v>
      </c>
      <c r="D205" s="5">
        <f t="shared" si="58"/>
        <v>2572.7624999999998</v>
      </c>
      <c r="E205" s="5">
        <v>65</v>
      </c>
      <c r="F205" s="5">
        <f>4*-2.247-SUM(F206:F208)</f>
        <v>-2.88</v>
      </c>
      <c r="G205" s="5">
        <f>4*-0.985-SUM(G206:G208)</f>
        <v>-0.35599999999999987</v>
      </c>
      <c r="H205" s="6">
        <f t="shared" si="59"/>
        <v>39.580961538461537</v>
      </c>
      <c r="I205" s="21" t="str">
        <f t="shared" si="60"/>
        <v>NM</v>
      </c>
      <c r="J205" s="22" t="str">
        <f t="shared" si="57"/>
        <v>nm</v>
      </c>
    </row>
    <row r="206" spans="1:10" x14ac:dyDescent="0.25">
      <c r="A206" s="13" t="s">
        <v>6</v>
      </c>
      <c r="B206" s="66">
        <v>32</v>
      </c>
      <c r="C206" s="35">
        <v>89.1</v>
      </c>
      <c r="D206" s="5">
        <f t="shared" si="58"/>
        <v>2851.2</v>
      </c>
      <c r="E206" s="5">
        <v>60</v>
      </c>
      <c r="F206" s="5">
        <f>4*-0.369</f>
        <v>-1.476</v>
      </c>
      <c r="G206" s="5">
        <f>4*-0.2</f>
        <v>-0.8</v>
      </c>
      <c r="H206" s="6">
        <f t="shared" si="59"/>
        <v>47.519999999999996</v>
      </c>
      <c r="I206" s="21" t="str">
        <f t="shared" si="60"/>
        <v>NM</v>
      </c>
      <c r="J206" s="22" t="str">
        <f t="shared" si="57"/>
        <v>nm</v>
      </c>
    </row>
    <row r="207" spans="1:10" x14ac:dyDescent="0.25">
      <c r="A207" s="13" t="s">
        <v>5</v>
      </c>
      <c r="B207" s="66">
        <v>30.875</v>
      </c>
      <c r="C207" s="35">
        <v>89.1</v>
      </c>
      <c r="D207" s="5">
        <f t="shared" si="58"/>
        <v>2750.9624999999996</v>
      </c>
      <c r="E207" s="5">
        <v>55</v>
      </c>
      <c r="F207" s="5">
        <f>4*-0.573</f>
        <v>-2.2919999999999998</v>
      </c>
      <c r="G207" s="5">
        <f>4*-0.348</f>
        <v>-1.3919999999999999</v>
      </c>
      <c r="H207" s="6">
        <f t="shared" si="59"/>
        <v>50.017499999999991</v>
      </c>
      <c r="I207" s="21" t="str">
        <f t="shared" si="60"/>
        <v>NM</v>
      </c>
      <c r="J207" s="22" t="str">
        <f t="shared" si="57"/>
        <v>nm</v>
      </c>
    </row>
    <row r="208" spans="1:10" x14ac:dyDescent="0.25">
      <c r="A208" s="13" t="s">
        <v>8</v>
      </c>
      <c r="B208" s="66">
        <v>27.5</v>
      </c>
      <c r="C208" s="35">
        <v>89.1</v>
      </c>
      <c r="D208" s="5">
        <f t="shared" si="58"/>
        <v>2450.25</v>
      </c>
      <c r="E208" s="5">
        <v>50</v>
      </c>
      <c r="F208" s="5">
        <f>4*-0.585</f>
        <v>-2.34</v>
      </c>
      <c r="G208" s="5">
        <f>4*-0.348</f>
        <v>-1.3919999999999999</v>
      </c>
      <c r="H208" s="6">
        <f t="shared" si="59"/>
        <v>49.005000000000003</v>
      </c>
      <c r="I208" s="21" t="str">
        <f t="shared" si="60"/>
        <v>NM</v>
      </c>
      <c r="J208" s="22" t="str">
        <f t="shared" si="57"/>
        <v>nm</v>
      </c>
    </row>
    <row r="209" spans="1:10" x14ac:dyDescent="0.25">
      <c r="A209" s="13" t="s">
        <v>9</v>
      </c>
      <c r="B209" s="66">
        <v>22.5</v>
      </c>
      <c r="C209" s="35">
        <v>89.1</v>
      </c>
      <c r="D209" s="5">
        <f t="shared" si="58"/>
        <v>2004.7499999999998</v>
      </c>
      <c r="E209" s="5">
        <v>45</v>
      </c>
      <c r="F209" s="5">
        <v>-0.1</v>
      </c>
      <c r="G209" s="5">
        <v>-0.1</v>
      </c>
      <c r="H209" s="6">
        <f t="shared" si="59"/>
        <v>44.55</v>
      </c>
      <c r="I209" s="21" t="str">
        <f t="shared" si="60"/>
        <v>NM</v>
      </c>
      <c r="J209" s="22" t="str">
        <f t="shared" si="57"/>
        <v>nm</v>
      </c>
    </row>
    <row r="210" spans="1:10" x14ac:dyDescent="0.25">
      <c r="A210" s="13" t="s">
        <v>10</v>
      </c>
      <c r="B210" s="66">
        <v>32.5625</v>
      </c>
      <c r="C210" s="35">
        <v>89.1</v>
      </c>
      <c r="D210" s="5">
        <f t="shared" si="58"/>
        <v>2901.3187499999999</v>
      </c>
      <c r="E210" s="5">
        <v>40</v>
      </c>
      <c r="F210" s="5">
        <v>-0.1</v>
      </c>
      <c r="G210" s="5">
        <v>-0.1</v>
      </c>
      <c r="H210" s="6">
        <f t="shared" si="59"/>
        <v>72.532968749999995</v>
      </c>
      <c r="I210" s="21" t="str">
        <f t="shared" si="60"/>
        <v>NM</v>
      </c>
      <c r="J210" s="22" t="str">
        <f t="shared" si="57"/>
        <v>nm</v>
      </c>
    </row>
    <row r="211" spans="1:10" ht="14.4" thickBot="1" x14ac:dyDescent="0.3">
      <c r="A211" s="13" t="s">
        <v>11</v>
      </c>
      <c r="B211" s="66">
        <v>37.832999999999998</v>
      </c>
      <c r="C211" s="35">
        <v>89.1</v>
      </c>
      <c r="D211" s="5">
        <f t="shared" si="58"/>
        <v>3370.9202999999998</v>
      </c>
      <c r="E211" s="5">
        <v>35</v>
      </c>
      <c r="F211" s="5">
        <v>-0.1</v>
      </c>
      <c r="G211" s="5">
        <v>-0.1</v>
      </c>
      <c r="H211" s="6">
        <f t="shared" si="59"/>
        <v>96.312008571428564</v>
      </c>
      <c r="I211" s="21" t="str">
        <f t="shared" si="60"/>
        <v>NM</v>
      </c>
      <c r="J211" s="22" t="str">
        <f t="shared" si="57"/>
        <v>nm</v>
      </c>
    </row>
    <row r="212" spans="1:10" ht="14.4" thickBot="1" x14ac:dyDescent="0.3">
      <c r="A212" s="30"/>
      <c r="B212" s="31"/>
      <c r="C212" s="31"/>
      <c r="D212" s="31"/>
      <c r="E212" s="31"/>
      <c r="F212" s="36">
        <f>SUM(F199:F211)/SUM(E199:E211)</f>
        <v>-0.56947712820609941</v>
      </c>
      <c r="G212" s="36">
        <f>SUM(G199:G211)/SUM(E199:E211)</f>
        <v>-0.63919810226374196</v>
      </c>
      <c r="H212" s="37">
        <f>AVERAGE(H199:H211)</f>
        <v>66.541542698503434</v>
      </c>
      <c r="I212" s="37" t="e">
        <f>AVERAGE(I199:I211)</f>
        <v>#DIV/0!</v>
      </c>
      <c r="J212" s="38" t="e">
        <f>AVERAGE(J199:J211)</f>
        <v>#DIV/0!</v>
      </c>
    </row>
    <row r="213" spans="1:10" ht="6.75" customHeight="1" thickBot="1" x14ac:dyDescent="0.3">
      <c r="A213" s="34"/>
      <c r="B213" s="34"/>
      <c r="C213" s="34"/>
      <c r="D213" s="34"/>
      <c r="E213" s="34"/>
      <c r="F213" s="179"/>
      <c r="G213" s="179"/>
      <c r="H213" s="172"/>
      <c r="I213" s="172"/>
      <c r="J213" s="172"/>
    </row>
    <row r="214" spans="1:10" s="231" customFormat="1" ht="18.600000000000001" thickBot="1" x14ac:dyDescent="0.4">
      <c r="A214" s="20" t="s">
        <v>207</v>
      </c>
      <c r="B214" s="229"/>
      <c r="C214" s="225"/>
      <c r="D214" s="225"/>
      <c r="E214" s="225"/>
      <c r="F214" s="225"/>
      <c r="G214" s="225"/>
      <c r="H214" s="229"/>
      <c r="I214" s="229"/>
      <c r="J214" s="230"/>
    </row>
    <row r="215" spans="1:10" x14ac:dyDescent="0.25">
      <c r="A215" s="13" t="s">
        <v>107</v>
      </c>
      <c r="B215" s="66">
        <v>22</v>
      </c>
      <c r="C215" s="35">
        <f>C216</f>
        <v>15.518000000000001</v>
      </c>
      <c r="D215" s="5">
        <f>B215*C215</f>
        <v>341.39600000000002</v>
      </c>
      <c r="E215" s="5">
        <f t="shared" ref="E215:G216" si="61">AVERAGE(E216:E219)</f>
        <v>197.29400000000004</v>
      </c>
      <c r="F215" s="5">
        <f t="shared" si="61"/>
        <v>18.554250000000003</v>
      </c>
      <c r="G215" s="5">
        <f t="shared" si="61"/>
        <v>7.2212499999999995</v>
      </c>
      <c r="H215" s="6">
        <f>D215/E215</f>
        <v>1.7303922065546846</v>
      </c>
      <c r="I215" s="21">
        <f>IF(F215&gt;0,D215/F215, "NM")</f>
        <v>18.399881428783161</v>
      </c>
      <c r="J215" s="22">
        <f t="shared" ref="J215:J230" si="62">IF(G215&gt;0,D215/G215, "nm")</f>
        <v>47.27657953955341</v>
      </c>
    </row>
    <row r="216" spans="1:10" x14ac:dyDescent="0.25">
      <c r="A216" s="13" t="s">
        <v>108</v>
      </c>
      <c r="B216" s="66">
        <v>23.02</v>
      </c>
      <c r="C216" s="35">
        <f>C217</f>
        <v>15.518000000000001</v>
      </c>
      <c r="D216" s="5">
        <f>B216*C216</f>
        <v>357.22435999999999</v>
      </c>
      <c r="E216" s="5">
        <f t="shared" si="61"/>
        <v>191.85200000000003</v>
      </c>
      <c r="F216" s="5">
        <f t="shared" si="61"/>
        <v>16.809000000000001</v>
      </c>
      <c r="G216" s="5">
        <f t="shared" si="61"/>
        <v>6.609</v>
      </c>
      <c r="H216" s="6">
        <f>D216/E216</f>
        <v>1.8619788170047742</v>
      </c>
      <c r="I216" s="21">
        <f>IF(F216&gt;0,D216/F216, "NM")</f>
        <v>21.251969778095066</v>
      </c>
      <c r="J216" s="22">
        <f t="shared" si="62"/>
        <v>54.051196852776513</v>
      </c>
    </row>
    <row r="217" spans="1:10" x14ac:dyDescent="0.25">
      <c r="A217" s="13" t="s">
        <v>109</v>
      </c>
      <c r="B217" s="66">
        <v>18.97</v>
      </c>
      <c r="C217" s="35">
        <v>15.518000000000001</v>
      </c>
      <c r="D217" s="5">
        <f>B217*C217</f>
        <v>294.37646000000001</v>
      </c>
      <c r="E217" s="5">
        <f>4*52.874</f>
        <v>211.49600000000001</v>
      </c>
      <c r="F217" s="5">
        <f>4*5.807</f>
        <v>23.228000000000002</v>
      </c>
      <c r="G217" s="5">
        <f>4*3.13</f>
        <v>12.52</v>
      </c>
      <c r="H217" s="6">
        <f>D217/E217</f>
        <v>1.3918771986231417</v>
      </c>
      <c r="I217" s="21">
        <f>IF(F217&gt;0,D217/F217, "NM")</f>
        <v>12.673345100740486</v>
      </c>
      <c r="J217" s="22">
        <f t="shared" si="62"/>
        <v>23.512496805111823</v>
      </c>
    </row>
    <row r="218" spans="1:10" x14ac:dyDescent="0.25">
      <c r="A218" s="13" t="s">
        <v>22</v>
      </c>
      <c r="B218" s="66">
        <v>11.875</v>
      </c>
      <c r="C218" s="35">
        <v>15.69</v>
      </c>
      <c r="D218" s="5">
        <f t="shared" ref="D218:D230" si="63">B218*C218</f>
        <v>186.31874999999999</v>
      </c>
      <c r="E218" s="5">
        <f>4*47.478</f>
        <v>189.91200000000001</v>
      </c>
      <c r="F218" s="5">
        <f>4*3.798</f>
        <v>15.192</v>
      </c>
      <c r="G218" s="5">
        <f>4*1.54</f>
        <v>6.16</v>
      </c>
      <c r="H218" s="6">
        <f t="shared" ref="H218:H230" si="64">D218/E218</f>
        <v>0.98107939466700356</v>
      </c>
      <c r="I218" s="21">
        <f>IF(F218&gt;0,D218/F218, "NM")</f>
        <v>12.26426737756714</v>
      </c>
      <c r="J218" s="22">
        <f t="shared" si="62"/>
        <v>30.246550324675322</v>
      </c>
    </row>
    <row r="219" spans="1:10" x14ac:dyDescent="0.25">
      <c r="A219" s="13" t="s">
        <v>0</v>
      </c>
      <c r="B219" s="66">
        <v>3.625</v>
      </c>
      <c r="C219" s="35">
        <f>(C218+C220)/2</f>
        <v>15.4635</v>
      </c>
      <c r="D219" s="5">
        <f t="shared" si="63"/>
        <v>56.055187500000002</v>
      </c>
      <c r="E219" s="5">
        <f>4*183.972-SUM(E220:E222)</f>
        <v>195.91600000000005</v>
      </c>
      <c r="F219" s="5">
        <f>4*11.319-SUM(F220:F222)</f>
        <v>18.988000000000007</v>
      </c>
      <c r="G219" s="5">
        <f>4*4.657-SUM(G220:G222)</f>
        <v>3.5960000000000001</v>
      </c>
      <c r="H219" s="6">
        <f t="shared" si="64"/>
        <v>0.28611847679617791</v>
      </c>
      <c r="I219" s="21">
        <f t="shared" ref="I219:I230" si="65">IF(F219&gt;0,D219/F219, "NM")</f>
        <v>2.9521375342321456</v>
      </c>
      <c r="J219" s="22">
        <f t="shared" si="62"/>
        <v>15.58820564516129</v>
      </c>
    </row>
    <row r="220" spans="1:10" x14ac:dyDescent="0.25">
      <c r="A220" s="13" t="s">
        <v>1</v>
      </c>
      <c r="B220" s="66">
        <v>6.125</v>
      </c>
      <c r="C220" s="35">
        <v>15.237</v>
      </c>
      <c r="D220" s="5">
        <f t="shared" si="63"/>
        <v>93.326625000000007</v>
      </c>
      <c r="E220" s="5">
        <f>4*42.521</f>
        <v>170.084</v>
      </c>
      <c r="F220" s="5">
        <f>4*2.457</f>
        <v>9.8279999999999994</v>
      </c>
      <c r="G220" s="5">
        <f>4*1.04</f>
        <v>4.16</v>
      </c>
      <c r="H220" s="6">
        <f t="shared" si="64"/>
        <v>0.54870902024881829</v>
      </c>
      <c r="I220" s="21">
        <f t="shared" si="65"/>
        <v>9.4959935897435912</v>
      </c>
      <c r="J220" s="22">
        <f t="shared" si="62"/>
        <v>22.434284855769231</v>
      </c>
    </row>
    <row r="221" spans="1:10" x14ac:dyDescent="0.25">
      <c r="A221" s="13" t="s">
        <v>2</v>
      </c>
      <c r="B221" s="66">
        <v>8.25</v>
      </c>
      <c r="C221" s="35">
        <v>15.5</v>
      </c>
      <c r="D221" s="5">
        <f t="shared" si="63"/>
        <v>127.875</v>
      </c>
      <c r="E221" s="5">
        <f>4*44.814</f>
        <v>179.256</v>
      </c>
      <c r="F221" s="5">
        <f>4*2.131</f>
        <v>8.5239999999999991</v>
      </c>
      <c r="G221" s="5">
        <f>4*0.886</f>
        <v>3.544</v>
      </c>
      <c r="H221" s="6">
        <f t="shared" si="64"/>
        <v>0.71336524300441828</v>
      </c>
      <c r="I221" s="21">
        <f t="shared" si="65"/>
        <v>15.001759737212577</v>
      </c>
      <c r="J221" s="22">
        <f t="shared" si="62"/>
        <v>36.082110609480814</v>
      </c>
    </row>
    <row r="222" spans="1:10" x14ac:dyDescent="0.25">
      <c r="A222" s="13" t="s">
        <v>3</v>
      </c>
      <c r="B222" s="66">
        <v>6.9375</v>
      </c>
      <c r="C222" s="35">
        <v>15.378</v>
      </c>
      <c r="D222" s="5">
        <f t="shared" si="63"/>
        <v>106.68487500000001</v>
      </c>
      <c r="E222" s="5">
        <f>4*47.658</f>
        <v>190.63200000000001</v>
      </c>
      <c r="F222" s="5">
        <f>4*1.984</f>
        <v>7.9359999999999999</v>
      </c>
      <c r="G222" s="5">
        <f>4*1.832</f>
        <v>7.3280000000000003</v>
      </c>
      <c r="H222" s="6">
        <f t="shared" si="64"/>
        <v>0.55963781002140256</v>
      </c>
      <c r="I222" s="21">
        <f t="shared" si="65"/>
        <v>13.443154611895162</v>
      </c>
      <c r="J222" s="22">
        <f t="shared" si="62"/>
        <v>14.558525518558952</v>
      </c>
    </row>
    <row r="223" spans="1:10" x14ac:dyDescent="0.25">
      <c r="A223" s="13" t="s">
        <v>4</v>
      </c>
      <c r="B223" s="66">
        <v>6.125</v>
      </c>
      <c r="C223" s="35">
        <f>(C222+C224)/2</f>
        <v>15.131499999999999</v>
      </c>
      <c r="D223" s="5">
        <f t="shared" si="63"/>
        <v>92.680437499999996</v>
      </c>
      <c r="E223" s="5">
        <f>4*193.412-SUM(E224:E226)</f>
        <v>166.81200000000001</v>
      </c>
      <c r="F223" s="5">
        <f>(4*-93.405)-SUM(F224:F226)</f>
        <v>-349.464</v>
      </c>
      <c r="G223" s="5">
        <f>(4*-68.596)-SUM(G224:G226)</f>
        <v>-258.3</v>
      </c>
      <c r="H223" s="6">
        <f t="shared" si="64"/>
        <v>0.55559814341893865</v>
      </c>
      <c r="I223" s="21" t="str">
        <f t="shared" si="65"/>
        <v>NM</v>
      </c>
      <c r="J223" s="22" t="str">
        <f t="shared" si="62"/>
        <v>nm</v>
      </c>
    </row>
    <row r="224" spans="1:10" x14ac:dyDescent="0.25">
      <c r="A224" s="13" t="s">
        <v>7</v>
      </c>
      <c r="B224" s="66">
        <v>5.875</v>
      </c>
      <c r="C224" s="35">
        <v>14.885</v>
      </c>
      <c r="D224" s="5">
        <f t="shared" si="63"/>
        <v>87.449375000000003</v>
      </c>
      <c r="E224" s="5">
        <f>4*48.543</f>
        <v>194.172</v>
      </c>
      <c r="F224" s="5">
        <f>4*-7.004</f>
        <v>-28.015999999999998</v>
      </c>
      <c r="G224" s="5">
        <f>4*-5.868</f>
        <v>-23.472000000000001</v>
      </c>
      <c r="H224" s="6">
        <f t="shared" si="64"/>
        <v>0.45037067651360652</v>
      </c>
      <c r="I224" s="21" t="str">
        <f t="shared" si="65"/>
        <v>NM</v>
      </c>
      <c r="J224" s="22" t="str">
        <f t="shared" si="62"/>
        <v>nm</v>
      </c>
    </row>
    <row r="225" spans="1:10" x14ac:dyDescent="0.25">
      <c r="A225" s="13" t="s">
        <v>6</v>
      </c>
      <c r="B225" s="66">
        <v>8.5625</v>
      </c>
      <c r="C225" s="35">
        <v>14.805999999999999</v>
      </c>
      <c r="D225" s="5">
        <f t="shared" si="63"/>
        <v>126.77637499999999</v>
      </c>
      <c r="E225" s="5">
        <f>4*51.221</f>
        <v>204.88399999999999</v>
      </c>
      <c r="F225" s="5">
        <f>4*-0.664</f>
        <v>-2.6560000000000001</v>
      </c>
      <c r="G225" s="5">
        <f>4*-1.582</f>
        <v>-6.3280000000000003</v>
      </c>
      <c r="H225" s="6">
        <f t="shared" si="64"/>
        <v>0.61877147556666212</v>
      </c>
      <c r="I225" s="21" t="str">
        <f t="shared" si="65"/>
        <v>NM</v>
      </c>
      <c r="J225" s="22" t="str">
        <f t="shared" si="62"/>
        <v>nm</v>
      </c>
    </row>
    <row r="226" spans="1:10" x14ac:dyDescent="0.25">
      <c r="A226" s="13" t="s">
        <v>5</v>
      </c>
      <c r="B226" s="66">
        <v>9.375</v>
      </c>
      <c r="C226" s="35">
        <v>15.311999999999999</v>
      </c>
      <c r="D226" s="5">
        <f t="shared" si="63"/>
        <v>143.54999999999998</v>
      </c>
      <c r="E226" s="5">
        <f>4*51.945</f>
        <v>207.78</v>
      </c>
      <c r="F226" s="5">
        <f>4*1.629</f>
        <v>6.516</v>
      </c>
      <c r="G226" s="5">
        <f>4*3.429</f>
        <v>13.715999999999999</v>
      </c>
      <c r="H226" s="6">
        <f t="shared" si="64"/>
        <v>0.69087496390412928</v>
      </c>
      <c r="I226" s="21">
        <f t="shared" si="65"/>
        <v>22.03038674033149</v>
      </c>
      <c r="J226" s="22">
        <f t="shared" si="62"/>
        <v>10.465879265091862</v>
      </c>
    </row>
    <row r="227" spans="1:10" x14ac:dyDescent="0.25">
      <c r="A227" s="13" t="s">
        <v>8</v>
      </c>
      <c r="B227" s="66">
        <v>7.1875</v>
      </c>
      <c r="C227" s="35">
        <f>(C226+C228)/2</f>
        <v>14.987500000000001</v>
      </c>
      <c r="D227" s="5">
        <f t="shared" si="63"/>
        <v>107.72265625</v>
      </c>
      <c r="E227" s="5">
        <f>4*241.402-SUM(E228:E230)</f>
        <v>248.34399999999994</v>
      </c>
      <c r="F227" s="5">
        <f>4*-2.383-SUM(F228:F230)</f>
        <v>11.335999999999999</v>
      </c>
      <c r="G227" s="5">
        <f>4*-6.225-SUM(G228:G230)</f>
        <v>2.5080000000000062</v>
      </c>
      <c r="H227" s="6">
        <f t="shared" si="64"/>
        <v>0.43376387692072299</v>
      </c>
      <c r="I227" s="21">
        <f t="shared" si="65"/>
        <v>9.5027043269230784</v>
      </c>
      <c r="J227" s="22">
        <f t="shared" si="62"/>
        <v>42.951617324561298</v>
      </c>
    </row>
    <row r="228" spans="1:10" x14ac:dyDescent="0.25">
      <c r="A228" s="13" t="s">
        <v>9</v>
      </c>
      <c r="B228" s="66">
        <v>6.625</v>
      </c>
      <c r="C228" s="35">
        <v>14.663</v>
      </c>
      <c r="D228" s="5">
        <f t="shared" si="63"/>
        <v>97.142375000000001</v>
      </c>
      <c r="E228" s="5">
        <f>4*54.839</f>
        <v>219.35599999999999</v>
      </c>
      <c r="F228" s="5">
        <f>4*-7.007</f>
        <v>-28.027999999999999</v>
      </c>
      <c r="G228" s="5">
        <f>4*-5.929</f>
        <v>-23.716000000000001</v>
      </c>
      <c r="H228" s="6">
        <f t="shared" si="64"/>
        <v>0.44285260033917467</v>
      </c>
      <c r="I228" s="21" t="str">
        <f t="shared" si="65"/>
        <v>NM</v>
      </c>
      <c r="J228" s="22" t="str">
        <f t="shared" si="62"/>
        <v>nm</v>
      </c>
    </row>
    <row r="229" spans="1:10" x14ac:dyDescent="0.25">
      <c r="A229" s="13" t="s">
        <v>10</v>
      </c>
      <c r="B229" s="66">
        <v>12.75</v>
      </c>
      <c r="C229" s="35">
        <v>14.686</v>
      </c>
      <c r="D229" s="5">
        <f t="shared" si="63"/>
        <v>187.2465</v>
      </c>
      <c r="E229" s="5">
        <f>4*60.769</f>
        <v>243.07599999999999</v>
      </c>
      <c r="F229" s="5">
        <f>4*0.12</f>
        <v>0.48</v>
      </c>
      <c r="G229" s="5">
        <f>4*-1.076</f>
        <v>-4.3040000000000003</v>
      </c>
      <c r="H229" s="6">
        <f t="shared" si="64"/>
        <v>0.77032080501571532</v>
      </c>
      <c r="I229" s="21">
        <f t="shared" si="65"/>
        <v>390.09687500000001</v>
      </c>
      <c r="J229" s="22" t="str">
        <f t="shared" si="62"/>
        <v>nm</v>
      </c>
    </row>
    <row r="230" spans="1:10" ht="14.4" thickBot="1" x14ac:dyDescent="0.3">
      <c r="A230" s="13" t="s">
        <v>11</v>
      </c>
      <c r="B230" s="66">
        <v>19.434999999999999</v>
      </c>
      <c r="C230" s="35">
        <v>14.852</v>
      </c>
      <c r="D230" s="5">
        <f t="shared" si="63"/>
        <v>288.64861999999999</v>
      </c>
      <c r="E230" s="5">
        <f>4*63.708</f>
        <v>254.83199999999999</v>
      </c>
      <c r="F230" s="5">
        <f>4*1.67</f>
        <v>6.68</v>
      </c>
      <c r="G230" s="5">
        <f>4*0.153</f>
        <v>0.61199999999999999</v>
      </c>
      <c r="H230" s="6">
        <f t="shared" si="64"/>
        <v>1.1327016230300748</v>
      </c>
      <c r="I230" s="21">
        <f t="shared" si="65"/>
        <v>43.210871257485032</v>
      </c>
      <c r="J230" s="22">
        <f t="shared" si="62"/>
        <v>471.64807189542483</v>
      </c>
    </row>
    <row r="231" spans="1:10" ht="14.4" thickBot="1" x14ac:dyDescent="0.3">
      <c r="A231" s="30"/>
      <c r="B231" s="31"/>
      <c r="C231" s="31"/>
      <c r="D231" s="31"/>
      <c r="E231" s="31"/>
      <c r="F231" s="36">
        <f>SUM(F218:F230)/SUM(E218:E230)</f>
        <v>-0.12107963209778705</v>
      </c>
      <c r="G231" s="36">
        <f>SUM(G218:G230)/SUM(E218:E230)</f>
        <v>-0.10299821091939526</v>
      </c>
      <c r="H231" s="37">
        <f>AVERAGE(H218:H230)</f>
        <v>0.62955108534206505</v>
      </c>
      <c r="I231" s="37">
        <f>AVERAGE(I218:I230)</f>
        <v>57.555350019487804</v>
      </c>
      <c r="J231" s="38">
        <f>AVERAGE(J218:J230)</f>
        <v>80.496905679840452</v>
      </c>
    </row>
  </sheetData>
  <mergeCells count="1">
    <mergeCell ref="H1:J1"/>
  </mergeCells>
  <phoneticPr fontId="0" type="noConversion"/>
  <printOptions horizontalCentered="1"/>
  <pageMargins left="0.5" right="0.5" top="0.75" bottom="0.65" header="0.5" footer="0.5"/>
  <pageSetup scale="60" orientation="landscape" horizontalDpi="1200" verticalDpi="1200" r:id="rId1"/>
  <headerFooter alignWithMargins="0">
    <oddHeader>&amp;C&amp;"Times New Roman,Bold"&amp;24PUBLIC COMPANY COMPARABLES</oddHeader>
    <oddFooter>&amp;CPage &amp;P of &amp;N&amp;R&amp;D</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election activeCell="H11" sqref="H11:J11"/>
    </sheetView>
  </sheetViews>
  <sheetFormatPr defaultRowHeight="13.8" x14ac:dyDescent="0.25"/>
  <cols>
    <col min="4" max="4" width="12" customWidth="1"/>
  </cols>
  <sheetData>
    <row r="1" spans="1:10" x14ac:dyDescent="0.25">
      <c r="B1" s="15" t="s">
        <v>12</v>
      </c>
      <c r="C1" s="15" t="s">
        <v>14</v>
      </c>
      <c r="D1" s="15" t="s">
        <v>16</v>
      </c>
      <c r="E1" s="15" t="s">
        <v>18</v>
      </c>
      <c r="F1" s="15" t="s">
        <v>21</v>
      </c>
      <c r="G1" s="15" t="s">
        <v>20</v>
      </c>
      <c r="H1" s="261" t="s">
        <v>25</v>
      </c>
      <c r="I1" s="259"/>
      <c r="J1" s="260"/>
    </row>
    <row r="2" spans="1:10" x14ac:dyDescent="0.25">
      <c r="B2" s="15" t="s">
        <v>13</v>
      </c>
      <c r="C2" s="15" t="s">
        <v>15</v>
      </c>
      <c r="D2" s="15" t="s">
        <v>17</v>
      </c>
      <c r="E2" s="15" t="s">
        <v>19</v>
      </c>
      <c r="F2" s="15" t="s">
        <v>19</v>
      </c>
      <c r="G2" s="15" t="s">
        <v>19</v>
      </c>
      <c r="H2" s="15" t="s">
        <v>26</v>
      </c>
      <c r="I2" s="15" t="s">
        <v>21</v>
      </c>
      <c r="J2" s="15" t="s">
        <v>32</v>
      </c>
    </row>
    <row r="3" spans="1:10" ht="14.4" thickBot="1" x14ac:dyDescent="0.3">
      <c r="B3" s="15"/>
      <c r="C3" s="15" t="s">
        <v>24</v>
      </c>
      <c r="D3" s="15" t="s">
        <v>23</v>
      </c>
      <c r="E3" s="15" t="s">
        <v>23</v>
      </c>
      <c r="F3" s="15" t="s">
        <v>23</v>
      </c>
      <c r="G3" s="15" t="s">
        <v>23</v>
      </c>
      <c r="H3" s="2"/>
      <c r="I3" s="2"/>
      <c r="J3" s="2"/>
    </row>
    <row r="4" spans="1:10" ht="16.2" thickBot="1" x14ac:dyDescent="0.35">
      <c r="A4" s="16" t="s">
        <v>29</v>
      </c>
      <c r="B4" s="17"/>
      <c r="C4" s="18"/>
      <c r="D4" s="18"/>
      <c r="E4" s="18"/>
      <c r="F4" s="18"/>
      <c r="G4" s="18"/>
      <c r="H4" s="17"/>
      <c r="I4" s="17"/>
      <c r="J4" s="19"/>
    </row>
    <row r="5" spans="1:10" x14ac:dyDescent="0.25">
      <c r="A5" s="13" t="s">
        <v>22</v>
      </c>
      <c r="B5" s="3">
        <v>9.375E-2</v>
      </c>
      <c r="C5" s="4">
        <v>16</v>
      </c>
      <c r="D5" s="5">
        <f t="shared" ref="D5:D11" si="0">B5*C5</f>
        <v>1.5</v>
      </c>
      <c r="E5" s="5"/>
      <c r="F5" s="5"/>
      <c r="G5" s="5"/>
      <c r="H5" s="6"/>
      <c r="I5" s="6"/>
      <c r="J5" s="7"/>
    </row>
    <row r="6" spans="1:10" x14ac:dyDescent="0.25">
      <c r="A6" s="13" t="s">
        <v>0</v>
      </c>
      <c r="B6" s="3">
        <v>0.1875</v>
      </c>
      <c r="C6" s="4">
        <v>16</v>
      </c>
      <c r="D6" s="5">
        <f t="shared" si="0"/>
        <v>3</v>
      </c>
      <c r="E6" s="5">
        <f>4*6.391782</f>
        <v>25.567128</v>
      </c>
      <c r="F6" s="5">
        <f>4*-21.31701</f>
        <v>-85.268039999999999</v>
      </c>
      <c r="G6" s="5">
        <f>4*-22.802932</f>
        <v>-91.211727999999994</v>
      </c>
      <c r="H6" s="6">
        <f t="shared" ref="H6:H18" si="1">D6/E6</f>
        <v>0.11733816954332923</v>
      </c>
      <c r="I6" s="21" t="str">
        <f t="shared" ref="I6:I18" si="2">IF(F6&gt;0,D6/F6,"N/A")</f>
        <v>N/A</v>
      </c>
      <c r="J6" s="22" t="str">
        <f t="shared" ref="J6:J18" si="3">IF(G6&gt;0,D6/G6,"N/A")</f>
        <v>N/A</v>
      </c>
    </row>
    <row r="7" spans="1:10" x14ac:dyDescent="0.25">
      <c r="A7" s="13" t="s">
        <v>1</v>
      </c>
      <c r="B7" s="3">
        <v>1</v>
      </c>
      <c r="C7" s="4">
        <v>16</v>
      </c>
      <c r="D7" s="5">
        <f t="shared" si="0"/>
        <v>16</v>
      </c>
      <c r="E7" s="5">
        <f>4*6.391782</f>
        <v>25.567128</v>
      </c>
      <c r="F7" s="5">
        <f>4*-21.31701</f>
        <v>-85.268039999999999</v>
      </c>
      <c r="G7" s="5">
        <f>4*-22.802932</f>
        <v>-91.211727999999994</v>
      </c>
      <c r="H7" s="6">
        <f t="shared" si="1"/>
        <v>0.62580357089775585</v>
      </c>
      <c r="I7" s="21" t="str">
        <f t="shared" si="2"/>
        <v>N/A</v>
      </c>
      <c r="J7" s="22" t="str">
        <f t="shared" si="3"/>
        <v>N/A</v>
      </c>
    </row>
    <row r="8" spans="1:10" x14ac:dyDescent="0.25">
      <c r="A8" s="13" t="s">
        <v>2</v>
      </c>
      <c r="B8" s="3">
        <v>1.375</v>
      </c>
      <c r="C8" s="4">
        <v>16</v>
      </c>
      <c r="D8" s="5">
        <f t="shared" si="0"/>
        <v>22</v>
      </c>
      <c r="E8" s="5">
        <f>4*5.557039</f>
        <v>22.228155999999998</v>
      </c>
      <c r="F8" s="5">
        <f>4*-18.533088</f>
        <v>-74.132351999999997</v>
      </c>
      <c r="G8" s="5">
        <f>4*-20.01901</f>
        <v>-80.076040000000006</v>
      </c>
      <c r="H8" s="6">
        <f t="shared" si="1"/>
        <v>0.98973572076784067</v>
      </c>
      <c r="I8" s="21" t="str">
        <f t="shared" si="2"/>
        <v>N/A</v>
      </c>
      <c r="J8" s="22" t="str">
        <f t="shared" si="3"/>
        <v>N/A</v>
      </c>
    </row>
    <row r="9" spans="1:10" x14ac:dyDescent="0.25">
      <c r="A9" s="13" t="s">
        <v>3</v>
      </c>
      <c r="B9" s="3">
        <v>4.5</v>
      </c>
      <c r="C9" s="4">
        <v>16</v>
      </c>
      <c r="D9" s="5">
        <f t="shared" si="0"/>
        <v>72</v>
      </c>
      <c r="E9" s="5">
        <f>4*4.722296</f>
        <v>18.889184</v>
      </c>
      <c r="F9" s="5">
        <f>4*-16.205097</f>
        <v>-64.820387999999994</v>
      </c>
      <c r="G9" s="5">
        <f>4*-18.078589</f>
        <v>-72.314356000000004</v>
      </c>
      <c r="H9" s="6">
        <f t="shared" si="1"/>
        <v>3.8117051535947768</v>
      </c>
      <c r="I9" s="21" t="str">
        <f t="shared" si="2"/>
        <v>N/A</v>
      </c>
      <c r="J9" s="22" t="str">
        <f t="shared" si="3"/>
        <v>N/A</v>
      </c>
    </row>
    <row r="10" spans="1:10" x14ac:dyDescent="0.25">
      <c r="A10" s="13" t="s">
        <v>4</v>
      </c>
      <c r="B10" s="3">
        <v>8.1875</v>
      </c>
      <c r="C10" s="4">
        <v>16</v>
      </c>
      <c r="D10" s="5">
        <f t="shared" si="0"/>
        <v>131</v>
      </c>
      <c r="E10" s="5">
        <f>4*3.829295</f>
        <v>15.31718</v>
      </c>
      <c r="F10" s="5">
        <f>4*-13.410671</f>
        <v>-53.642684000000003</v>
      </c>
      <c r="G10" s="5">
        <f>4*-15.389417</f>
        <v>-61.557668</v>
      </c>
      <c r="H10" s="6">
        <f t="shared" si="1"/>
        <v>8.5524881211815753</v>
      </c>
      <c r="I10" s="21" t="str">
        <f t="shared" si="2"/>
        <v>N/A</v>
      </c>
      <c r="J10" s="22" t="str">
        <f t="shared" si="3"/>
        <v>N/A</v>
      </c>
    </row>
    <row r="11" spans="1:10" x14ac:dyDescent="0.25">
      <c r="A11" s="13" t="s">
        <v>28</v>
      </c>
      <c r="B11" s="3">
        <v>18</v>
      </c>
      <c r="C11" s="4">
        <v>16</v>
      </c>
      <c r="D11" s="5">
        <f t="shared" si="0"/>
        <v>288</v>
      </c>
      <c r="E11" s="5">
        <f>4*3.380691</f>
        <v>13.522764</v>
      </c>
      <c r="F11" s="5">
        <f>4*-11.854727</f>
        <v>-47.418908000000002</v>
      </c>
      <c r="G11" s="5">
        <f>4*-14.322956</f>
        <v>-57.291823999999998</v>
      </c>
      <c r="H11" s="6">
        <f t="shared" si="1"/>
        <v>21.29742114851668</v>
      </c>
      <c r="I11" s="21" t="str">
        <f t="shared" si="2"/>
        <v>N/A</v>
      </c>
      <c r="J11" s="22" t="str">
        <f t="shared" si="3"/>
        <v>N/A</v>
      </c>
    </row>
    <row r="12" spans="1:10" x14ac:dyDescent="0.25">
      <c r="A12" s="13" t="s">
        <v>7</v>
      </c>
      <c r="B12" s="3"/>
      <c r="C12" s="4"/>
      <c r="D12" s="5"/>
      <c r="E12" s="5">
        <f>4*3.380691</f>
        <v>13.522764</v>
      </c>
      <c r="F12" s="5">
        <f>4*-11.854727</f>
        <v>-47.418908000000002</v>
      </c>
      <c r="G12" s="5">
        <f>4*-14.322956</f>
        <v>-57.291823999999998</v>
      </c>
      <c r="H12" s="6">
        <f t="shared" si="1"/>
        <v>0</v>
      </c>
      <c r="I12" s="21" t="str">
        <f t="shared" si="2"/>
        <v>N/A</v>
      </c>
      <c r="J12" s="22" t="str">
        <f t="shared" si="3"/>
        <v>N/A</v>
      </c>
    </row>
    <row r="13" spans="1:10" x14ac:dyDescent="0.25">
      <c r="A13" s="13" t="s">
        <v>6</v>
      </c>
      <c r="B13" s="3"/>
      <c r="C13" s="4"/>
      <c r="D13" s="5"/>
      <c r="E13" s="5">
        <f>4*2.455917</f>
        <v>9.8236679999999996</v>
      </c>
      <c r="F13" s="5">
        <f>4*-12.982575</f>
        <v>-51.930300000000003</v>
      </c>
      <c r="G13" s="5">
        <f>4*-14.996354</f>
        <v>-59.985416000000001</v>
      </c>
      <c r="H13" s="6">
        <f t="shared" si="1"/>
        <v>0</v>
      </c>
      <c r="I13" s="21" t="str">
        <f t="shared" si="2"/>
        <v>N/A</v>
      </c>
      <c r="J13" s="22" t="str">
        <f t="shared" si="3"/>
        <v>N/A</v>
      </c>
    </row>
    <row r="14" spans="1:10" x14ac:dyDescent="0.25">
      <c r="A14" s="13" t="s">
        <v>5</v>
      </c>
      <c r="B14" s="3"/>
      <c r="C14" s="4"/>
      <c r="D14" s="5"/>
      <c r="E14" s="5">
        <f>4*2.287604</f>
        <v>9.1504159999999999</v>
      </c>
      <c r="F14" s="5">
        <f>4*-6.985124</f>
        <v>-27.940496</v>
      </c>
      <c r="G14" s="5">
        <f>-4*9.202242</f>
        <v>-36.808968</v>
      </c>
      <c r="H14" s="6">
        <f t="shared" si="1"/>
        <v>0</v>
      </c>
      <c r="I14" s="21" t="str">
        <f t="shared" si="2"/>
        <v>N/A</v>
      </c>
      <c r="J14" s="22" t="str">
        <f t="shared" si="3"/>
        <v>N/A</v>
      </c>
    </row>
    <row r="15" spans="1:10" x14ac:dyDescent="0.25">
      <c r="A15" s="13" t="s">
        <v>8</v>
      </c>
      <c r="B15" s="3"/>
      <c r="C15" s="4"/>
      <c r="D15" s="5"/>
      <c r="E15" s="5">
        <v>7.6</v>
      </c>
      <c r="F15" s="5">
        <v>-26</v>
      </c>
      <c r="G15" s="5">
        <v>-32</v>
      </c>
      <c r="H15" s="6">
        <f t="shared" si="1"/>
        <v>0</v>
      </c>
      <c r="I15" s="21" t="str">
        <f t="shared" si="2"/>
        <v>N/A</v>
      </c>
      <c r="J15" s="22" t="str">
        <f t="shared" si="3"/>
        <v>N/A</v>
      </c>
    </row>
    <row r="16" spans="1:10" x14ac:dyDescent="0.25">
      <c r="A16" s="13" t="s">
        <v>9</v>
      </c>
      <c r="B16" s="3"/>
      <c r="C16" s="4"/>
      <c r="D16" s="5"/>
      <c r="E16" s="5">
        <v>5.6</v>
      </c>
      <c r="F16" s="5">
        <v>-21.5</v>
      </c>
      <c r="G16" s="5">
        <v>-30.3</v>
      </c>
      <c r="H16" s="6">
        <f t="shared" si="1"/>
        <v>0</v>
      </c>
      <c r="I16" s="21" t="str">
        <f t="shared" si="2"/>
        <v>N/A</v>
      </c>
      <c r="J16" s="22" t="str">
        <f t="shared" si="3"/>
        <v>N/A</v>
      </c>
    </row>
    <row r="17" spans="1:10" x14ac:dyDescent="0.25">
      <c r="A17" s="13" t="s">
        <v>10</v>
      </c>
      <c r="B17" s="3"/>
      <c r="C17" s="4"/>
      <c r="D17" s="5"/>
      <c r="E17" s="5">
        <v>3.2</v>
      </c>
      <c r="F17" s="5">
        <v>-20</v>
      </c>
      <c r="G17" s="5">
        <v>-16</v>
      </c>
      <c r="H17" s="6">
        <f t="shared" si="1"/>
        <v>0</v>
      </c>
      <c r="I17" s="21" t="str">
        <f t="shared" si="2"/>
        <v>N/A</v>
      </c>
      <c r="J17" s="22" t="str">
        <f t="shared" si="3"/>
        <v>N/A</v>
      </c>
    </row>
    <row r="18" spans="1:10" ht="14.4" thickBot="1" x14ac:dyDescent="0.3">
      <c r="A18" s="14" t="s">
        <v>11</v>
      </c>
      <c r="B18" s="8"/>
      <c r="C18" s="9"/>
      <c r="D18" s="10"/>
      <c r="E18" s="10">
        <v>2.8</v>
      </c>
      <c r="F18" s="10">
        <v>-16</v>
      </c>
      <c r="G18" s="10">
        <v>-14</v>
      </c>
      <c r="H18" s="11">
        <f t="shared" si="1"/>
        <v>0</v>
      </c>
      <c r="I18" s="23" t="str">
        <f t="shared" si="2"/>
        <v>N/A</v>
      </c>
      <c r="J18" s="24" t="str">
        <f t="shared" si="3"/>
        <v>N/A</v>
      </c>
    </row>
  </sheetData>
  <mergeCells count="1">
    <mergeCell ref="H1:J1"/>
  </mergeCells>
  <phoneticPr fontId="0"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6"/>
  <sheetViews>
    <sheetView workbookViewId="0">
      <selection activeCell="C20" sqref="C20"/>
    </sheetView>
  </sheetViews>
  <sheetFormatPr defaultRowHeight="13.8" x14ac:dyDescent="0.25"/>
  <cols>
    <col min="1" max="1" width="3.109375" customWidth="1"/>
    <col min="2" max="2" width="43.109375" customWidth="1"/>
    <col min="3" max="3" width="15.44140625" customWidth="1"/>
    <col min="4" max="4" width="9.33203125" customWidth="1"/>
    <col min="5" max="5" width="2.5546875" customWidth="1"/>
    <col min="6" max="6" width="14.33203125" customWidth="1"/>
  </cols>
  <sheetData>
    <row r="2" spans="1:7" ht="22.8" x14ac:dyDescent="0.4">
      <c r="A2" s="262" t="s">
        <v>234</v>
      </c>
      <c r="B2" s="262"/>
      <c r="C2" s="262"/>
      <c r="D2" s="262"/>
      <c r="E2" s="262"/>
      <c r="F2" s="262"/>
      <c r="G2" s="262"/>
    </row>
    <row r="4" spans="1:7" ht="15.6" x14ac:dyDescent="0.3">
      <c r="C4" s="263" t="s">
        <v>114</v>
      </c>
      <c r="D4" s="263"/>
      <c r="E4" s="95"/>
      <c r="F4" s="263" t="s">
        <v>115</v>
      </c>
      <c r="G4" s="263"/>
    </row>
    <row r="5" spans="1:7" ht="15.6" x14ac:dyDescent="0.3">
      <c r="A5" s="2" t="s">
        <v>131</v>
      </c>
      <c r="C5" s="116"/>
      <c r="D5" s="116"/>
      <c r="E5" s="95"/>
      <c r="F5" s="116"/>
      <c r="G5" s="116"/>
    </row>
    <row r="6" spans="1:7" ht="15.6" x14ac:dyDescent="0.3">
      <c r="B6" s="96" t="s">
        <v>133</v>
      </c>
      <c r="C6" s="105">
        <f>AVERAGE(Overview!E36:E38)*1000000</f>
        <v>1789419921.0323327</v>
      </c>
      <c r="D6" s="97"/>
      <c r="E6" s="97"/>
    </row>
    <row r="7" spans="1:7" ht="15.6" x14ac:dyDescent="0.3">
      <c r="B7" s="96" t="s">
        <v>82</v>
      </c>
      <c r="C7" s="105"/>
      <c r="D7" s="97"/>
      <c r="E7" s="97"/>
    </row>
    <row r="8" spans="1:7" ht="15.6" x14ac:dyDescent="0.3">
      <c r="B8" s="96" t="s">
        <v>62</v>
      </c>
      <c r="C8" s="106"/>
      <c r="D8" s="98"/>
      <c r="E8" s="98"/>
    </row>
    <row r="9" spans="1:7" ht="15.6" x14ac:dyDescent="0.3">
      <c r="B9" s="108" t="s">
        <v>116</v>
      </c>
      <c r="C9" s="107">
        <v>120000000</v>
      </c>
      <c r="D9" s="97"/>
      <c r="E9" s="97"/>
    </row>
    <row r="10" spans="1:7" ht="15.6" x14ac:dyDescent="0.3">
      <c r="B10" s="96"/>
      <c r="C10" s="105"/>
      <c r="D10" s="97"/>
      <c r="E10" s="97"/>
    </row>
    <row r="11" spans="1:7" ht="15.6" x14ac:dyDescent="0.3">
      <c r="B11" s="96" t="s">
        <v>48</v>
      </c>
      <c r="C11" s="115">
        <v>0.25</v>
      </c>
      <c r="D11" s="99"/>
      <c r="E11" s="99"/>
    </row>
    <row r="12" spans="1:7" ht="15.6" x14ac:dyDescent="0.3">
      <c r="B12" s="96" t="s">
        <v>117</v>
      </c>
      <c r="F12" s="106">
        <v>2500000</v>
      </c>
    </row>
    <row r="13" spans="1:7" ht="15.6" x14ac:dyDescent="0.3">
      <c r="B13" s="96" t="s">
        <v>118</v>
      </c>
      <c r="C13" s="107">
        <f>C9*(1-C11)</f>
        <v>90000000</v>
      </c>
      <c r="D13" s="100"/>
      <c r="E13" s="100"/>
      <c r="F13" s="107">
        <f>F12+C13</f>
        <v>92500000</v>
      </c>
    </row>
    <row r="14" spans="1:7" ht="15.6" x14ac:dyDescent="0.3">
      <c r="B14" s="96"/>
      <c r="C14" s="107"/>
      <c r="D14" s="100"/>
      <c r="E14" s="100"/>
      <c r="F14" s="107"/>
    </row>
    <row r="15" spans="1:7" ht="15.6" x14ac:dyDescent="0.3">
      <c r="A15" s="2" t="s">
        <v>128</v>
      </c>
      <c r="B15" s="96"/>
      <c r="C15" s="100"/>
      <c r="D15" s="100"/>
      <c r="E15" s="100"/>
      <c r="F15" s="100"/>
    </row>
    <row r="16" spans="1:7" ht="15.6" x14ac:dyDescent="0.3">
      <c r="B16" s="96" t="s">
        <v>122</v>
      </c>
      <c r="C16" s="112">
        <v>36000000</v>
      </c>
      <c r="D16" s="110">
        <f t="shared" ref="D16:D21" si="0">C16/$C$25</f>
        <v>0.76089667445881226</v>
      </c>
      <c r="E16" s="100"/>
      <c r="F16" s="112">
        <f>C16</f>
        <v>36000000</v>
      </c>
      <c r="G16" s="110">
        <f t="shared" ref="G16:G25" si="1">F16/$F$25</f>
        <v>0.74033189947343891</v>
      </c>
    </row>
    <row r="17" spans="2:7" ht="15.6" x14ac:dyDescent="0.3">
      <c r="B17" s="96" t="s">
        <v>123</v>
      </c>
      <c r="C17" s="112">
        <v>3410000</v>
      </c>
      <c r="D17" s="110">
        <f t="shared" si="0"/>
        <v>7.2073823886237495E-2</v>
      </c>
      <c r="E17" s="100"/>
      <c r="F17" s="112">
        <f>C17</f>
        <v>3410000</v>
      </c>
      <c r="G17" s="110">
        <f t="shared" si="1"/>
        <v>7.0125882700122974E-2</v>
      </c>
    </row>
    <row r="18" spans="2:7" ht="15.6" x14ac:dyDescent="0.3">
      <c r="B18" s="96" t="s">
        <v>124</v>
      </c>
      <c r="C18" s="112">
        <v>1110000</v>
      </c>
      <c r="D18" s="110">
        <f t="shared" si="0"/>
        <v>2.3460980795813376E-2</v>
      </c>
      <c r="E18" s="100"/>
      <c r="F18" s="112">
        <f>C18</f>
        <v>1110000</v>
      </c>
      <c r="G18" s="110">
        <f t="shared" si="1"/>
        <v>2.2826900233764366E-2</v>
      </c>
    </row>
    <row r="19" spans="2:7" ht="15.6" x14ac:dyDescent="0.3">
      <c r="B19" s="96" t="s">
        <v>125</v>
      </c>
      <c r="C19" s="112">
        <v>4527600</v>
      </c>
      <c r="D19" s="110">
        <f t="shared" si="0"/>
        <v>9.5695438424436619E-2</v>
      </c>
      <c r="E19" s="100"/>
      <c r="F19" s="112">
        <f>C19</f>
        <v>4527600</v>
      </c>
      <c r="G19" s="110">
        <f t="shared" si="1"/>
        <v>9.3109075223776178E-2</v>
      </c>
    </row>
    <row r="20" spans="2:7" ht="15.6" x14ac:dyDescent="0.3">
      <c r="B20" s="96" t="s">
        <v>126</v>
      </c>
      <c r="C20" s="112"/>
      <c r="D20" s="110">
        <f t="shared" si="0"/>
        <v>0</v>
      </c>
      <c r="E20" s="100"/>
      <c r="F20" s="112">
        <f>F12/C26</f>
        <v>1314238.888888889</v>
      </c>
      <c r="G20" s="110">
        <f t="shared" si="1"/>
        <v>2.7027027027027029E-2</v>
      </c>
    </row>
    <row r="21" spans="2:7" ht="15.6" x14ac:dyDescent="0.3">
      <c r="B21" s="96" t="s">
        <v>127</v>
      </c>
      <c r="C21" s="112"/>
      <c r="D21" s="110">
        <f t="shared" si="0"/>
        <v>0</v>
      </c>
      <c r="E21" s="100"/>
      <c r="F21" s="112"/>
      <c r="G21" s="110">
        <f t="shared" si="1"/>
        <v>0</v>
      </c>
    </row>
    <row r="22" spans="2:7" ht="15.6" x14ac:dyDescent="0.3">
      <c r="B22" s="108" t="s">
        <v>129</v>
      </c>
      <c r="C22" s="113">
        <f>SUM(C16:C21)</f>
        <v>45047600</v>
      </c>
      <c r="D22" s="110">
        <f>C22/$C$25</f>
        <v>0.95212691756529977</v>
      </c>
      <c r="E22" s="101"/>
      <c r="F22" s="113">
        <f>SUM(F16:F21)</f>
        <v>46361838.888888888</v>
      </c>
      <c r="G22" s="110">
        <f t="shared" si="1"/>
        <v>0.95342078465812952</v>
      </c>
    </row>
    <row r="23" spans="2:7" ht="15.6" x14ac:dyDescent="0.3">
      <c r="B23" s="108" t="s">
        <v>130</v>
      </c>
      <c r="C23" s="113">
        <v>0</v>
      </c>
      <c r="D23" s="110">
        <f>C23/$C$25</f>
        <v>0</v>
      </c>
      <c r="E23" s="101"/>
      <c r="F23" s="113"/>
      <c r="G23" s="110">
        <f t="shared" si="1"/>
        <v>0</v>
      </c>
    </row>
    <row r="24" spans="2:7" ht="15.6" x14ac:dyDescent="0.3">
      <c r="B24" s="96" t="s">
        <v>119</v>
      </c>
      <c r="C24" s="114">
        <f>120000+2145000</f>
        <v>2265000</v>
      </c>
      <c r="D24" s="111">
        <f>C24/$C$25</f>
        <v>4.7873082434700273E-2</v>
      </c>
      <c r="E24" s="102"/>
      <c r="F24" s="114">
        <f>C24</f>
        <v>2265000</v>
      </c>
      <c r="G24" s="111">
        <f t="shared" si="1"/>
        <v>4.6579215341870532E-2</v>
      </c>
    </row>
    <row r="25" spans="2:7" ht="15.6" x14ac:dyDescent="0.3">
      <c r="B25" s="96" t="s">
        <v>120</v>
      </c>
      <c r="C25" s="113">
        <f>SUM(C22:C24)</f>
        <v>47312600</v>
      </c>
      <c r="D25" s="109">
        <f>C25/$C$25</f>
        <v>1</v>
      </c>
      <c r="E25" s="103"/>
      <c r="F25" s="113">
        <f>SUM(F22:F24)</f>
        <v>48626838.888888888</v>
      </c>
      <c r="G25" s="109">
        <f t="shared" si="1"/>
        <v>1</v>
      </c>
    </row>
    <row r="26" spans="2:7" ht="15.6" x14ac:dyDescent="0.3">
      <c r="B26" s="40" t="s">
        <v>121</v>
      </c>
      <c r="C26" s="104">
        <f>C13/C25</f>
        <v>1.9022416861470306</v>
      </c>
      <c r="D26" s="104"/>
      <c r="E26" s="104"/>
      <c r="F26" s="104">
        <f>F13/F25</f>
        <v>1.9022416861470306</v>
      </c>
    </row>
  </sheetData>
  <mergeCells count="3">
    <mergeCell ref="A2:G2"/>
    <mergeCell ref="C4:D4"/>
    <mergeCell ref="F4:G4"/>
  </mergeCells>
  <phoneticPr fontId="19" type="noConversion"/>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6"/>
  <sheetViews>
    <sheetView workbookViewId="0">
      <selection activeCell="B26" sqref="B26"/>
    </sheetView>
  </sheetViews>
  <sheetFormatPr defaultRowHeight="13.8" x14ac:dyDescent="0.25"/>
  <cols>
    <col min="1" max="1" width="3.109375" customWidth="1"/>
    <col min="2" max="2" width="43.109375" customWidth="1"/>
    <col min="3" max="3" width="15.44140625" customWidth="1"/>
    <col min="4" max="4" width="9.33203125" customWidth="1"/>
    <col min="5" max="5" width="2.5546875" customWidth="1"/>
    <col min="6" max="6" width="14.33203125" customWidth="1"/>
  </cols>
  <sheetData>
    <row r="2" spans="1:7" ht="22.8" x14ac:dyDescent="0.4">
      <c r="A2" s="262" t="s">
        <v>198</v>
      </c>
      <c r="B2" s="262"/>
      <c r="C2" s="262"/>
      <c r="D2" s="262"/>
      <c r="E2" s="262"/>
      <c r="F2" s="262"/>
      <c r="G2" s="262"/>
    </row>
    <row r="4" spans="1:7" ht="15.6" x14ac:dyDescent="0.3">
      <c r="C4" s="263" t="s">
        <v>114</v>
      </c>
      <c r="D4" s="263"/>
      <c r="E4" s="95"/>
      <c r="F4" s="263" t="s">
        <v>115</v>
      </c>
      <c r="G4" s="263"/>
    </row>
    <row r="5" spans="1:7" ht="15.6" x14ac:dyDescent="0.3">
      <c r="A5" s="2" t="s">
        <v>131</v>
      </c>
      <c r="C5" s="116"/>
      <c r="D5" s="116"/>
      <c r="E5" s="95"/>
      <c r="F5" s="116"/>
      <c r="G5" s="116"/>
    </row>
    <row r="6" spans="1:7" ht="15.6" x14ac:dyDescent="0.3">
      <c r="B6" s="96" t="s">
        <v>133</v>
      </c>
      <c r="C6" s="105"/>
      <c r="D6" s="97"/>
      <c r="E6" s="97"/>
    </row>
    <row r="7" spans="1:7" ht="15.6" x14ac:dyDescent="0.3">
      <c r="B7" s="96" t="s">
        <v>82</v>
      </c>
      <c r="C7" s="105"/>
      <c r="D7" s="97"/>
      <c r="E7" s="97"/>
    </row>
    <row r="8" spans="1:7" ht="15.6" x14ac:dyDescent="0.3">
      <c r="B8" s="96" t="s">
        <v>62</v>
      </c>
      <c r="C8" s="106"/>
      <c r="D8" s="98"/>
      <c r="E8" s="98"/>
    </row>
    <row r="9" spans="1:7" ht="15.6" x14ac:dyDescent="0.3">
      <c r="B9" s="108" t="s">
        <v>116</v>
      </c>
      <c r="C9" s="107"/>
      <c r="D9" s="97"/>
      <c r="E9" s="97"/>
    </row>
    <row r="10" spans="1:7" ht="15.6" x14ac:dyDescent="0.3">
      <c r="B10" s="96"/>
      <c r="C10" s="105"/>
      <c r="D10" s="97"/>
      <c r="E10" s="97"/>
    </row>
    <row r="11" spans="1:7" ht="15.6" x14ac:dyDescent="0.3">
      <c r="B11" s="96" t="s">
        <v>48</v>
      </c>
      <c r="C11" s="115"/>
      <c r="D11" s="99"/>
      <c r="E11" s="99"/>
    </row>
    <row r="12" spans="1:7" ht="15.6" x14ac:dyDescent="0.3">
      <c r="B12" s="96" t="s">
        <v>117</v>
      </c>
      <c r="C12" s="105"/>
      <c r="F12" s="106">
        <v>5000000</v>
      </c>
    </row>
    <row r="13" spans="1:7" ht="15.6" x14ac:dyDescent="0.3">
      <c r="B13" s="96" t="s">
        <v>118</v>
      </c>
      <c r="C13" s="107">
        <f>42485000*0.8333</f>
        <v>35402750.5</v>
      </c>
      <c r="D13" s="100"/>
      <c r="E13" s="100"/>
      <c r="F13" s="107">
        <f>F12+C13</f>
        <v>40402750.5</v>
      </c>
    </row>
    <row r="14" spans="1:7" ht="15.6" x14ac:dyDescent="0.3">
      <c r="B14" s="96"/>
      <c r="C14" s="107"/>
      <c r="D14" s="100"/>
      <c r="E14" s="100"/>
      <c r="F14" s="107"/>
    </row>
    <row r="15" spans="1:7" ht="15.6" x14ac:dyDescent="0.3">
      <c r="A15" s="2" t="s">
        <v>128</v>
      </c>
      <c r="B15" s="96"/>
      <c r="C15" s="100"/>
      <c r="D15" s="100"/>
      <c r="E15" s="100"/>
      <c r="F15" s="100"/>
    </row>
    <row r="16" spans="1:7" ht="15.6" x14ac:dyDescent="0.3">
      <c r="B16" s="96" t="s">
        <v>122</v>
      </c>
      <c r="C16" s="112">
        <v>36000000</v>
      </c>
      <c r="D16" s="110">
        <f t="shared" ref="D16:D21" si="0">C16/$C$25</f>
        <v>0.84735789102036008</v>
      </c>
      <c r="E16" s="100"/>
      <c r="F16" s="112">
        <f>C16</f>
        <v>36000000</v>
      </c>
      <c r="G16" s="110">
        <f t="shared" ref="G16:G25" si="1">F16/$F$25</f>
        <v>0.74249400421389622</v>
      </c>
    </row>
    <row r="17" spans="2:7" ht="15.6" x14ac:dyDescent="0.3">
      <c r="B17" s="96" t="s">
        <v>123</v>
      </c>
      <c r="C17" s="112">
        <v>3410000</v>
      </c>
      <c r="D17" s="110">
        <f t="shared" si="0"/>
        <v>8.0263622454984113E-2</v>
      </c>
      <c r="E17" s="100"/>
      <c r="F17" s="112">
        <f>C17</f>
        <v>3410000</v>
      </c>
      <c r="G17" s="110">
        <f t="shared" si="1"/>
        <v>7.0330682065816288E-2</v>
      </c>
    </row>
    <row r="18" spans="2:7" ht="15.6" x14ac:dyDescent="0.3">
      <c r="B18" s="96" t="s">
        <v>124</v>
      </c>
      <c r="C18" s="112">
        <v>1110000</v>
      </c>
      <c r="D18" s="110">
        <f t="shared" si="0"/>
        <v>2.6126868306461104E-2</v>
      </c>
      <c r="E18" s="100"/>
      <c r="F18" s="112">
        <f>C18</f>
        <v>1110000</v>
      </c>
      <c r="G18" s="110">
        <f t="shared" si="1"/>
        <v>2.2893565129928468E-2</v>
      </c>
    </row>
    <row r="19" spans="2:7" ht="15.6" x14ac:dyDescent="0.3">
      <c r="B19" s="96" t="s">
        <v>125</v>
      </c>
      <c r="C19" s="112"/>
      <c r="D19" s="110">
        <f t="shared" si="0"/>
        <v>0</v>
      </c>
      <c r="E19" s="100"/>
      <c r="F19" s="112">
        <f>F12/C26</f>
        <v>6000240.0096003842</v>
      </c>
      <c r="G19" s="110">
        <f t="shared" si="1"/>
        <v>0.12375395086035046</v>
      </c>
    </row>
    <row r="20" spans="2:7" ht="15.6" x14ac:dyDescent="0.3">
      <c r="B20" s="96" t="s">
        <v>126</v>
      </c>
      <c r="C20" s="112"/>
      <c r="D20" s="110">
        <f t="shared" si="0"/>
        <v>0</v>
      </c>
      <c r="E20" s="100"/>
      <c r="F20" s="112"/>
      <c r="G20" s="110">
        <f t="shared" si="1"/>
        <v>0</v>
      </c>
    </row>
    <row r="21" spans="2:7" ht="15.6" x14ac:dyDescent="0.3">
      <c r="B21" s="96" t="s">
        <v>127</v>
      </c>
      <c r="C21" s="112"/>
      <c r="D21" s="110">
        <f t="shared" si="0"/>
        <v>0</v>
      </c>
      <c r="E21" s="100"/>
      <c r="F21" s="112"/>
      <c r="G21" s="110">
        <f t="shared" si="1"/>
        <v>0</v>
      </c>
    </row>
    <row r="22" spans="2:7" ht="15.6" x14ac:dyDescent="0.3">
      <c r="B22" s="108" t="s">
        <v>129</v>
      </c>
      <c r="C22" s="113">
        <f>SUM(C16:C21)</f>
        <v>40520000</v>
      </c>
      <c r="D22" s="110">
        <f>C22/$C$25</f>
        <v>0.95374838178180532</v>
      </c>
      <c r="E22" s="101"/>
      <c r="F22" s="113">
        <f>SUM(F16:F21)</f>
        <v>46520240.009600386</v>
      </c>
      <c r="G22" s="110">
        <f t="shared" si="1"/>
        <v>0.95947220226999153</v>
      </c>
    </row>
    <row r="23" spans="2:7" ht="15.6" x14ac:dyDescent="0.3">
      <c r="B23" s="108" t="s">
        <v>130</v>
      </c>
      <c r="C23" s="113">
        <v>0</v>
      </c>
      <c r="D23" s="110">
        <f>C23/$C$25</f>
        <v>0</v>
      </c>
      <c r="E23" s="101"/>
      <c r="F23" s="113"/>
      <c r="G23" s="110">
        <f t="shared" si="1"/>
        <v>0</v>
      </c>
    </row>
    <row r="24" spans="2:7" ht="15.6" x14ac:dyDescent="0.3">
      <c r="B24" s="96" t="s">
        <v>119</v>
      </c>
      <c r="C24" s="114">
        <f>1845000+120000</f>
        <v>1965000</v>
      </c>
      <c r="D24" s="111">
        <f>C24/$C$25</f>
        <v>4.6251618218194658E-2</v>
      </c>
      <c r="E24" s="102"/>
      <c r="F24" s="114">
        <f>C24</f>
        <v>1965000</v>
      </c>
      <c r="G24" s="111">
        <f t="shared" si="1"/>
        <v>4.0527797730008502E-2</v>
      </c>
    </row>
    <row r="25" spans="2:7" ht="15.6" x14ac:dyDescent="0.3">
      <c r="B25" s="96" t="s">
        <v>120</v>
      </c>
      <c r="C25" s="113">
        <f>SUM(C22:C24)</f>
        <v>42485000</v>
      </c>
      <c r="D25" s="109">
        <f>C25/$C$25</f>
        <v>1</v>
      </c>
      <c r="E25" s="103"/>
      <c r="F25" s="113">
        <f>SUM(F22:F24)</f>
        <v>48485240.009600386</v>
      </c>
      <c r="G25" s="109">
        <f t="shared" si="1"/>
        <v>1</v>
      </c>
    </row>
    <row r="26" spans="2:7" ht="15.6" x14ac:dyDescent="0.3">
      <c r="B26" s="40" t="s">
        <v>121</v>
      </c>
      <c r="C26" s="104">
        <f>C13/C25</f>
        <v>0.83330000000000004</v>
      </c>
      <c r="D26" s="104"/>
      <c r="E26" s="104"/>
      <c r="F26" s="104">
        <f>F13/F25</f>
        <v>0.83329999999999993</v>
      </c>
    </row>
  </sheetData>
  <mergeCells count="3">
    <mergeCell ref="A2:G2"/>
    <mergeCell ref="C4:D4"/>
    <mergeCell ref="F4:G4"/>
  </mergeCells>
  <phoneticPr fontId="0" type="noConversion"/>
  <printOptions horizontalCentered="1"/>
  <pageMargins left="0.5" right="0.5" top="0.75" bottom="0.75"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4</vt:i4>
      </vt:variant>
    </vt:vector>
  </HeadingPairs>
  <TitlesOfParts>
    <vt:vector size="15" baseType="lpstr">
      <vt:lpstr>Overview</vt:lpstr>
      <vt:lpstr>Graphs</vt:lpstr>
      <vt:lpstr>CPA</vt:lpstr>
      <vt:lpstr>CTA</vt:lpstr>
      <vt:lpstr>DCF</vt:lpstr>
      <vt:lpstr>CPA Companies</vt:lpstr>
      <vt:lpstr>PNV</vt:lpstr>
      <vt:lpstr>9-2001 Value</vt:lpstr>
      <vt:lpstr>12-2000 Value</vt:lpstr>
      <vt:lpstr>3-2001 Value</vt:lpstr>
      <vt:lpstr>2-2001 Value</vt:lpstr>
      <vt:lpstr>'CPA Companies'!Print_Area</vt:lpstr>
      <vt:lpstr>Graphs!Print_Area</vt:lpstr>
      <vt:lpstr>'CPA Companies'!Print_Titles</vt:lpstr>
      <vt:lpstr>DCF!Print_Titles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C. Crabtree</dc:creator>
  <cp:lastModifiedBy>Havlíček Jan</cp:lastModifiedBy>
  <cp:lastPrinted>2001-10-04T17:23:34Z</cp:lastPrinted>
  <dcterms:created xsi:type="dcterms:W3CDTF">2001-01-28T14:07:18Z</dcterms:created>
  <dcterms:modified xsi:type="dcterms:W3CDTF">2023-09-10T15:41:52Z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-715264762</vt:i4>
  </property>
  <property fmtid="{D5CDD505-2E9C-101B-9397-08002B2CF9AE}" pid="3" name="_EmailSubject">
    <vt:lpwstr>IdleAire Valuation</vt:lpwstr>
  </property>
  <property fmtid="{D5CDD505-2E9C-101B-9397-08002B2CF9AE}" pid="4" name="_AuthorEmail">
    <vt:lpwstr>mikecrabtree@earthlink.net</vt:lpwstr>
  </property>
  <property fmtid="{D5CDD505-2E9C-101B-9397-08002B2CF9AE}" pid="5" name="_AuthorEmailDisplayName">
    <vt:lpwstr>Mike Crabtree</vt:lpwstr>
  </property>
</Properties>
</file>