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16" windowWidth="11100" windowHeight="6348" firstSheet="2" activeTab="8"/>
  </bookViews>
  <sheets>
    <sheet name="All Inclusive" sheetId="1" r:id="rId1"/>
    <sheet name="January 2001" sheetId="3" r:id="rId2"/>
    <sheet name="February 2001" sheetId="2" r:id="rId3"/>
    <sheet name="March 2001" sheetId="4" r:id="rId4"/>
    <sheet name="April 2001" sheetId="5" r:id="rId5"/>
    <sheet name="May 2001" sheetId="6" r:id="rId6"/>
    <sheet name="June 2001" sheetId="7" r:id="rId7"/>
    <sheet name="July 2001" sheetId="10" r:id="rId8"/>
    <sheet name="August 2001" sheetId="8" r:id="rId9"/>
  </sheets>
  <definedNames>
    <definedName name="_xlnm.Print_Area" localSheetId="0">'All Inclusive'!$B$493:$P$627</definedName>
    <definedName name="_xlnm.Print_Area" localSheetId="4">'April 2001'!$B$1:$P$32</definedName>
    <definedName name="_xlnm.Print_Area" localSheetId="2">'February 2001'!$B$1:$P$32</definedName>
    <definedName name="_xlnm.Print_Area" localSheetId="1">'January 2001'!$B$1:$P$32</definedName>
    <definedName name="_xlnm.Print_Area" localSheetId="3">'March 2001'!$B$1:$P$32</definedName>
    <definedName name="_xlnm.Print_Area" localSheetId="5">'May 2001'!$B$1:$P$32</definedName>
    <definedName name="_xlnm.Print_Titles" localSheetId="0">'All Inclusive'!$1:$16</definedName>
  </definedNames>
  <calcPr calcId="92512" fullCalcOnLoad="1"/>
</workbook>
</file>

<file path=xl/calcChain.xml><?xml version="1.0" encoding="utf-8"?>
<calcChain xmlns="http://schemas.openxmlformats.org/spreadsheetml/2006/main">
  <c r="C19" i="1" l="1"/>
  <c r="J21" i="1"/>
  <c r="L21" i="1"/>
  <c r="G24" i="1"/>
  <c r="J24" i="1"/>
  <c r="L24" i="1"/>
  <c r="L25" i="1"/>
  <c r="G26" i="1"/>
  <c r="J26" i="1"/>
  <c r="L26" i="1"/>
  <c r="G27" i="1"/>
  <c r="J27" i="1"/>
  <c r="L27" i="1"/>
  <c r="C28" i="1"/>
  <c r="E28" i="1"/>
  <c r="F28" i="1"/>
  <c r="L28" i="1"/>
  <c r="C30" i="1"/>
  <c r="D30" i="1"/>
  <c r="E30" i="1"/>
  <c r="L30" i="1"/>
  <c r="C36" i="1"/>
  <c r="D36" i="1"/>
  <c r="E36" i="1"/>
  <c r="L36" i="1"/>
  <c r="J38" i="1"/>
  <c r="L38" i="1"/>
  <c r="G41" i="1"/>
  <c r="J41" i="1"/>
  <c r="L41" i="1"/>
  <c r="L42" i="1"/>
  <c r="G43" i="1"/>
  <c r="J43" i="1"/>
  <c r="L43" i="1"/>
  <c r="G44" i="1"/>
  <c r="J44" i="1"/>
  <c r="L44" i="1"/>
  <c r="C45" i="1"/>
  <c r="E45" i="1"/>
  <c r="F45" i="1"/>
  <c r="L45" i="1"/>
  <c r="C47" i="1"/>
  <c r="D47" i="1"/>
  <c r="E47" i="1"/>
  <c r="L47" i="1"/>
  <c r="C53" i="1"/>
  <c r="D53" i="1"/>
  <c r="E53" i="1"/>
  <c r="L53" i="1"/>
  <c r="J55" i="1"/>
  <c r="L55" i="1"/>
  <c r="G58" i="1"/>
  <c r="J58" i="1"/>
  <c r="L58" i="1"/>
  <c r="L59" i="1"/>
  <c r="G60" i="1"/>
  <c r="J60" i="1"/>
  <c r="L60" i="1"/>
  <c r="G61" i="1"/>
  <c r="J61" i="1"/>
  <c r="L61" i="1"/>
  <c r="C62" i="1"/>
  <c r="E62" i="1"/>
  <c r="F62" i="1"/>
  <c r="L62" i="1"/>
  <c r="C64" i="1"/>
  <c r="D64" i="1"/>
  <c r="E64" i="1"/>
  <c r="L64" i="1"/>
  <c r="C70" i="1"/>
  <c r="D70" i="1"/>
  <c r="E70" i="1"/>
  <c r="L70" i="1"/>
  <c r="J72" i="1"/>
  <c r="L72" i="1"/>
  <c r="G75" i="1"/>
  <c r="J75" i="1"/>
  <c r="L75" i="1"/>
  <c r="L76" i="1"/>
  <c r="G77" i="1"/>
  <c r="J77" i="1"/>
  <c r="L77" i="1"/>
  <c r="G78" i="1"/>
  <c r="J78" i="1"/>
  <c r="L78" i="1"/>
  <c r="C79" i="1"/>
  <c r="E79" i="1"/>
  <c r="F79" i="1"/>
  <c r="L79" i="1"/>
  <c r="C81" i="1"/>
  <c r="D81" i="1"/>
  <c r="E81" i="1"/>
  <c r="L81" i="1"/>
  <c r="C87" i="1"/>
  <c r="D87" i="1"/>
  <c r="E87" i="1"/>
  <c r="L87" i="1"/>
  <c r="J89" i="1"/>
  <c r="L89" i="1"/>
  <c r="G92" i="1"/>
  <c r="J92" i="1"/>
  <c r="L92" i="1"/>
  <c r="L93" i="1"/>
  <c r="G94" i="1"/>
  <c r="J94" i="1"/>
  <c r="L94" i="1"/>
  <c r="G95" i="1"/>
  <c r="J95" i="1"/>
  <c r="L95" i="1"/>
  <c r="C96" i="1"/>
  <c r="E96" i="1"/>
  <c r="F96" i="1"/>
  <c r="L96" i="1"/>
  <c r="C98" i="1"/>
  <c r="D98" i="1"/>
  <c r="E98" i="1"/>
  <c r="L98" i="1"/>
  <c r="C104" i="1"/>
  <c r="D104" i="1"/>
  <c r="E104" i="1"/>
  <c r="L104" i="1"/>
  <c r="J106" i="1"/>
  <c r="L106" i="1"/>
  <c r="G109" i="1"/>
  <c r="J109" i="1"/>
  <c r="L109" i="1"/>
  <c r="L110" i="1"/>
  <c r="J111" i="1"/>
  <c r="L111" i="1"/>
  <c r="G112" i="1"/>
  <c r="J112" i="1"/>
  <c r="L112" i="1"/>
  <c r="C113" i="1"/>
  <c r="E113" i="1"/>
  <c r="F113" i="1"/>
  <c r="L113" i="1"/>
  <c r="C115" i="1"/>
  <c r="D115" i="1"/>
  <c r="E115" i="1"/>
  <c r="L115" i="1"/>
  <c r="C121" i="1"/>
  <c r="D121" i="1"/>
  <c r="E121" i="1"/>
  <c r="L121" i="1"/>
  <c r="J123" i="1"/>
  <c r="L123" i="1"/>
  <c r="G126" i="1"/>
  <c r="J126" i="1"/>
  <c r="L126" i="1"/>
  <c r="L127" i="1"/>
  <c r="J128" i="1"/>
  <c r="L128" i="1"/>
  <c r="G129" i="1"/>
  <c r="J129" i="1"/>
  <c r="L129" i="1"/>
  <c r="C130" i="1"/>
  <c r="E130" i="1"/>
  <c r="F130" i="1"/>
  <c r="L130" i="1"/>
  <c r="C132" i="1"/>
  <c r="D132" i="1"/>
  <c r="E132" i="1"/>
  <c r="L132" i="1"/>
  <c r="C138" i="1"/>
  <c r="D138" i="1"/>
  <c r="E138" i="1"/>
  <c r="L138" i="1"/>
  <c r="J140" i="1"/>
  <c r="L140" i="1"/>
  <c r="G143" i="1"/>
  <c r="J143" i="1"/>
  <c r="L143" i="1"/>
  <c r="L144" i="1"/>
  <c r="J145" i="1"/>
  <c r="L145" i="1"/>
  <c r="G146" i="1"/>
  <c r="J146" i="1"/>
  <c r="L146" i="1"/>
  <c r="C147" i="1"/>
  <c r="E147" i="1"/>
  <c r="F147" i="1"/>
  <c r="L147" i="1"/>
  <c r="C149" i="1"/>
  <c r="D149" i="1"/>
  <c r="E149" i="1"/>
  <c r="L149" i="1"/>
  <c r="B155" i="1"/>
  <c r="C155" i="1"/>
  <c r="D155" i="1"/>
  <c r="E155" i="1"/>
  <c r="L155" i="1"/>
  <c r="J157" i="1"/>
  <c r="L157" i="1"/>
  <c r="G160" i="1"/>
  <c r="J160" i="1"/>
  <c r="L160" i="1"/>
  <c r="L161" i="1"/>
  <c r="J162" i="1"/>
  <c r="L162" i="1"/>
  <c r="G163" i="1"/>
  <c r="J163" i="1"/>
  <c r="L163" i="1"/>
  <c r="C164" i="1"/>
  <c r="E164" i="1"/>
  <c r="F164" i="1"/>
  <c r="L164" i="1"/>
  <c r="C166" i="1"/>
  <c r="D166" i="1"/>
  <c r="E166" i="1"/>
  <c r="L166" i="1"/>
  <c r="B172" i="1"/>
  <c r="C172" i="1"/>
  <c r="D172" i="1"/>
  <c r="E172" i="1"/>
  <c r="L172" i="1"/>
  <c r="J174" i="1"/>
  <c r="L174" i="1"/>
  <c r="G177" i="1"/>
  <c r="J177" i="1"/>
  <c r="L177" i="1"/>
  <c r="L178" i="1"/>
  <c r="J179" i="1"/>
  <c r="L179" i="1"/>
  <c r="G180" i="1"/>
  <c r="J180" i="1"/>
  <c r="L180" i="1"/>
  <c r="C181" i="1"/>
  <c r="E181" i="1"/>
  <c r="F181" i="1"/>
  <c r="L181" i="1"/>
  <c r="C183" i="1"/>
  <c r="D183" i="1"/>
  <c r="E183" i="1"/>
  <c r="L183" i="1"/>
  <c r="B189" i="1"/>
  <c r="C189" i="1"/>
  <c r="D189" i="1"/>
  <c r="E189" i="1"/>
  <c r="L189" i="1"/>
  <c r="J191" i="1"/>
  <c r="L191" i="1"/>
  <c r="G194" i="1"/>
  <c r="J194" i="1"/>
  <c r="L194" i="1"/>
  <c r="L195" i="1"/>
  <c r="J196" i="1"/>
  <c r="L196" i="1"/>
  <c r="G197" i="1"/>
  <c r="J197" i="1"/>
  <c r="L197" i="1"/>
  <c r="C198" i="1"/>
  <c r="E198" i="1"/>
  <c r="F198" i="1"/>
  <c r="L198" i="1"/>
  <c r="C200" i="1"/>
  <c r="D200" i="1"/>
  <c r="E200" i="1"/>
  <c r="L200" i="1"/>
  <c r="B206" i="1"/>
  <c r="C206" i="1"/>
  <c r="D206" i="1"/>
  <c r="E206" i="1"/>
  <c r="L206" i="1"/>
  <c r="J208" i="1"/>
  <c r="L208" i="1"/>
  <c r="G211" i="1"/>
  <c r="J211" i="1"/>
  <c r="L211" i="1"/>
  <c r="L212" i="1"/>
  <c r="G213" i="1"/>
  <c r="J213" i="1"/>
  <c r="L213" i="1"/>
  <c r="G214" i="1"/>
  <c r="J214" i="1"/>
  <c r="L214" i="1"/>
  <c r="C215" i="1"/>
  <c r="E215" i="1"/>
  <c r="F215" i="1"/>
  <c r="L215" i="1"/>
  <c r="C217" i="1"/>
  <c r="D217" i="1"/>
  <c r="E217" i="1"/>
  <c r="L217" i="1"/>
  <c r="B223" i="1"/>
  <c r="C223" i="1"/>
  <c r="D223" i="1"/>
  <c r="E223" i="1"/>
  <c r="L223" i="1"/>
  <c r="J225" i="1"/>
  <c r="L225" i="1"/>
  <c r="G228" i="1"/>
  <c r="J228" i="1"/>
  <c r="L228" i="1"/>
  <c r="L229" i="1"/>
  <c r="G230" i="1"/>
  <c r="J230" i="1"/>
  <c r="L230" i="1"/>
  <c r="G231" i="1"/>
  <c r="J231" i="1"/>
  <c r="L231" i="1"/>
  <c r="C232" i="1"/>
  <c r="E232" i="1"/>
  <c r="F232" i="1"/>
  <c r="L232" i="1"/>
  <c r="C234" i="1"/>
  <c r="D234" i="1"/>
  <c r="E234" i="1"/>
  <c r="L234" i="1"/>
  <c r="B240" i="1"/>
  <c r="C240" i="1"/>
  <c r="D240" i="1"/>
  <c r="E240" i="1"/>
  <c r="L240" i="1"/>
  <c r="J242" i="1"/>
  <c r="L242" i="1"/>
  <c r="G245" i="1"/>
  <c r="J245" i="1"/>
  <c r="L245" i="1"/>
  <c r="L246" i="1"/>
  <c r="G247" i="1"/>
  <c r="J247" i="1"/>
  <c r="L247" i="1"/>
  <c r="G248" i="1"/>
  <c r="J248" i="1"/>
  <c r="L248" i="1"/>
  <c r="C249" i="1"/>
  <c r="E249" i="1"/>
  <c r="F249" i="1"/>
  <c r="L249" i="1"/>
  <c r="C251" i="1"/>
  <c r="D251" i="1"/>
  <c r="E251" i="1"/>
  <c r="L251" i="1"/>
  <c r="B257" i="1"/>
  <c r="C257" i="1"/>
  <c r="D257" i="1"/>
  <c r="E257" i="1"/>
  <c r="L257" i="1"/>
  <c r="J259" i="1"/>
  <c r="L259" i="1"/>
  <c r="G262" i="1"/>
  <c r="J262" i="1"/>
  <c r="L262" i="1"/>
  <c r="L263" i="1"/>
  <c r="G264" i="1"/>
  <c r="J264" i="1"/>
  <c r="L264" i="1"/>
  <c r="G265" i="1"/>
  <c r="J265" i="1"/>
  <c r="L265" i="1"/>
  <c r="C266" i="1"/>
  <c r="E266" i="1"/>
  <c r="F266" i="1"/>
  <c r="L266" i="1"/>
  <c r="C268" i="1"/>
  <c r="D268" i="1"/>
  <c r="E268" i="1"/>
  <c r="L268" i="1"/>
  <c r="B274" i="1"/>
  <c r="C274" i="1"/>
  <c r="D274" i="1"/>
  <c r="E274" i="1"/>
  <c r="L274" i="1"/>
  <c r="J276" i="1"/>
  <c r="L276" i="1"/>
  <c r="G279" i="1"/>
  <c r="J279" i="1"/>
  <c r="L279" i="1"/>
  <c r="L280" i="1"/>
  <c r="G281" i="1"/>
  <c r="J281" i="1"/>
  <c r="L281" i="1"/>
  <c r="G282" i="1"/>
  <c r="J282" i="1"/>
  <c r="L282" i="1"/>
  <c r="C283" i="1"/>
  <c r="E283" i="1"/>
  <c r="F283" i="1"/>
  <c r="L283" i="1"/>
  <c r="C285" i="1"/>
  <c r="D285" i="1"/>
  <c r="E285" i="1"/>
  <c r="L285" i="1"/>
  <c r="B291" i="1"/>
  <c r="C291" i="1"/>
  <c r="D291" i="1"/>
  <c r="E291" i="1"/>
  <c r="L291" i="1"/>
  <c r="J293" i="1"/>
  <c r="L293" i="1"/>
  <c r="G296" i="1"/>
  <c r="J296" i="1"/>
  <c r="L296" i="1"/>
  <c r="L297" i="1"/>
  <c r="G298" i="1"/>
  <c r="J298" i="1"/>
  <c r="L298" i="1"/>
  <c r="G299" i="1"/>
  <c r="J299" i="1"/>
  <c r="L299" i="1"/>
  <c r="C300" i="1"/>
  <c r="E300" i="1"/>
  <c r="F300" i="1"/>
  <c r="L300" i="1"/>
  <c r="C302" i="1"/>
  <c r="D302" i="1"/>
  <c r="E302" i="1"/>
  <c r="L302" i="1"/>
  <c r="B308" i="1"/>
  <c r="C308" i="1"/>
  <c r="D308" i="1"/>
  <c r="E308" i="1"/>
  <c r="L308" i="1"/>
  <c r="J310" i="1"/>
  <c r="L310" i="1"/>
  <c r="G313" i="1"/>
  <c r="J313" i="1"/>
  <c r="L313" i="1"/>
  <c r="L314" i="1"/>
  <c r="G315" i="1"/>
  <c r="J315" i="1"/>
  <c r="L315" i="1"/>
  <c r="G316" i="1"/>
  <c r="J316" i="1"/>
  <c r="L316" i="1"/>
  <c r="C317" i="1"/>
  <c r="E317" i="1"/>
  <c r="F317" i="1"/>
  <c r="L317" i="1"/>
  <c r="C319" i="1"/>
  <c r="D319" i="1"/>
  <c r="E319" i="1"/>
  <c r="L319" i="1"/>
  <c r="B325" i="1"/>
  <c r="C325" i="1"/>
  <c r="D325" i="1"/>
  <c r="E325" i="1"/>
  <c r="L325" i="1"/>
  <c r="J327" i="1"/>
  <c r="L327" i="1"/>
  <c r="G330" i="1"/>
  <c r="J330" i="1"/>
  <c r="L330" i="1"/>
  <c r="L331" i="1"/>
  <c r="G332" i="1"/>
  <c r="J332" i="1"/>
  <c r="L332" i="1"/>
  <c r="G333" i="1"/>
  <c r="J333" i="1"/>
  <c r="L333" i="1"/>
  <c r="C334" i="1"/>
  <c r="E334" i="1"/>
  <c r="F334" i="1"/>
  <c r="L334" i="1"/>
  <c r="C336" i="1"/>
  <c r="D336" i="1"/>
  <c r="E336" i="1"/>
  <c r="L336" i="1"/>
  <c r="C342" i="1"/>
  <c r="D342" i="1"/>
  <c r="E342" i="1"/>
  <c r="L342" i="1"/>
  <c r="E344" i="1"/>
  <c r="J344" i="1"/>
  <c r="L344" i="1"/>
  <c r="G347" i="1"/>
  <c r="I347" i="1"/>
  <c r="J347" i="1"/>
  <c r="L347" i="1"/>
  <c r="L348" i="1"/>
  <c r="G349" i="1"/>
  <c r="I349" i="1"/>
  <c r="J349" i="1"/>
  <c r="L349" i="1"/>
  <c r="G350" i="1"/>
  <c r="I350" i="1"/>
  <c r="J350" i="1"/>
  <c r="L350" i="1"/>
  <c r="C351" i="1"/>
  <c r="E351" i="1"/>
  <c r="F351" i="1"/>
  <c r="L351" i="1"/>
  <c r="C353" i="1"/>
  <c r="D353" i="1"/>
  <c r="E353" i="1"/>
  <c r="L353" i="1"/>
  <c r="B359" i="1"/>
  <c r="C359" i="1"/>
  <c r="D359" i="1"/>
  <c r="E359" i="1"/>
  <c r="L359" i="1"/>
  <c r="E361" i="1"/>
  <c r="J361" i="1"/>
  <c r="L361" i="1"/>
  <c r="G364" i="1"/>
  <c r="I364" i="1"/>
  <c r="J364" i="1"/>
  <c r="L364" i="1"/>
  <c r="L365" i="1"/>
  <c r="G366" i="1"/>
  <c r="I366" i="1"/>
  <c r="J366" i="1"/>
  <c r="L366" i="1"/>
  <c r="G367" i="1"/>
  <c r="I367" i="1"/>
  <c r="J367" i="1"/>
  <c r="L367" i="1"/>
  <c r="C368" i="1"/>
  <c r="E368" i="1"/>
  <c r="F368" i="1"/>
  <c r="L368" i="1"/>
  <c r="C370" i="1"/>
  <c r="D370" i="1"/>
  <c r="E370" i="1"/>
  <c r="L370" i="1"/>
  <c r="B376" i="1"/>
  <c r="C376" i="1"/>
  <c r="D376" i="1"/>
  <c r="E376" i="1"/>
  <c r="L376" i="1"/>
  <c r="E378" i="1"/>
  <c r="J378" i="1"/>
  <c r="L378" i="1"/>
  <c r="G381" i="1"/>
  <c r="I381" i="1"/>
  <c r="J381" i="1"/>
  <c r="L381" i="1"/>
  <c r="L382" i="1"/>
  <c r="G383" i="1"/>
  <c r="I383" i="1"/>
  <c r="J383" i="1"/>
  <c r="L383" i="1"/>
  <c r="G384" i="1"/>
  <c r="I384" i="1"/>
  <c r="J384" i="1"/>
  <c r="L384" i="1"/>
  <c r="C385" i="1"/>
  <c r="E385" i="1"/>
  <c r="F385" i="1"/>
  <c r="L385" i="1"/>
  <c r="C387" i="1"/>
  <c r="D387" i="1"/>
  <c r="E387" i="1"/>
  <c r="L387" i="1"/>
  <c r="B393" i="1"/>
  <c r="C393" i="1"/>
  <c r="D393" i="1"/>
  <c r="E393" i="1"/>
  <c r="L393" i="1"/>
  <c r="E395" i="1"/>
  <c r="J395" i="1"/>
  <c r="L395" i="1"/>
  <c r="G398" i="1"/>
  <c r="I398" i="1"/>
  <c r="J398" i="1"/>
  <c r="L398" i="1"/>
  <c r="L399" i="1"/>
  <c r="G400" i="1"/>
  <c r="I400" i="1"/>
  <c r="J400" i="1"/>
  <c r="L400" i="1"/>
  <c r="G401" i="1"/>
  <c r="I401" i="1"/>
  <c r="J401" i="1"/>
  <c r="L401" i="1"/>
  <c r="C402" i="1"/>
  <c r="E402" i="1"/>
  <c r="F402" i="1"/>
  <c r="L402" i="1"/>
  <c r="C404" i="1"/>
  <c r="D404" i="1"/>
  <c r="E404" i="1"/>
  <c r="L404" i="1"/>
  <c r="B410" i="1"/>
  <c r="C410" i="1"/>
  <c r="D410" i="1"/>
  <c r="E410" i="1"/>
  <c r="L410" i="1"/>
  <c r="E412" i="1"/>
  <c r="J412" i="1"/>
  <c r="L412" i="1"/>
  <c r="G415" i="1"/>
  <c r="I415" i="1"/>
  <c r="J415" i="1"/>
  <c r="L415" i="1"/>
  <c r="L416" i="1"/>
  <c r="G417" i="1"/>
  <c r="I417" i="1"/>
  <c r="J417" i="1"/>
  <c r="L417" i="1"/>
  <c r="G418" i="1"/>
  <c r="I418" i="1"/>
  <c r="J418" i="1"/>
  <c r="L418" i="1"/>
  <c r="C419" i="1"/>
  <c r="E419" i="1"/>
  <c r="F419" i="1"/>
  <c r="L419" i="1"/>
  <c r="C421" i="1"/>
  <c r="D421" i="1"/>
  <c r="E421" i="1"/>
  <c r="L421" i="1"/>
  <c r="B427" i="1"/>
  <c r="C427" i="1"/>
  <c r="D427" i="1"/>
  <c r="E427" i="1"/>
  <c r="L427" i="1"/>
  <c r="E429" i="1"/>
  <c r="J429" i="1"/>
  <c r="L429" i="1"/>
  <c r="G432" i="1"/>
  <c r="I432" i="1"/>
  <c r="J432" i="1"/>
  <c r="L432" i="1"/>
  <c r="L433" i="1"/>
  <c r="I434" i="1"/>
  <c r="J434" i="1"/>
  <c r="L434" i="1"/>
  <c r="G435" i="1"/>
  <c r="I435" i="1"/>
  <c r="J435" i="1"/>
  <c r="L435" i="1"/>
  <c r="C436" i="1"/>
  <c r="E436" i="1"/>
  <c r="F436" i="1"/>
  <c r="L436" i="1"/>
  <c r="C438" i="1"/>
  <c r="D438" i="1"/>
  <c r="E438" i="1"/>
  <c r="L438" i="1"/>
  <c r="B444" i="1"/>
  <c r="C444" i="1"/>
  <c r="D444" i="1"/>
  <c r="E444" i="1"/>
  <c r="L444" i="1"/>
  <c r="E446" i="1"/>
  <c r="J446" i="1"/>
  <c r="L446" i="1"/>
  <c r="G449" i="1"/>
  <c r="I449" i="1"/>
  <c r="J449" i="1"/>
  <c r="L449" i="1"/>
  <c r="L450" i="1"/>
  <c r="G451" i="1"/>
  <c r="I451" i="1"/>
  <c r="J451" i="1"/>
  <c r="L451" i="1"/>
  <c r="G452" i="1"/>
  <c r="I452" i="1"/>
  <c r="J452" i="1"/>
  <c r="L452" i="1"/>
  <c r="C453" i="1"/>
  <c r="E453" i="1"/>
  <c r="F453" i="1"/>
  <c r="L453" i="1"/>
  <c r="C455" i="1"/>
  <c r="D455" i="1"/>
  <c r="E455" i="1"/>
  <c r="L455" i="1"/>
  <c r="B461" i="1"/>
  <c r="C461" i="1"/>
  <c r="D461" i="1"/>
  <c r="E461" i="1"/>
  <c r="L461" i="1"/>
  <c r="E463" i="1"/>
  <c r="J463" i="1"/>
  <c r="L463" i="1"/>
  <c r="G466" i="1"/>
  <c r="I466" i="1"/>
  <c r="J466" i="1"/>
  <c r="L466" i="1"/>
  <c r="L467" i="1"/>
  <c r="G468" i="1"/>
  <c r="I468" i="1"/>
  <c r="J468" i="1"/>
  <c r="L468" i="1"/>
  <c r="G469" i="1"/>
  <c r="I469" i="1"/>
  <c r="J469" i="1"/>
  <c r="L469" i="1"/>
  <c r="C470" i="1"/>
  <c r="E470" i="1"/>
  <c r="F470" i="1"/>
  <c r="L470" i="1"/>
  <c r="C472" i="1"/>
  <c r="D472" i="1"/>
  <c r="E472" i="1"/>
  <c r="L472" i="1"/>
  <c r="B478" i="1"/>
  <c r="C478" i="1"/>
  <c r="D478" i="1"/>
  <c r="E478" i="1"/>
  <c r="L478" i="1"/>
  <c r="E480" i="1"/>
  <c r="J480" i="1"/>
  <c r="L480" i="1"/>
  <c r="G483" i="1"/>
  <c r="I483" i="1"/>
  <c r="J483" i="1"/>
  <c r="L483" i="1"/>
  <c r="L484" i="1"/>
  <c r="G485" i="1"/>
  <c r="I485" i="1"/>
  <c r="J485" i="1"/>
  <c r="L485" i="1"/>
  <c r="G486" i="1"/>
  <c r="I486" i="1"/>
  <c r="J486" i="1"/>
  <c r="L486" i="1"/>
  <c r="C487" i="1"/>
  <c r="E487" i="1"/>
  <c r="F487" i="1"/>
  <c r="L487" i="1"/>
  <c r="C489" i="1"/>
  <c r="D489" i="1"/>
  <c r="E489" i="1"/>
  <c r="L489" i="1"/>
  <c r="B495" i="1"/>
  <c r="C495" i="1"/>
  <c r="D495" i="1"/>
  <c r="E495" i="1"/>
  <c r="L495" i="1"/>
  <c r="P495" i="1"/>
  <c r="E497" i="1"/>
  <c r="J497" i="1"/>
  <c r="L497" i="1"/>
  <c r="G500" i="1"/>
  <c r="I500" i="1"/>
  <c r="J500" i="1"/>
  <c r="L500" i="1"/>
  <c r="L501" i="1"/>
  <c r="G502" i="1"/>
  <c r="I502" i="1"/>
  <c r="J502" i="1"/>
  <c r="L502" i="1"/>
  <c r="G503" i="1"/>
  <c r="I503" i="1"/>
  <c r="J503" i="1"/>
  <c r="L503" i="1"/>
  <c r="C504" i="1"/>
  <c r="E504" i="1"/>
  <c r="F504" i="1"/>
  <c r="L504" i="1"/>
  <c r="N504" i="1"/>
  <c r="C506" i="1"/>
  <c r="D506" i="1"/>
  <c r="E506" i="1"/>
  <c r="F506" i="1"/>
  <c r="L506" i="1"/>
  <c r="N506" i="1"/>
  <c r="P506" i="1"/>
  <c r="B512" i="1"/>
  <c r="C512" i="1"/>
  <c r="D512" i="1"/>
  <c r="E512" i="1"/>
  <c r="F512" i="1"/>
  <c r="L512" i="1"/>
  <c r="N512" i="1"/>
  <c r="P512" i="1"/>
  <c r="E514" i="1"/>
  <c r="J514" i="1"/>
  <c r="L514" i="1"/>
  <c r="F517" i="1"/>
  <c r="G517" i="1"/>
  <c r="I517" i="1"/>
  <c r="J517" i="1"/>
  <c r="L517" i="1"/>
  <c r="L518" i="1"/>
  <c r="I519" i="1"/>
  <c r="J519" i="1"/>
  <c r="L519" i="1"/>
  <c r="E520" i="1"/>
  <c r="F520" i="1"/>
  <c r="G520" i="1"/>
  <c r="I520" i="1"/>
  <c r="J520" i="1"/>
  <c r="L520" i="1"/>
  <c r="C521" i="1"/>
  <c r="E521" i="1"/>
  <c r="F521" i="1"/>
  <c r="L521" i="1"/>
  <c r="N521" i="1"/>
  <c r="C523" i="1"/>
  <c r="D523" i="1"/>
  <c r="E523" i="1"/>
  <c r="F523" i="1"/>
  <c r="L523" i="1"/>
  <c r="N523" i="1"/>
  <c r="P523" i="1"/>
  <c r="B529" i="1"/>
  <c r="C529" i="1"/>
  <c r="D529" i="1"/>
  <c r="E529" i="1"/>
  <c r="F529" i="1"/>
  <c r="I529" i="1"/>
  <c r="L529" i="1"/>
  <c r="N529" i="1"/>
  <c r="P529" i="1"/>
  <c r="E531" i="1"/>
  <c r="G531" i="1"/>
  <c r="J531" i="1"/>
  <c r="L531" i="1"/>
  <c r="F534" i="1"/>
  <c r="G534" i="1"/>
  <c r="I534" i="1"/>
  <c r="J534" i="1"/>
  <c r="L534" i="1"/>
  <c r="L535" i="1"/>
  <c r="I536" i="1"/>
  <c r="J536" i="1"/>
  <c r="L536" i="1"/>
  <c r="E537" i="1"/>
  <c r="F537" i="1"/>
  <c r="G537" i="1"/>
  <c r="I537" i="1"/>
  <c r="J537" i="1"/>
  <c r="L537" i="1"/>
  <c r="C538" i="1"/>
  <c r="E538" i="1"/>
  <c r="F538" i="1"/>
  <c r="L538" i="1"/>
  <c r="N538" i="1"/>
  <c r="C540" i="1"/>
  <c r="D540" i="1"/>
  <c r="E540" i="1"/>
  <c r="F540" i="1"/>
  <c r="I540" i="1"/>
  <c r="L540" i="1"/>
  <c r="N540" i="1"/>
  <c r="P540" i="1"/>
  <c r="B546" i="1"/>
  <c r="C546" i="1"/>
  <c r="D546" i="1"/>
  <c r="E546" i="1"/>
  <c r="F546" i="1"/>
  <c r="I546" i="1"/>
  <c r="L546" i="1"/>
  <c r="N546" i="1"/>
  <c r="P546" i="1"/>
  <c r="E548" i="1"/>
  <c r="G548" i="1"/>
  <c r="J548" i="1"/>
  <c r="L548" i="1"/>
  <c r="F551" i="1"/>
  <c r="G551" i="1"/>
  <c r="I551" i="1"/>
  <c r="J551" i="1"/>
  <c r="L551" i="1"/>
  <c r="L552" i="1"/>
  <c r="I553" i="1"/>
  <c r="J553" i="1"/>
  <c r="L553" i="1"/>
  <c r="E554" i="1"/>
  <c r="F554" i="1"/>
  <c r="G554" i="1"/>
  <c r="I554" i="1"/>
  <c r="J554" i="1"/>
  <c r="L554" i="1"/>
  <c r="C555" i="1"/>
  <c r="E555" i="1"/>
  <c r="F555" i="1"/>
  <c r="L555" i="1"/>
  <c r="N555" i="1"/>
  <c r="C557" i="1"/>
  <c r="D557" i="1"/>
  <c r="E557" i="1"/>
  <c r="F557" i="1"/>
  <c r="I557" i="1"/>
  <c r="L557" i="1"/>
  <c r="N557" i="1"/>
  <c r="P557" i="1"/>
  <c r="B563" i="1"/>
  <c r="C563" i="1"/>
  <c r="D563" i="1"/>
  <c r="E563" i="1"/>
  <c r="F563" i="1"/>
  <c r="I563" i="1"/>
  <c r="L563" i="1"/>
  <c r="N563" i="1"/>
  <c r="P563" i="1"/>
  <c r="E565" i="1"/>
  <c r="G565" i="1"/>
  <c r="J565" i="1"/>
  <c r="L565" i="1"/>
  <c r="F568" i="1"/>
  <c r="G568" i="1"/>
  <c r="I568" i="1"/>
  <c r="J568" i="1"/>
  <c r="L568" i="1"/>
  <c r="L569" i="1"/>
  <c r="I570" i="1"/>
  <c r="J570" i="1"/>
  <c r="L570" i="1"/>
  <c r="E571" i="1"/>
  <c r="F571" i="1"/>
  <c r="G571" i="1"/>
  <c r="I571" i="1"/>
  <c r="J571" i="1"/>
  <c r="L571" i="1"/>
  <c r="C572" i="1"/>
  <c r="E572" i="1"/>
  <c r="F572" i="1"/>
  <c r="L572" i="1"/>
  <c r="N572" i="1"/>
  <c r="C574" i="1"/>
  <c r="D574" i="1"/>
  <c r="E574" i="1"/>
  <c r="F574" i="1"/>
  <c r="I574" i="1"/>
  <c r="L574" i="1"/>
  <c r="N574" i="1"/>
  <c r="P574" i="1"/>
  <c r="B580" i="1"/>
  <c r="C580" i="1"/>
  <c r="D580" i="1"/>
  <c r="E580" i="1"/>
  <c r="F580" i="1"/>
  <c r="I580" i="1"/>
  <c r="L580" i="1"/>
  <c r="N580" i="1"/>
  <c r="P580" i="1"/>
  <c r="E582" i="1"/>
  <c r="G582" i="1"/>
  <c r="J582" i="1"/>
  <c r="L582" i="1"/>
  <c r="F585" i="1"/>
  <c r="G585" i="1"/>
  <c r="I585" i="1"/>
  <c r="J585" i="1"/>
  <c r="L585" i="1"/>
  <c r="L586" i="1"/>
  <c r="I587" i="1"/>
  <c r="J587" i="1"/>
  <c r="L587" i="1"/>
  <c r="E588" i="1"/>
  <c r="F588" i="1"/>
  <c r="G588" i="1"/>
  <c r="I588" i="1"/>
  <c r="J588" i="1"/>
  <c r="L588" i="1"/>
  <c r="C589" i="1"/>
  <c r="E589" i="1"/>
  <c r="F589" i="1"/>
  <c r="L589" i="1"/>
  <c r="N589" i="1"/>
  <c r="C591" i="1"/>
  <c r="D591" i="1"/>
  <c r="E591" i="1"/>
  <c r="F591" i="1"/>
  <c r="I591" i="1"/>
  <c r="L591" i="1"/>
  <c r="N591" i="1"/>
  <c r="P591" i="1"/>
  <c r="B597" i="1"/>
  <c r="C597" i="1"/>
  <c r="D597" i="1"/>
  <c r="E597" i="1"/>
  <c r="F597" i="1"/>
  <c r="I597" i="1"/>
  <c r="L597" i="1"/>
  <c r="N597" i="1"/>
  <c r="P597" i="1"/>
  <c r="E599" i="1"/>
  <c r="G599" i="1"/>
  <c r="J599" i="1"/>
  <c r="L599" i="1"/>
  <c r="F602" i="1"/>
  <c r="G602" i="1"/>
  <c r="I602" i="1"/>
  <c r="J602" i="1"/>
  <c r="L602" i="1"/>
  <c r="L603" i="1"/>
  <c r="I604" i="1"/>
  <c r="J604" i="1"/>
  <c r="L604" i="1"/>
  <c r="E605" i="1"/>
  <c r="F605" i="1"/>
  <c r="G605" i="1"/>
  <c r="I605" i="1"/>
  <c r="J605" i="1"/>
  <c r="L605" i="1"/>
  <c r="C606" i="1"/>
  <c r="E606" i="1"/>
  <c r="F606" i="1"/>
  <c r="L606" i="1"/>
  <c r="N606" i="1"/>
  <c r="C608" i="1"/>
  <c r="D608" i="1"/>
  <c r="E608" i="1"/>
  <c r="F608" i="1"/>
  <c r="I608" i="1"/>
  <c r="L608" i="1"/>
  <c r="N608" i="1"/>
  <c r="P608" i="1"/>
  <c r="B614" i="1"/>
  <c r="C614" i="1"/>
  <c r="D614" i="1"/>
  <c r="E614" i="1"/>
  <c r="F614" i="1"/>
  <c r="I614" i="1"/>
  <c r="L614" i="1"/>
  <c r="N614" i="1"/>
  <c r="P614" i="1"/>
  <c r="E616" i="1"/>
  <c r="G616" i="1"/>
  <c r="J616" i="1"/>
  <c r="L616" i="1"/>
  <c r="F619" i="1"/>
  <c r="G619" i="1"/>
  <c r="I619" i="1"/>
  <c r="J619" i="1"/>
  <c r="L619" i="1"/>
  <c r="L620" i="1"/>
  <c r="I621" i="1"/>
  <c r="J621" i="1"/>
  <c r="L621" i="1"/>
  <c r="E622" i="1"/>
  <c r="F622" i="1"/>
  <c r="G622" i="1"/>
  <c r="I622" i="1"/>
  <c r="J622" i="1"/>
  <c r="L622" i="1"/>
  <c r="C623" i="1"/>
  <c r="E623" i="1"/>
  <c r="F623" i="1"/>
  <c r="L623" i="1"/>
  <c r="N623" i="1"/>
  <c r="C625" i="1"/>
  <c r="D625" i="1"/>
  <c r="E625" i="1"/>
  <c r="F625" i="1"/>
  <c r="I625" i="1"/>
  <c r="L625" i="1"/>
  <c r="N625" i="1"/>
  <c r="P625" i="1"/>
  <c r="C19" i="5"/>
  <c r="P19" i="5"/>
  <c r="E21" i="5"/>
  <c r="G21" i="5"/>
  <c r="J21" i="5"/>
  <c r="L21" i="5"/>
  <c r="F24" i="5"/>
  <c r="G24" i="5"/>
  <c r="I24" i="5"/>
  <c r="J24" i="5"/>
  <c r="L24" i="5"/>
  <c r="L25" i="5"/>
  <c r="I26" i="5"/>
  <c r="J26" i="5"/>
  <c r="L26" i="5"/>
  <c r="E27" i="5"/>
  <c r="F27" i="5"/>
  <c r="G27" i="5"/>
  <c r="I27" i="5"/>
  <c r="J27" i="5"/>
  <c r="L27" i="5"/>
  <c r="C28" i="5"/>
  <c r="E28" i="5"/>
  <c r="F28" i="5"/>
  <c r="L28" i="5"/>
  <c r="N28" i="5"/>
  <c r="C30" i="5"/>
  <c r="D30" i="5"/>
  <c r="E30" i="5"/>
  <c r="F30" i="5"/>
  <c r="I30" i="5"/>
  <c r="L30" i="5"/>
  <c r="N30" i="5"/>
  <c r="P30" i="5"/>
  <c r="C19" i="8"/>
  <c r="L19" i="8"/>
  <c r="E21" i="8"/>
  <c r="G21" i="8"/>
  <c r="J21" i="8"/>
  <c r="L21" i="8"/>
  <c r="F24" i="8"/>
  <c r="G24" i="8"/>
  <c r="I24" i="8"/>
  <c r="J24" i="8"/>
  <c r="L24" i="8"/>
  <c r="L25" i="8"/>
  <c r="I26" i="8"/>
  <c r="J26" i="8"/>
  <c r="L26" i="8"/>
  <c r="E27" i="8"/>
  <c r="F27" i="8"/>
  <c r="G27" i="8"/>
  <c r="I27" i="8"/>
  <c r="J27" i="8"/>
  <c r="L27" i="8"/>
  <c r="C28" i="8"/>
  <c r="E28" i="8"/>
  <c r="F28" i="8"/>
  <c r="L28" i="8"/>
  <c r="N28" i="8"/>
  <c r="C30" i="8"/>
  <c r="D30" i="8"/>
  <c r="E30" i="8"/>
  <c r="F30" i="8"/>
  <c r="I30" i="8"/>
  <c r="L30" i="8"/>
  <c r="N30" i="8"/>
  <c r="P30" i="8"/>
  <c r="P19" i="2"/>
  <c r="E21" i="2"/>
  <c r="J21" i="2"/>
  <c r="L21" i="2"/>
  <c r="F24" i="2"/>
  <c r="G24" i="2"/>
  <c r="I24" i="2"/>
  <c r="J24" i="2"/>
  <c r="L24" i="2"/>
  <c r="L25" i="2"/>
  <c r="I26" i="2"/>
  <c r="J26" i="2"/>
  <c r="L26" i="2"/>
  <c r="E27" i="2"/>
  <c r="F27" i="2"/>
  <c r="G27" i="2"/>
  <c r="I27" i="2"/>
  <c r="J27" i="2"/>
  <c r="L27" i="2"/>
  <c r="C28" i="2"/>
  <c r="E28" i="2"/>
  <c r="F28" i="2"/>
  <c r="L28" i="2"/>
  <c r="N28" i="2"/>
  <c r="C30" i="2"/>
  <c r="D30" i="2"/>
  <c r="E30" i="2"/>
  <c r="F30" i="2"/>
  <c r="I30" i="2"/>
  <c r="L30" i="2"/>
  <c r="N30" i="2"/>
  <c r="P30" i="2"/>
  <c r="P19" i="3"/>
  <c r="E21" i="3"/>
  <c r="J21" i="3"/>
  <c r="L21" i="3"/>
  <c r="G24" i="3"/>
  <c r="I24" i="3"/>
  <c r="J24" i="3"/>
  <c r="L24" i="3"/>
  <c r="L25" i="3"/>
  <c r="G26" i="3"/>
  <c r="I26" i="3"/>
  <c r="J26" i="3"/>
  <c r="L26" i="3"/>
  <c r="G27" i="3"/>
  <c r="I27" i="3"/>
  <c r="J27" i="3"/>
  <c r="L27" i="3"/>
  <c r="C28" i="3"/>
  <c r="E28" i="3"/>
  <c r="F28" i="3"/>
  <c r="L28" i="3"/>
  <c r="N28" i="3"/>
  <c r="C30" i="3"/>
  <c r="D30" i="3"/>
  <c r="E30" i="3"/>
  <c r="F30" i="3"/>
  <c r="L30" i="3"/>
  <c r="N30" i="3"/>
  <c r="P30" i="3"/>
  <c r="C19" i="10"/>
  <c r="L19" i="10"/>
  <c r="E21" i="10"/>
  <c r="G21" i="10"/>
  <c r="J21" i="10"/>
  <c r="L21" i="10"/>
  <c r="F24" i="10"/>
  <c r="G24" i="10"/>
  <c r="I24" i="10"/>
  <c r="J24" i="10"/>
  <c r="L24" i="10"/>
  <c r="L25" i="10"/>
  <c r="I26" i="10"/>
  <c r="J26" i="10"/>
  <c r="L26" i="10"/>
  <c r="E27" i="10"/>
  <c r="F27" i="10"/>
  <c r="G27" i="10"/>
  <c r="I27" i="10"/>
  <c r="J27" i="10"/>
  <c r="L27" i="10"/>
  <c r="C28" i="10"/>
  <c r="E28" i="10"/>
  <c r="F28" i="10"/>
  <c r="L28" i="10"/>
  <c r="N28" i="10"/>
  <c r="C30" i="10"/>
  <c r="D30" i="10"/>
  <c r="E30" i="10"/>
  <c r="F30" i="10"/>
  <c r="I30" i="10"/>
  <c r="L30" i="10"/>
  <c r="N30" i="10"/>
  <c r="P30" i="10"/>
  <c r="C19" i="7"/>
  <c r="E21" i="7"/>
  <c r="G21" i="7"/>
  <c r="J21" i="7"/>
  <c r="L21" i="7"/>
  <c r="F24" i="7"/>
  <c r="G24" i="7"/>
  <c r="I24" i="7"/>
  <c r="J24" i="7"/>
  <c r="L24" i="7"/>
  <c r="L25" i="7"/>
  <c r="I26" i="7"/>
  <c r="J26" i="7"/>
  <c r="L26" i="7"/>
  <c r="E27" i="7"/>
  <c r="F27" i="7"/>
  <c r="G27" i="7"/>
  <c r="I27" i="7"/>
  <c r="J27" i="7"/>
  <c r="L27" i="7"/>
  <c r="C28" i="7"/>
  <c r="E28" i="7"/>
  <c r="F28" i="7"/>
  <c r="L28" i="7"/>
  <c r="N28" i="7"/>
  <c r="C30" i="7"/>
  <c r="D30" i="7"/>
  <c r="E30" i="7"/>
  <c r="F30" i="7"/>
  <c r="I30" i="7"/>
  <c r="L30" i="7"/>
  <c r="N30" i="7"/>
  <c r="P30" i="7"/>
  <c r="C19" i="4"/>
  <c r="P19" i="4"/>
  <c r="E21" i="4"/>
  <c r="G21" i="4"/>
  <c r="J21" i="4"/>
  <c r="L21" i="4"/>
  <c r="F24" i="4"/>
  <c r="G24" i="4"/>
  <c r="I24" i="4"/>
  <c r="J24" i="4"/>
  <c r="L24" i="4"/>
  <c r="L25" i="4"/>
  <c r="I26" i="4"/>
  <c r="J26" i="4"/>
  <c r="L26" i="4"/>
  <c r="E27" i="4"/>
  <c r="F27" i="4"/>
  <c r="G27" i="4"/>
  <c r="I27" i="4"/>
  <c r="J27" i="4"/>
  <c r="L27" i="4"/>
  <c r="C28" i="4"/>
  <c r="E28" i="4"/>
  <c r="F28" i="4"/>
  <c r="L28" i="4"/>
  <c r="N28" i="4"/>
  <c r="C30" i="4"/>
  <c r="D30" i="4"/>
  <c r="E30" i="4"/>
  <c r="F30" i="4"/>
  <c r="I30" i="4"/>
  <c r="L30" i="4"/>
  <c r="N30" i="4"/>
  <c r="P30" i="4"/>
  <c r="C19" i="6"/>
  <c r="E21" i="6"/>
  <c r="G21" i="6"/>
  <c r="J21" i="6"/>
  <c r="L21" i="6"/>
  <c r="F24" i="6"/>
  <c r="G24" i="6"/>
  <c r="I24" i="6"/>
  <c r="J24" i="6"/>
  <c r="L24" i="6"/>
  <c r="L25" i="6"/>
  <c r="I26" i="6"/>
  <c r="J26" i="6"/>
  <c r="L26" i="6"/>
  <c r="E27" i="6"/>
  <c r="F27" i="6"/>
  <c r="G27" i="6"/>
  <c r="I27" i="6"/>
  <c r="J27" i="6"/>
  <c r="L27" i="6"/>
  <c r="C28" i="6"/>
  <c r="E28" i="6"/>
  <c r="F28" i="6"/>
  <c r="L28" i="6"/>
  <c r="N28" i="6"/>
  <c r="C30" i="6"/>
  <c r="D30" i="6"/>
  <c r="E30" i="6"/>
  <c r="F30" i="6"/>
  <c r="I30" i="6"/>
  <c r="L30" i="6"/>
  <c r="N30" i="6"/>
  <c r="P30" i="6"/>
</calcChain>
</file>

<file path=xl/sharedStrings.xml><?xml version="1.0" encoding="utf-8"?>
<sst xmlns="http://schemas.openxmlformats.org/spreadsheetml/2006/main" count="1023" uniqueCount="247">
  <si>
    <t>Gas Purchases</t>
  </si>
  <si>
    <t>Cost</t>
  </si>
  <si>
    <t>MIP</t>
  </si>
  <si>
    <t>Amount</t>
  </si>
  <si>
    <t>Volumes</t>
  </si>
  <si>
    <t>Type of Volume</t>
  </si>
  <si>
    <t>Net</t>
  </si>
  <si>
    <t>Monthly</t>
  </si>
  <si>
    <t>NORTHERN NATURAL GAS COMPANY</t>
  </si>
  <si>
    <t>Revalue 2/00 Shortfall @ Current MIP:</t>
  </si>
  <si>
    <t xml:space="preserve">  Net 3/00 Activity</t>
  </si>
  <si>
    <t>3/99 Balance Per Books:</t>
  </si>
  <si>
    <t>Revalue 3/99 Shortfall @ Current MIP:</t>
  </si>
  <si>
    <t>4/99 Activity</t>
  </si>
  <si>
    <t xml:space="preserve">  Net 4/99 Activity</t>
  </si>
  <si>
    <t>4/99 Balance Per Books:</t>
  </si>
  <si>
    <t>Revalue 4/99 Shortfall @ Current MIP:</t>
  </si>
  <si>
    <t>5/99 Activity</t>
  </si>
  <si>
    <t xml:space="preserve">  Net 5/99 Activity</t>
  </si>
  <si>
    <t>5/99 Balance Per Books:</t>
  </si>
  <si>
    <t>Revalue 5/99 Shortfall @ Current MIP:</t>
  </si>
  <si>
    <t>6/99 Activity</t>
  </si>
  <si>
    <t xml:space="preserve">  Net 6/99 Activity</t>
  </si>
  <si>
    <t>6/99 Balance Per Books:</t>
  </si>
  <si>
    <t>Revalue 6/99 Shortfall @ Current MIP:</t>
  </si>
  <si>
    <t>7/99 Activity</t>
  </si>
  <si>
    <t xml:space="preserve">  Net 7/99 Activity</t>
  </si>
  <si>
    <t>7/99 Balance Per Books:</t>
  </si>
  <si>
    <t>Revalue 7/99 Shortfall @ Current MIP:</t>
  </si>
  <si>
    <t>8/99 Activity</t>
  </si>
  <si>
    <t xml:space="preserve">  Net 8/99 Activity</t>
  </si>
  <si>
    <t>8/99 Balance Per Books:</t>
  </si>
  <si>
    <t>Revalue 8/99 Shortfall @ Current MIP:</t>
  </si>
  <si>
    <t>9/99 Activity</t>
  </si>
  <si>
    <t xml:space="preserve">  Net 9/99 Activity</t>
  </si>
  <si>
    <t>9/99 Balance Per Books:</t>
  </si>
  <si>
    <t>Revalue 9/99 Shortfall @ Current MIP:</t>
  </si>
  <si>
    <t>10/99 Activity</t>
  </si>
  <si>
    <t xml:space="preserve">  Net 10/99 Activity</t>
  </si>
  <si>
    <t>10/99 Balance Per Books:</t>
  </si>
  <si>
    <t>Revalue 10/99 Shortfall @ Current MIP:</t>
  </si>
  <si>
    <t>11/99 Activity</t>
  </si>
  <si>
    <t xml:space="preserve">  Net 11/99 Activity</t>
  </si>
  <si>
    <t>11/99 Balance Per Books:</t>
  </si>
  <si>
    <t>Revalue 11/99 Shortfall @ Current MIP:</t>
  </si>
  <si>
    <t>12/99 Activity</t>
  </si>
  <si>
    <t xml:space="preserve">  Net 12/99 Activity</t>
  </si>
  <si>
    <t>12/99 Balance Per Books:</t>
  </si>
  <si>
    <t>Revalue 12/99 Shortfall @ Current MIP:</t>
  </si>
  <si>
    <t>01/00 Activity</t>
  </si>
  <si>
    <t xml:space="preserve">  Net 01/00 Activity</t>
  </si>
  <si>
    <t>01/00 Balance Per Books:</t>
  </si>
  <si>
    <t>Revalue 01/00 Shortfall @ Current MIP:</t>
  </si>
  <si>
    <t>02/00 Activity</t>
  </si>
  <si>
    <t xml:space="preserve">  Net 02/00 Activity</t>
  </si>
  <si>
    <t>02/00 Balance Per Books:</t>
  </si>
  <si>
    <t>Operational</t>
  </si>
  <si>
    <t>Storage</t>
  </si>
  <si>
    <t>(Over)/Under</t>
  </si>
  <si>
    <t>14 Bcf</t>
  </si>
  <si>
    <t>SLA Calculation</t>
  </si>
  <si>
    <t>Volume</t>
  </si>
  <si>
    <t>Column (a)</t>
  </si>
  <si>
    <t>(b)</t>
  </si>
  <si>
    <t>(d)</t>
  </si>
  <si>
    <t>(e)</t>
  </si>
  <si>
    <t>(f)</t>
  </si>
  <si>
    <t>(g)</t>
  </si>
  <si>
    <t>(h)</t>
  </si>
  <si>
    <t>Line</t>
  </si>
  <si>
    <t>No.</t>
  </si>
  <si>
    <t>Col (e)/(d)</t>
  </si>
  <si>
    <t>Col (g)-(f)</t>
  </si>
  <si>
    <t>1/</t>
  </si>
  <si>
    <t xml:space="preserve">  1/  Prior Month's MIP</t>
  </si>
  <si>
    <t>SLA Impact</t>
  </si>
  <si>
    <t>Increase/</t>
  </si>
  <si>
    <t>(Decrease)</t>
  </si>
  <si>
    <t>(i)</t>
  </si>
  <si>
    <t>Valued</t>
  </si>
  <si>
    <t>Dollar</t>
  </si>
  <si>
    <t>Miscellaneous</t>
  </si>
  <si>
    <t>(c)</t>
  </si>
  <si>
    <t>April, 1999</t>
  </si>
  <si>
    <t>May, 1999</t>
  </si>
  <si>
    <t>June, 1999</t>
  </si>
  <si>
    <t>July, 1999</t>
  </si>
  <si>
    <t>August, 1999</t>
  </si>
  <si>
    <t>September, 1999</t>
  </si>
  <si>
    <t>October, 1999</t>
  </si>
  <si>
    <t>November, 1999</t>
  </si>
  <si>
    <t>December, 1999</t>
  </si>
  <si>
    <t>January, 2000</t>
  </si>
  <si>
    <t>February, 2000</t>
  </si>
  <si>
    <t>March, 2000</t>
  </si>
  <si>
    <t>Per Mcf</t>
  </si>
  <si>
    <t>Col (c)+(d)</t>
  </si>
  <si>
    <t xml:space="preserve">Dollar Valued Imbalance </t>
  </si>
  <si>
    <t>Imbalance Tiering Gain</t>
  </si>
  <si>
    <t>Col (d)*(h)</t>
  </si>
  <si>
    <t>October, 1998</t>
  </si>
  <si>
    <t>9/98 Balance Per Books:</t>
  </si>
  <si>
    <t>10/98 Activity</t>
  </si>
  <si>
    <t>10/98 Balance Per Books:</t>
  </si>
  <si>
    <t>November, 1998</t>
  </si>
  <si>
    <t>Revalue 9/98 Shortfall @ Current MIP:</t>
  </si>
  <si>
    <t xml:space="preserve">  Net 10/98 Activity</t>
  </si>
  <si>
    <t>Revalue 10/98 Shortfall @ Current MIP:</t>
  </si>
  <si>
    <t>11/98 Activity</t>
  </si>
  <si>
    <t xml:space="preserve">  Net 11/98 Activity</t>
  </si>
  <si>
    <t>11/98 Balance Per Books:</t>
  </si>
  <si>
    <t>December, 1998</t>
  </si>
  <si>
    <t>Revalue 11/98 Shortfall @ Current MIP:</t>
  </si>
  <si>
    <t>12/98 Activity</t>
  </si>
  <si>
    <t>12/98 Balance Per Books:</t>
  </si>
  <si>
    <t>January, 1999</t>
  </si>
  <si>
    <t>Revalue 12/98 Shortfall @ Current MIP:</t>
  </si>
  <si>
    <t>1/99 Activity</t>
  </si>
  <si>
    <t>1/99 Balance Per Books:</t>
  </si>
  <si>
    <t>February, 1999</t>
  </si>
  <si>
    <t>Revalue 1/99 Shortfall @ Current MIP:</t>
  </si>
  <si>
    <t>2/99 Activity</t>
  </si>
  <si>
    <t xml:space="preserve">  Net 2/99 Activity</t>
  </si>
  <si>
    <t>2/99 Balance Per Books:</t>
  </si>
  <si>
    <t>March, 1999</t>
  </si>
  <si>
    <t>Revalue 2/99 Shortfall @ Current MIP:</t>
  </si>
  <si>
    <t>3/99 Activity</t>
  </si>
  <si>
    <t xml:space="preserve">  Net 3/99 Activity</t>
  </si>
  <si>
    <t xml:space="preserve">  Net 12/98 Activity</t>
  </si>
  <si>
    <t xml:space="preserve">  Net 1/99 Activity</t>
  </si>
  <si>
    <t>April, 2000</t>
  </si>
  <si>
    <t>Revalue 3/00 Shortfall @ Current MIP:</t>
  </si>
  <si>
    <t>4/00 Activity</t>
  </si>
  <si>
    <t xml:space="preserve">  Net 4/00 Activity</t>
  </si>
  <si>
    <t>4/00 Balance Per Books:</t>
  </si>
  <si>
    <t>May, 2000</t>
  </si>
  <si>
    <t>Revalue 4/00 Shortfall @ Current MIP:</t>
  </si>
  <si>
    <t>5/00 Activity</t>
  </si>
  <si>
    <t xml:space="preserve">  Net 5/00 Activity</t>
  </si>
  <si>
    <t>5/00 Balance Per Books:</t>
  </si>
  <si>
    <t>June, 2000</t>
  </si>
  <si>
    <t>Revalue 5/00 Shortfall @ Current MIP:</t>
  </si>
  <si>
    <t>6/00 Activity</t>
  </si>
  <si>
    <t xml:space="preserve">  Net 6/00 Activity</t>
  </si>
  <si>
    <t>6/00 Balance Per Books:</t>
  </si>
  <si>
    <t>July, 2000</t>
  </si>
  <si>
    <t>Revalue 6/00 Shortfall @ Current MIP:</t>
  </si>
  <si>
    <t>7/00 Activity</t>
  </si>
  <si>
    <t xml:space="preserve">  Net 7/00 Activity</t>
  </si>
  <si>
    <t>7/00 Balance Per Books:</t>
  </si>
  <si>
    <t>August, 2000</t>
  </si>
  <si>
    <t>Revalue 7/00 Shortfall @ Current MIP:</t>
  </si>
  <si>
    <t>8/00 Activity</t>
  </si>
  <si>
    <t xml:space="preserve">  Net 8/00 Activity</t>
  </si>
  <si>
    <t>8/00 Balance Per Books:</t>
  </si>
  <si>
    <t>September, 2000</t>
  </si>
  <si>
    <t>Revalue 8/00 Shortfall @ Current MIP:</t>
  </si>
  <si>
    <t>9/00 Activity</t>
  </si>
  <si>
    <t xml:space="preserve">  Net 9/00 Activity</t>
  </si>
  <si>
    <t>9/00 Balance Per Books:</t>
  </si>
  <si>
    <t>October, 2000</t>
  </si>
  <si>
    <t>Revalue 9/00 Shortfall @ Current MIP:</t>
  </si>
  <si>
    <t>10/00 Activity</t>
  </si>
  <si>
    <t xml:space="preserve">  Net 10/00 Activity</t>
  </si>
  <si>
    <t>10/00 Balance Per Books:</t>
  </si>
  <si>
    <t>November, 2000</t>
  </si>
  <si>
    <t>Revalue 10/00 Shortfall @ Current MIP:</t>
  </si>
  <si>
    <t>11/00 Activity</t>
  </si>
  <si>
    <t xml:space="preserve">  Net 11/00 Activity</t>
  </si>
  <si>
    <t>11/00 Balance Per Books:</t>
  </si>
  <si>
    <t>December, 2000</t>
  </si>
  <si>
    <t>Revalue 11/00 Shortfall @ Current MIP:</t>
  </si>
  <si>
    <t>12/00 Activity</t>
  </si>
  <si>
    <t xml:space="preserve">  Net 12/00 Activity</t>
  </si>
  <si>
    <t>12/00 Balance Per Books:</t>
  </si>
  <si>
    <t>September, 1998</t>
  </si>
  <si>
    <t>8/98 Balance Per Books:</t>
  </si>
  <si>
    <t>Revalue 8/98 Shortfall @ Current MIP:</t>
  </si>
  <si>
    <t>9/98 Activity</t>
  </si>
  <si>
    <t xml:space="preserve">  Net 9/98 Activity</t>
  </si>
  <si>
    <t>January, 2001</t>
  </si>
  <si>
    <t>Revalue 12/00 Shortfall @ Current MIP:</t>
  </si>
  <si>
    <t>01/01 Activity</t>
  </si>
  <si>
    <t>03/00 Activity</t>
  </si>
  <si>
    <t>03/00 Balance Per Books:</t>
  </si>
  <si>
    <t xml:space="preserve">  Net 01/01 Activity</t>
  </si>
  <si>
    <t>01/01 Balance Per Books:</t>
  </si>
  <si>
    <t>SLA Account</t>
  </si>
  <si>
    <t>Liability</t>
  </si>
  <si>
    <t>(j)</t>
  </si>
  <si>
    <t>(k)</t>
  </si>
  <si>
    <t>Col (d)*(g)</t>
  </si>
  <si>
    <t>Cash Out/</t>
  </si>
  <si>
    <t>(Cash In)</t>
  </si>
  <si>
    <t>Future</t>
  </si>
  <si>
    <t>Cash Portion -</t>
  </si>
  <si>
    <t>Col (e)*-1</t>
  </si>
  <si>
    <t>Total</t>
  </si>
  <si>
    <t>February 2001</t>
  </si>
  <si>
    <t>February, 2001</t>
  </si>
  <si>
    <t>Revalue 01/01 Shortfall @ Current MIP:</t>
  </si>
  <si>
    <t>02/01 Activity</t>
  </si>
  <si>
    <t>02/01 Balance Per Books:</t>
  </si>
  <si>
    <t xml:space="preserve">  Net 02/01 Activity</t>
  </si>
  <si>
    <t>System Levelized Account</t>
  </si>
  <si>
    <t>Privileged and Confidential.  Prepared for</t>
  </si>
  <si>
    <t>Settlement purposes only.</t>
  </si>
  <si>
    <t>January 2001</t>
  </si>
  <si>
    <t>(Cash Out)/</t>
  </si>
  <si>
    <t>Cash In</t>
  </si>
  <si>
    <t>March, 2001</t>
  </si>
  <si>
    <t>Revalue 02/01 Shortfall @ Current MIP:</t>
  </si>
  <si>
    <t>03/01 Activity</t>
  </si>
  <si>
    <t xml:space="preserve">  Net 03/01 Activity</t>
  </si>
  <si>
    <t>03/01 Balance Per Books:</t>
  </si>
  <si>
    <t>March 2001</t>
  </si>
  <si>
    <t>April, 2001</t>
  </si>
  <si>
    <t>Revalue 03/01 Shortfall @ Current MIP:</t>
  </si>
  <si>
    <t>04/01 Activity</t>
  </si>
  <si>
    <t xml:space="preserve">  Net 04/01 Activity</t>
  </si>
  <si>
    <t>04/01 Balance Per Books:</t>
  </si>
  <si>
    <t>April 2001</t>
  </si>
  <si>
    <t>May, 2001</t>
  </si>
  <si>
    <t>Revalue 04/01 Shortfall @ Current MIP:</t>
  </si>
  <si>
    <t>05/01 Activity</t>
  </si>
  <si>
    <t xml:space="preserve">  Net 05/01 Activity</t>
  </si>
  <si>
    <t>05/01 Balance Per Books:</t>
  </si>
  <si>
    <t>May 2001</t>
  </si>
  <si>
    <t>June, 2001</t>
  </si>
  <si>
    <t>Revalue 05/01 Shortfall @ Current MIP:</t>
  </si>
  <si>
    <t>06/01 Activity</t>
  </si>
  <si>
    <t>06/01 Balance Per Books:</t>
  </si>
  <si>
    <t xml:space="preserve">  Net 06/01 Activity</t>
  </si>
  <si>
    <t>June 2001</t>
  </si>
  <si>
    <t>July, 2001</t>
  </si>
  <si>
    <t>Revalue 06/01 Shortfall @ Current MIP:</t>
  </si>
  <si>
    <t>07/01 Activity</t>
  </si>
  <si>
    <t xml:space="preserve">  Net 07/01 Activity</t>
  </si>
  <si>
    <t>07/01 Balance Per Books:</t>
  </si>
  <si>
    <t>July 2001</t>
  </si>
  <si>
    <t>September 1998 to August 2001</t>
  </si>
  <si>
    <t>August, 2001</t>
  </si>
  <si>
    <t>Revalue 07/01 Shortfall @ Current MIP:</t>
  </si>
  <si>
    <t>08/01 Activity</t>
  </si>
  <si>
    <t xml:space="preserve">  Net 08/01 Activity</t>
  </si>
  <si>
    <t>08/01 Balance Per Books:</t>
  </si>
  <si>
    <t>August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</si>
</sst>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9" formatCode="_(* #,##0.0000_);_(* \(#,##0.0000\);_(* &quot;-&quot;??_);_(@_)"/>
    <numFmt numFmtId="171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7">
    <xf numFmtId="0" fontId="0" fillId="0" borderId="0" xfId="0"/>
    <xf numFmtId="164" fontId="0" fillId="0" borderId="1" xfId="1" applyNumberFormat="1" applyFont="1" applyBorder="1"/>
    <xf numFmtId="0" fontId="0" fillId="0" borderId="0" xfId="0" applyBorder="1"/>
    <xf numFmtId="164" fontId="0" fillId="0" borderId="0" xfId="1" applyNumberFormat="1" applyFont="1" applyBorder="1"/>
    <xf numFmtId="0" fontId="2" fillId="0" borderId="0" xfId="0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 applyBorder="1"/>
    <xf numFmtId="169" fontId="0" fillId="0" borderId="0" xfId="1" applyNumberFormat="1" applyFont="1"/>
    <xf numFmtId="169" fontId="3" fillId="0" borderId="0" xfId="1" applyNumberFormat="1" applyFont="1" applyBorder="1"/>
    <xf numFmtId="169" fontId="0" fillId="0" borderId="0" xfId="1" applyNumberFormat="1" applyFont="1" applyBorder="1"/>
    <xf numFmtId="169" fontId="2" fillId="0" borderId="0" xfId="1" applyNumberFormat="1" applyFont="1" applyBorder="1" applyAlignment="1">
      <alignment horizontal="center"/>
    </xf>
    <xf numFmtId="0" fontId="2" fillId="0" borderId="2" xfId="0" applyFont="1" applyBorder="1"/>
    <xf numFmtId="164" fontId="0" fillId="0" borderId="3" xfId="1" applyNumberFormat="1" applyFont="1" applyBorder="1"/>
    <xf numFmtId="169" fontId="0" fillId="0" borderId="3" xfId="1" applyNumberFormat="1" applyFont="1" applyBorder="1"/>
    <xf numFmtId="164" fontId="2" fillId="0" borderId="0" xfId="1" applyNumberFormat="1" applyFont="1" applyBorder="1"/>
    <xf numFmtId="164" fontId="2" fillId="0" borderId="0" xfId="1" applyNumberFormat="1" applyFont="1" applyAlignment="1">
      <alignment horizontal="center"/>
    </xf>
    <xf numFmtId="164" fontId="3" fillId="0" borderId="3" xfId="1" applyNumberFormat="1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/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9" fontId="3" fillId="0" borderId="0" xfId="1" applyNumberFormat="1" applyFont="1" applyBorder="1" applyAlignment="1">
      <alignment horizontal="center"/>
    </xf>
    <xf numFmtId="0" fontId="3" fillId="0" borderId="0" xfId="0" applyFont="1"/>
    <xf numFmtId="169" fontId="2" fillId="0" borderId="0" xfId="1" applyNumberFormat="1" applyFont="1"/>
    <xf numFmtId="0" fontId="3" fillId="0" borderId="0" xfId="0" applyFont="1" applyAlignment="1">
      <alignment horizontal="center"/>
    </xf>
    <xf numFmtId="164" fontId="0" fillId="0" borderId="0" xfId="0" applyNumberFormat="1"/>
    <xf numFmtId="49" fontId="3" fillId="0" borderId="0" xfId="1" applyNumberFormat="1" applyFont="1" applyBorder="1" applyAlignment="1">
      <alignment horizontal="center"/>
    </xf>
    <xf numFmtId="171" fontId="0" fillId="0" borderId="4" xfId="2" applyNumberFormat="1" applyFont="1" applyBorder="1"/>
    <xf numFmtId="169" fontId="3" fillId="0" borderId="0" xfId="1" applyNumberFormat="1" applyFont="1" applyBorder="1" applyAlignment="1"/>
    <xf numFmtId="164" fontId="3" fillId="0" borderId="0" xfId="1" applyNumberFormat="1" applyFont="1" applyBorder="1" applyAlignment="1"/>
    <xf numFmtId="164" fontId="3" fillId="0" borderId="0" xfId="1" applyNumberFormat="1" applyFont="1" applyBorder="1"/>
    <xf numFmtId="171" fontId="0" fillId="0" borderId="0" xfId="2" applyNumberFormat="1" applyFont="1" applyBorder="1"/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71" fontId="3" fillId="0" borderId="4" xfId="2" applyNumberFormat="1" applyFont="1" applyBorder="1"/>
    <xf numFmtId="42" fontId="0" fillId="0" borderId="3" xfId="1" applyNumberFormat="1" applyFont="1" applyBorder="1"/>
    <xf numFmtId="42" fontId="0" fillId="0" borderId="3" xfId="1" applyNumberFormat="1" applyFont="1" applyFill="1" applyBorder="1"/>
    <xf numFmtId="164" fontId="2" fillId="0" borderId="0" xfId="1" quotePrefix="1" applyNumberFormat="1" applyFont="1"/>
    <xf numFmtId="42" fontId="0" fillId="0" borderId="0" xfId="0" applyNumberFormat="1"/>
    <xf numFmtId="42" fontId="3" fillId="0" borderId="0" xfId="0" applyNumberFormat="1" applyFont="1"/>
    <xf numFmtId="42" fontId="0" fillId="2" borderId="3" xfId="1" applyNumberFormat="1" applyFont="1" applyFill="1" applyBorder="1"/>
    <xf numFmtId="164" fontId="2" fillId="2" borderId="0" xfId="1" applyNumberFormat="1" applyFont="1" applyFill="1" applyBorder="1" applyAlignment="1">
      <alignment horizontal="center"/>
    </xf>
    <xf numFmtId="0" fontId="0" fillId="2" borderId="0" xfId="0" applyFill="1"/>
    <xf numFmtId="42" fontId="2" fillId="2" borderId="0" xfId="0" applyNumberFormat="1" applyFont="1" applyFill="1" applyAlignment="1">
      <alignment horizontal="center"/>
    </xf>
    <xf numFmtId="42" fontId="3" fillId="2" borderId="0" xfId="0" applyNumberFormat="1" applyFont="1" applyFill="1" applyAlignment="1">
      <alignment horizontal="center"/>
    </xf>
    <xf numFmtId="42" fontId="3" fillId="2" borderId="0" xfId="0" applyNumberFormat="1" applyFont="1" applyFill="1"/>
    <xf numFmtId="42" fontId="0" fillId="2" borderId="0" xfId="0" applyNumberFormat="1" applyFill="1"/>
    <xf numFmtId="42" fontId="0" fillId="2" borderId="3" xfId="0" applyNumberFormat="1" applyFill="1" applyBorder="1"/>
    <xf numFmtId="169" fontId="0" fillId="2" borderId="3" xfId="1" applyNumberFormat="1" applyFont="1" applyFill="1" applyBorder="1"/>
    <xf numFmtId="164" fontId="2" fillId="0" borderId="0" xfId="1" applyNumberFormat="1" applyFont="1" applyFill="1" applyBorder="1" applyAlignment="1">
      <alignment horizontal="center"/>
    </xf>
    <xf numFmtId="0" fontId="0" fillId="0" borderId="0" xfId="0" applyFill="1"/>
    <xf numFmtId="0" fontId="3" fillId="2" borderId="0" xfId="0" applyFont="1" applyFill="1"/>
    <xf numFmtId="169" fontId="2" fillId="0" borderId="0" xfId="1" applyNumberFormat="1" applyFont="1" applyAlignment="1">
      <alignment horizontal="center"/>
    </xf>
    <xf numFmtId="0" fontId="0" fillId="0" borderId="5" xfId="0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 applyAlignment="1"/>
    <xf numFmtId="0" fontId="0" fillId="0" borderId="1" xfId="0" applyBorder="1"/>
    <xf numFmtId="0" fontId="0" fillId="0" borderId="9" xfId="0" applyBorder="1"/>
    <xf numFmtId="42" fontId="0" fillId="0" borderId="0" xfId="0" applyNumberFormat="1" applyFill="1"/>
    <xf numFmtId="164" fontId="2" fillId="2" borderId="1" xfId="1" applyNumberFormat="1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7"/>
  <sheetViews>
    <sheetView zoomScale="75" workbookViewId="0">
      <selection activeCell="L3" sqref="L3"/>
    </sheetView>
  </sheetViews>
  <sheetFormatPr defaultRowHeight="13.2" x14ac:dyDescent="0.25"/>
  <cols>
    <col min="1" max="1" width="6.6640625" style="19" customWidth="1"/>
    <col min="2" max="2" width="34.6640625" customWidth="1"/>
    <col min="3" max="3" width="14.5546875" style="6" customWidth="1"/>
    <col min="4" max="5" width="11.6640625" style="6" customWidth="1"/>
    <col min="6" max="6" width="13.5546875" style="6" customWidth="1"/>
    <col min="7" max="7" width="12.5546875" style="9" customWidth="1"/>
    <col min="8" max="8" width="3.6640625" style="9" customWidth="1"/>
    <col min="9" max="9" width="9.88671875" style="9" customWidth="1"/>
    <col min="10" max="10" width="12.109375" style="9" customWidth="1"/>
    <col min="11" max="11" width="1.6640625" style="9" customWidth="1"/>
    <col min="12" max="12" width="13.6640625" style="6" customWidth="1"/>
    <col min="13" max="13" width="1.6640625" customWidth="1"/>
    <col min="14" max="14" width="16.109375" style="43" bestFit="1" customWidth="1"/>
    <col min="15" max="15" width="1.6640625" style="43" customWidth="1"/>
    <col min="16" max="16" width="12.6640625" style="43" customWidth="1"/>
    <col min="17" max="17" width="17.6640625" customWidth="1"/>
  </cols>
  <sheetData>
    <row r="1" spans="1:16" x14ac:dyDescent="0.25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5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5">
      <c r="B3" s="7" t="s">
        <v>240</v>
      </c>
      <c r="C3" s="7"/>
      <c r="D3" s="7"/>
      <c r="I3" s="10"/>
      <c r="J3" s="10"/>
      <c r="K3" s="10"/>
      <c r="L3" s="34"/>
    </row>
    <row r="4" spans="1:16" x14ac:dyDescent="0.25">
      <c r="B4" s="42"/>
      <c r="C4" s="7"/>
      <c r="D4" s="7"/>
      <c r="I4" s="10"/>
      <c r="J4" s="10"/>
      <c r="K4" s="10"/>
      <c r="L4" s="34"/>
    </row>
    <row r="5" spans="1:16" x14ac:dyDescent="0.25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5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5">
      <c r="C7" s="5" t="s">
        <v>56</v>
      </c>
      <c r="N7" s="48" t="s">
        <v>192</v>
      </c>
      <c r="O7" s="48"/>
      <c r="P7" s="48" t="s">
        <v>188</v>
      </c>
    </row>
    <row r="8" spans="1:16" x14ac:dyDescent="0.25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5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5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5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5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5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5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5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5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2" hidden="1" x14ac:dyDescent="0.25">
      <c r="B17" s="37" t="s">
        <v>175</v>
      </c>
      <c r="C17" s="5"/>
      <c r="D17" s="5"/>
      <c r="E17" s="5"/>
      <c r="F17" s="5"/>
      <c r="G17" s="12"/>
      <c r="H17" s="12"/>
      <c r="I17" s="12"/>
      <c r="J17" s="12"/>
      <c r="K17" s="12"/>
      <c r="L17" s="5"/>
    </row>
    <row r="18" spans="1:12" hidden="1" x14ac:dyDescent="0.25">
      <c r="B18" s="4"/>
      <c r="C18" s="5"/>
      <c r="D18" s="5"/>
      <c r="E18" s="5"/>
      <c r="F18" s="5"/>
      <c r="G18" s="12"/>
      <c r="H18" s="12"/>
      <c r="I18" s="12"/>
      <c r="J18" s="12"/>
      <c r="K18" s="12"/>
      <c r="L18" s="5"/>
    </row>
    <row r="19" spans="1:12" hidden="1" x14ac:dyDescent="0.25">
      <c r="A19" s="19">
        <v>1</v>
      </c>
      <c r="B19" s="13" t="s">
        <v>176</v>
      </c>
      <c r="C19" s="14">
        <f>D19+E19</f>
        <v>1540868</v>
      </c>
      <c r="D19" s="18">
        <v>-5981599</v>
      </c>
      <c r="E19" s="14">
        <v>7522467</v>
      </c>
      <c r="F19" s="14"/>
      <c r="G19" s="15"/>
      <c r="H19" s="15"/>
      <c r="I19" s="15"/>
      <c r="J19" s="15"/>
      <c r="K19" s="15"/>
      <c r="L19" s="31">
        <v>11208742</v>
      </c>
    </row>
    <row r="20" spans="1:12" hidden="1" x14ac:dyDescent="0.25">
      <c r="B20" s="4"/>
      <c r="C20" s="5"/>
      <c r="D20" s="5"/>
      <c r="E20" s="5"/>
      <c r="F20" s="5"/>
      <c r="G20" s="12"/>
      <c r="H20" s="12"/>
      <c r="I20" s="12"/>
      <c r="J20" s="12"/>
      <c r="K20" s="12"/>
      <c r="L20" s="5"/>
    </row>
    <row r="21" spans="1:12" hidden="1" x14ac:dyDescent="0.25">
      <c r="A21" s="19">
        <v>2</v>
      </c>
      <c r="B21" s="8" t="s">
        <v>177</v>
      </c>
      <c r="C21" s="16"/>
      <c r="D21" s="16"/>
      <c r="E21" s="3">
        <v>7522467</v>
      </c>
      <c r="F21" s="3"/>
      <c r="G21" s="11">
        <v>1.7023999999999999</v>
      </c>
      <c r="H21" s="11" t="s">
        <v>73</v>
      </c>
      <c r="I21" s="11">
        <v>1.7766999999999999</v>
      </c>
      <c r="J21" s="11">
        <f>I21-G21</f>
        <v>7.4300000000000033E-2</v>
      </c>
      <c r="K21" s="11"/>
      <c r="L21" s="3">
        <f>E21*J21</f>
        <v>558919.29810000025</v>
      </c>
    </row>
    <row r="22" spans="1:12" hidden="1" x14ac:dyDescent="0.25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</row>
    <row r="23" spans="1:12" hidden="1" x14ac:dyDescent="0.25">
      <c r="A23" s="19">
        <v>3</v>
      </c>
      <c r="B23" s="8" t="s">
        <v>178</v>
      </c>
      <c r="C23" s="16"/>
      <c r="D23" s="16"/>
      <c r="E23" s="3"/>
      <c r="F23" s="3"/>
      <c r="G23" s="11"/>
      <c r="H23" s="11"/>
      <c r="I23" s="11"/>
      <c r="J23" s="11"/>
      <c r="K23" s="11"/>
      <c r="L23" s="3"/>
    </row>
    <row r="24" spans="1:12" hidden="1" x14ac:dyDescent="0.25">
      <c r="A24" s="19">
        <v>4</v>
      </c>
      <c r="B24" s="2" t="s">
        <v>97</v>
      </c>
      <c r="C24" s="3"/>
      <c r="D24" s="3"/>
      <c r="E24" s="3">
        <v>1243020</v>
      </c>
      <c r="F24" s="3">
        <v>1947010</v>
      </c>
      <c r="G24" s="11">
        <f>F24/E24</f>
        <v>1.5663545236601182</v>
      </c>
      <c r="H24" s="11"/>
      <c r="I24" s="11">
        <v>1.7766999999999999</v>
      </c>
      <c r="J24" s="11">
        <f>I24-G24</f>
        <v>0.21034547633988177</v>
      </c>
      <c r="K24" s="11"/>
      <c r="L24" s="3">
        <f>E24*J24</f>
        <v>261463.63399999985</v>
      </c>
    </row>
    <row r="25" spans="1:12" hidden="1" x14ac:dyDescent="0.25">
      <c r="A25" s="19">
        <v>5</v>
      </c>
      <c r="B25" s="2" t="s">
        <v>98</v>
      </c>
      <c r="C25" s="3"/>
      <c r="D25" s="3"/>
      <c r="E25" s="3"/>
      <c r="F25" s="3"/>
      <c r="G25" s="11"/>
      <c r="H25" s="11"/>
      <c r="I25" s="11"/>
      <c r="J25" s="11"/>
      <c r="K25" s="11"/>
      <c r="L25" s="3">
        <f>-F25</f>
        <v>0</v>
      </c>
    </row>
    <row r="26" spans="1:12" hidden="1" x14ac:dyDescent="0.25">
      <c r="A26" s="19">
        <v>6</v>
      </c>
      <c r="B26" s="2" t="s">
        <v>0</v>
      </c>
      <c r="C26" s="3"/>
      <c r="D26" s="3"/>
      <c r="E26" s="3">
        <v>-530550</v>
      </c>
      <c r="F26" s="3">
        <v>-1115055</v>
      </c>
      <c r="G26" s="11">
        <f>F26/E26</f>
        <v>2.1016963528413912</v>
      </c>
      <c r="H26" s="11"/>
      <c r="I26" s="11">
        <v>1.7766999999999999</v>
      </c>
      <c r="J26" s="11">
        <f>I26-G26</f>
        <v>-0.32499635284139128</v>
      </c>
      <c r="K26" s="11"/>
      <c r="L26" s="3">
        <f>E26*J26</f>
        <v>172426.81500000015</v>
      </c>
    </row>
    <row r="27" spans="1:12" hidden="1" x14ac:dyDescent="0.25">
      <c r="A27" s="19">
        <v>7</v>
      </c>
      <c r="B27" s="2" t="s">
        <v>81</v>
      </c>
      <c r="C27" s="1"/>
      <c r="D27" s="1"/>
      <c r="E27" s="1">
        <v>174059</v>
      </c>
      <c r="F27" s="1">
        <v>304359</v>
      </c>
      <c r="G27" s="11">
        <f>F27/E27</f>
        <v>1.7485967401857991</v>
      </c>
      <c r="H27" s="11"/>
      <c r="I27" s="11">
        <v>1.7766999999999999</v>
      </c>
      <c r="J27" s="11">
        <f>I27-G27</f>
        <v>2.8103259814200809E-2</v>
      </c>
      <c r="K27" s="11"/>
      <c r="L27" s="1">
        <f>E27*J27-1</f>
        <v>4890.6252999999788</v>
      </c>
    </row>
    <row r="28" spans="1:12" hidden="1" x14ac:dyDescent="0.25">
      <c r="A28" s="19">
        <v>8</v>
      </c>
      <c r="B28" s="2" t="s">
        <v>179</v>
      </c>
      <c r="C28" s="3">
        <f>D28+E28</f>
        <v>548539</v>
      </c>
      <c r="D28" s="3">
        <v>-337990</v>
      </c>
      <c r="E28" s="3">
        <f>SUM(E24:E27)</f>
        <v>886529</v>
      </c>
      <c r="F28" s="3">
        <f>SUM(F24:F27)</f>
        <v>1136314</v>
      </c>
      <c r="G28" s="11"/>
      <c r="H28" s="11"/>
      <c r="I28" s="11"/>
      <c r="J28" s="11"/>
      <c r="K28" s="11"/>
      <c r="L28" s="3">
        <f>SUM(L24:L27)</f>
        <v>438781.07429999998</v>
      </c>
    </row>
    <row r="29" spans="1:12" hidden="1" x14ac:dyDescent="0.25"/>
    <row r="30" spans="1:12" hidden="1" x14ac:dyDescent="0.25">
      <c r="A30" s="19">
        <v>9</v>
      </c>
      <c r="B30" s="13" t="s">
        <v>101</v>
      </c>
      <c r="C30" s="18">
        <f>C19+C28</f>
        <v>2089407</v>
      </c>
      <c r="D30" s="18">
        <f>D19+D28</f>
        <v>-6319589</v>
      </c>
      <c r="E30" s="14">
        <f>E19+E28</f>
        <v>8408996</v>
      </c>
      <c r="F30" s="14"/>
      <c r="G30" s="15"/>
      <c r="H30" s="15"/>
      <c r="I30" s="15"/>
      <c r="J30" s="15"/>
      <c r="K30" s="15"/>
      <c r="L30" s="31">
        <f>L19+L21+L28</f>
        <v>12206442.372400001</v>
      </c>
    </row>
    <row r="31" spans="1:12" hidden="1" x14ac:dyDescent="0.25">
      <c r="B31" s="8"/>
      <c r="C31" s="34"/>
      <c r="D31" s="34"/>
      <c r="E31" s="3"/>
      <c r="F31" s="3"/>
      <c r="G31" s="11"/>
      <c r="H31" s="11"/>
      <c r="I31" s="11"/>
      <c r="J31" s="11"/>
      <c r="K31" s="11"/>
      <c r="L31" s="35"/>
    </row>
    <row r="32" spans="1:12" hidden="1" x14ac:dyDescent="0.25">
      <c r="B32" s="36" t="s">
        <v>74</v>
      </c>
      <c r="C32" s="34"/>
      <c r="D32" s="34"/>
      <c r="E32" s="3"/>
      <c r="F32" s="3"/>
      <c r="G32" s="11"/>
      <c r="H32" s="11"/>
      <c r="I32" s="11"/>
      <c r="J32" s="11"/>
      <c r="K32" s="11"/>
      <c r="L32" s="35"/>
    </row>
    <row r="33" spans="1:16" s="26" customFormat="1" hidden="1" x14ac:dyDescent="0.25">
      <c r="A33" s="28"/>
      <c r="B33" s="21"/>
      <c r="C33" s="23"/>
      <c r="D33" s="30"/>
      <c r="E33" s="24"/>
      <c r="F33" s="24"/>
      <c r="G33" s="25"/>
      <c r="H33" s="25"/>
      <c r="I33" s="25"/>
      <c r="J33" s="25"/>
      <c r="K33" s="25"/>
      <c r="L33" s="24"/>
      <c r="N33" s="44"/>
      <c r="O33" s="44"/>
      <c r="P33" s="44"/>
    </row>
    <row r="34" spans="1:16" hidden="1" x14ac:dyDescent="0.25">
      <c r="B34" s="37" t="s">
        <v>100</v>
      </c>
      <c r="C34" s="5"/>
      <c r="D34" s="5"/>
      <c r="E34" s="5"/>
      <c r="F34" s="5"/>
      <c r="G34" s="12"/>
      <c r="H34" s="12"/>
      <c r="I34" s="12"/>
      <c r="J34" s="12"/>
      <c r="K34" s="12"/>
      <c r="L34" s="5"/>
    </row>
    <row r="35" spans="1:16" hidden="1" x14ac:dyDescent="0.25">
      <c r="B35" s="4"/>
      <c r="C35" s="5"/>
      <c r="D35" s="5"/>
      <c r="E35" s="5"/>
      <c r="F35" s="5"/>
      <c r="G35" s="12"/>
      <c r="H35" s="12"/>
      <c r="I35" s="12"/>
      <c r="J35" s="12"/>
      <c r="K35" s="12"/>
      <c r="L35" s="5"/>
    </row>
    <row r="36" spans="1:16" hidden="1" x14ac:dyDescent="0.25">
      <c r="A36" s="19">
        <v>1</v>
      </c>
      <c r="B36" s="13" t="s">
        <v>101</v>
      </c>
      <c r="C36" s="14">
        <f>C30</f>
        <v>2089407</v>
      </c>
      <c r="D36" s="18">
        <f>D30</f>
        <v>-6319589</v>
      </c>
      <c r="E36" s="14">
        <f>E30</f>
        <v>8408996</v>
      </c>
      <c r="F36" s="14"/>
      <c r="G36" s="15"/>
      <c r="H36" s="15"/>
      <c r="I36" s="15"/>
      <c r="J36" s="15"/>
      <c r="K36" s="15"/>
      <c r="L36" s="31">
        <f>L30</f>
        <v>12206442.372400001</v>
      </c>
    </row>
    <row r="37" spans="1:16" hidden="1" x14ac:dyDescent="0.25">
      <c r="B37" s="4"/>
      <c r="C37" s="5"/>
      <c r="D37" s="5"/>
      <c r="E37" s="5"/>
      <c r="F37" s="5"/>
      <c r="G37" s="12"/>
      <c r="H37" s="12"/>
      <c r="I37" s="12"/>
      <c r="J37" s="12"/>
      <c r="K37" s="12"/>
      <c r="L37" s="5"/>
    </row>
    <row r="38" spans="1:16" hidden="1" x14ac:dyDescent="0.25">
      <c r="A38" s="19">
        <v>2</v>
      </c>
      <c r="B38" s="8" t="s">
        <v>105</v>
      </c>
      <c r="C38" s="16"/>
      <c r="D38" s="16"/>
      <c r="E38" s="3">
        <v>8408996</v>
      </c>
      <c r="F38" s="3"/>
      <c r="G38" s="11">
        <v>1.7766999999999999</v>
      </c>
      <c r="H38" s="11" t="s">
        <v>73</v>
      </c>
      <c r="I38" s="11">
        <v>1.7614000000000001</v>
      </c>
      <c r="J38" s="11">
        <f>I38-G38</f>
        <v>-1.5299999999999869E-2</v>
      </c>
      <c r="K38" s="11"/>
      <c r="L38" s="3">
        <f>E38*J38</f>
        <v>-128657.63879999889</v>
      </c>
    </row>
    <row r="39" spans="1:16" hidden="1" x14ac:dyDescent="0.25">
      <c r="B39" s="2"/>
      <c r="C39" s="3"/>
      <c r="D39" s="3"/>
      <c r="E39" s="3"/>
      <c r="F39" s="3"/>
      <c r="G39" s="11"/>
      <c r="H39" s="11"/>
      <c r="I39" s="11"/>
      <c r="J39" s="11"/>
      <c r="K39" s="11"/>
      <c r="L39" s="3"/>
    </row>
    <row r="40" spans="1:16" hidden="1" x14ac:dyDescent="0.25">
      <c r="A40" s="19">
        <v>3</v>
      </c>
      <c r="B40" s="8" t="s">
        <v>102</v>
      </c>
      <c r="C40" s="16"/>
      <c r="D40" s="16"/>
      <c r="E40" s="3"/>
      <c r="F40" s="3"/>
      <c r="G40" s="11"/>
      <c r="H40" s="11"/>
      <c r="I40" s="11"/>
      <c r="J40" s="11"/>
      <c r="K40" s="11"/>
      <c r="L40" s="3"/>
    </row>
    <row r="41" spans="1:16" hidden="1" x14ac:dyDescent="0.25">
      <c r="A41" s="19">
        <v>4</v>
      </c>
      <c r="B41" s="2" t="s">
        <v>97</v>
      </c>
      <c r="C41" s="3"/>
      <c r="D41" s="3"/>
      <c r="E41" s="3">
        <v>503523</v>
      </c>
      <c r="F41" s="3">
        <v>661339</v>
      </c>
      <c r="G41" s="11">
        <f>F41/E41</f>
        <v>1.3134236171932563</v>
      </c>
      <c r="H41" s="11"/>
      <c r="I41" s="11">
        <v>1.7614000000000001</v>
      </c>
      <c r="J41" s="11">
        <f>I41-G41</f>
        <v>0.44797638280674379</v>
      </c>
      <c r="K41" s="11"/>
      <c r="L41" s="3">
        <f>E41*J41</f>
        <v>225566.41220000005</v>
      </c>
    </row>
    <row r="42" spans="1:16" hidden="1" x14ac:dyDescent="0.25">
      <c r="A42" s="19">
        <v>5</v>
      </c>
      <c r="B42" s="2" t="s">
        <v>98</v>
      </c>
      <c r="C42" s="3"/>
      <c r="D42" s="3"/>
      <c r="E42" s="3"/>
      <c r="F42" s="3"/>
      <c r="G42" s="11"/>
      <c r="H42" s="11"/>
      <c r="I42" s="11"/>
      <c r="J42" s="11"/>
      <c r="K42" s="11"/>
      <c r="L42" s="3">
        <f>-F42</f>
        <v>0</v>
      </c>
    </row>
    <row r="43" spans="1:16" hidden="1" x14ac:dyDescent="0.25">
      <c r="A43" s="19">
        <v>6</v>
      </c>
      <c r="B43" s="2" t="s">
        <v>0</v>
      </c>
      <c r="C43" s="3"/>
      <c r="D43" s="3"/>
      <c r="E43" s="3">
        <v>-1242455</v>
      </c>
      <c r="F43" s="3">
        <v>-2272631</v>
      </c>
      <c r="G43" s="11">
        <f>F43/E43</f>
        <v>1.8291455223730437</v>
      </c>
      <c r="H43" s="11"/>
      <c r="I43" s="11">
        <v>1.7614000000000001</v>
      </c>
      <c r="J43" s="11">
        <f>I43-G43</f>
        <v>-6.7745522373043654E-2</v>
      </c>
      <c r="K43" s="11"/>
      <c r="L43" s="3">
        <f>E43*J43</f>
        <v>84170.762999999948</v>
      </c>
    </row>
    <row r="44" spans="1:16" hidden="1" x14ac:dyDescent="0.25">
      <c r="A44" s="19">
        <v>7</v>
      </c>
      <c r="B44" s="2" t="s">
        <v>81</v>
      </c>
      <c r="C44" s="1"/>
      <c r="D44" s="1"/>
      <c r="E44" s="1">
        <v>94400</v>
      </c>
      <c r="F44" s="1">
        <v>173380</v>
      </c>
      <c r="G44" s="11">
        <f>F44/E44</f>
        <v>1.8366525423728814</v>
      </c>
      <c r="H44" s="11"/>
      <c r="I44" s="11">
        <v>1.7614000000000001</v>
      </c>
      <c r="J44" s="11">
        <f>I44-G44</f>
        <v>-7.525254237288137E-2</v>
      </c>
      <c r="K44" s="11"/>
      <c r="L44" s="1">
        <f>E44*J44</f>
        <v>-7103.8400000000011</v>
      </c>
    </row>
    <row r="45" spans="1:16" hidden="1" x14ac:dyDescent="0.25">
      <c r="A45" s="19">
        <v>8</v>
      </c>
      <c r="B45" s="2" t="s">
        <v>106</v>
      </c>
      <c r="C45" s="3">
        <f>D45+E45</f>
        <v>-1147056</v>
      </c>
      <c r="D45" s="3">
        <v>-502524</v>
      </c>
      <c r="E45" s="3">
        <f>SUM(E41:E44)</f>
        <v>-644532</v>
      </c>
      <c r="F45" s="3">
        <f>SUM(F41:F44)</f>
        <v>-1437912</v>
      </c>
      <c r="G45" s="11"/>
      <c r="H45" s="11"/>
      <c r="I45" s="11"/>
      <c r="J45" s="11"/>
      <c r="K45" s="11"/>
      <c r="L45" s="3">
        <f>SUM(L41:L44)</f>
        <v>302633.33519999997</v>
      </c>
    </row>
    <row r="46" spans="1:16" hidden="1" x14ac:dyDescent="0.25"/>
    <row r="47" spans="1:16" hidden="1" x14ac:dyDescent="0.25">
      <c r="A47" s="19">
        <v>9</v>
      </c>
      <c r="B47" s="13" t="s">
        <v>103</v>
      </c>
      <c r="C47" s="18">
        <f>C36+C45</f>
        <v>942351</v>
      </c>
      <c r="D47" s="18">
        <f>D36+D45</f>
        <v>-6822113</v>
      </c>
      <c r="E47" s="14">
        <f>E36+E45</f>
        <v>7764464</v>
      </c>
      <c r="F47" s="14"/>
      <c r="G47" s="15"/>
      <c r="H47" s="15"/>
      <c r="I47" s="15"/>
      <c r="J47" s="15"/>
      <c r="K47" s="15"/>
      <c r="L47" s="31">
        <f>L36+L38+L45</f>
        <v>12380418.068800002</v>
      </c>
    </row>
    <row r="48" spans="1:16" hidden="1" x14ac:dyDescent="0.25">
      <c r="B48" s="8"/>
      <c r="C48" s="34"/>
      <c r="D48" s="34"/>
      <c r="E48" s="3"/>
      <c r="F48" s="3"/>
      <c r="G48" s="11"/>
      <c r="H48" s="11"/>
      <c r="I48" s="11"/>
      <c r="J48" s="11"/>
      <c r="K48" s="11"/>
      <c r="L48" s="35"/>
    </row>
    <row r="49" spans="1:12" hidden="1" x14ac:dyDescent="0.25">
      <c r="B49" s="36" t="s">
        <v>74</v>
      </c>
      <c r="C49" s="34"/>
      <c r="D49" s="34"/>
      <c r="E49" s="3"/>
      <c r="F49" s="3"/>
      <c r="G49" s="11"/>
      <c r="H49" s="11"/>
      <c r="I49" s="11"/>
      <c r="J49" s="11"/>
      <c r="K49" s="11"/>
      <c r="L49" s="35"/>
    </row>
    <row r="50" spans="1:12" hidden="1" x14ac:dyDescent="0.25">
      <c r="B50" s="36"/>
      <c r="C50" s="34"/>
      <c r="D50" s="34"/>
      <c r="E50" s="3"/>
      <c r="F50" s="3"/>
      <c r="G50" s="11"/>
      <c r="H50" s="11"/>
      <c r="I50" s="11"/>
      <c r="J50" s="11"/>
      <c r="K50" s="11"/>
      <c r="L50" s="35"/>
    </row>
    <row r="51" spans="1:12" hidden="1" x14ac:dyDescent="0.25">
      <c r="B51" s="37" t="s">
        <v>104</v>
      </c>
      <c r="C51" s="5"/>
      <c r="D51" s="5"/>
      <c r="E51" s="5"/>
      <c r="F51" s="5"/>
      <c r="G51" s="12"/>
      <c r="H51" s="12"/>
      <c r="I51" s="12"/>
      <c r="J51" s="12"/>
      <c r="K51" s="12"/>
      <c r="L51" s="5"/>
    </row>
    <row r="52" spans="1:12" hidden="1" x14ac:dyDescent="0.25">
      <c r="B52" s="4"/>
      <c r="C52" s="5"/>
      <c r="D52" s="5"/>
      <c r="E52" s="5"/>
      <c r="F52" s="5"/>
      <c r="G52" s="12"/>
      <c r="H52" s="12"/>
      <c r="I52" s="12"/>
      <c r="J52" s="12"/>
      <c r="K52" s="12"/>
      <c r="L52" s="5"/>
    </row>
    <row r="53" spans="1:12" hidden="1" x14ac:dyDescent="0.25">
      <c r="A53" s="19">
        <v>1</v>
      </c>
      <c r="B53" s="13" t="s">
        <v>103</v>
      </c>
      <c r="C53" s="14">
        <f>C47</f>
        <v>942351</v>
      </c>
      <c r="D53" s="18">
        <f>D47</f>
        <v>-6822113</v>
      </c>
      <c r="E53" s="14">
        <f>E47</f>
        <v>7764464</v>
      </c>
      <c r="F53" s="14"/>
      <c r="G53" s="15"/>
      <c r="H53" s="15"/>
      <c r="I53" s="15"/>
      <c r="J53" s="15"/>
      <c r="K53" s="15"/>
      <c r="L53" s="31">
        <f>L47</f>
        <v>12380418.068800002</v>
      </c>
    </row>
    <row r="54" spans="1:12" hidden="1" x14ac:dyDescent="0.25">
      <c r="B54" s="4"/>
      <c r="C54" s="5"/>
      <c r="D54" s="5"/>
      <c r="E54" s="5"/>
      <c r="F54" s="5"/>
      <c r="G54" s="12"/>
      <c r="H54" s="12"/>
      <c r="I54" s="12"/>
      <c r="J54" s="12"/>
      <c r="K54" s="12"/>
      <c r="L54" s="5"/>
    </row>
    <row r="55" spans="1:12" hidden="1" x14ac:dyDescent="0.25">
      <c r="A55" s="19">
        <v>2</v>
      </c>
      <c r="B55" s="8" t="s">
        <v>107</v>
      </c>
      <c r="C55" s="16"/>
      <c r="D55" s="16"/>
      <c r="E55" s="3">
        <v>7764464</v>
      </c>
      <c r="F55" s="3"/>
      <c r="G55" s="11">
        <v>1.7614000000000001</v>
      </c>
      <c r="H55" s="11" t="s">
        <v>73</v>
      </c>
      <c r="I55" s="11">
        <v>2.0207000000000002</v>
      </c>
      <c r="J55" s="11">
        <f>I55-G55</f>
        <v>0.25930000000000009</v>
      </c>
      <c r="K55" s="11"/>
      <c r="L55" s="3">
        <f>E55*J55</f>
        <v>2013325.5152000007</v>
      </c>
    </row>
    <row r="56" spans="1:12" hidden="1" x14ac:dyDescent="0.25">
      <c r="B56" s="2"/>
      <c r="C56" s="3"/>
      <c r="D56" s="3"/>
      <c r="E56" s="3"/>
      <c r="F56" s="3"/>
      <c r="G56" s="11"/>
      <c r="H56" s="11"/>
      <c r="I56" s="11"/>
      <c r="J56" s="11"/>
      <c r="K56" s="11"/>
      <c r="L56" s="3"/>
    </row>
    <row r="57" spans="1:12" hidden="1" x14ac:dyDescent="0.25">
      <c r="A57" s="19">
        <v>3</v>
      </c>
      <c r="B57" s="8" t="s">
        <v>108</v>
      </c>
      <c r="C57" s="16"/>
      <c r="D57" s="16"/>
      <c r="E57" s="3"/>
      <c r="F57" s="3"/>
      <c r="G57" s="11"/>
      <c r="H57" s="11"/>
      <c r="I57" s="11"/>
      <c r="J57" s="11"/>
      <c r="K57" s="11"/>
      <c r="L57" s="3"/>
    </row>
    <row r="58" spans="1:12" hidden="1" x14ac:dyDescent="0.25">
      <c r="A58" s="19">
        <v>4</v>
      </c>
      <c r="B58" s="2" t="s">
        <v>97</v>
      </c>
      <c r="C58" s="3"/>
      <c r="D58" s="3"/>
      <c r="E58" s="3">
        <v>-1947698</v>
      </c>
      <c r="F58" s="3">
        <v>-4226041</v>
      </c>
      <c r="G58" s="11">
        <f>F58/E58</f>
        <v>2.1697619446135898</v>
      </c>
      <c r="H58" s="11"/>
      <c r="I58" s="11">
        <v>2.0207000000000002</v>
      </c>
      <c r="J58" s="11">
        <f>I58-G58</f>
        <v>-0.14906194461358968</v>
      </c>
      <c r="K58" s="11"/>
      <c r="L58" s="3">
        <f>E58*J58</f>
        <v>290327.65139999939</v>
      </c>
    </row>
    <row r="59" spans="1:12" hidden="1" x14ac:dyDescent="0.25">
      <c r="A59" s="19">
        <v>5</v>
      </c>
      <c r="B59" s="2" t="s">
        <v>98</v>
      </c>
      <c r="C59" s="3"/>
      <c r="D59" s="3"/>
      <c r="E59" s="3"/>
      <c r="F59" s="3"/>
      <c r="G59" s="11"/>
      <c r="H59" s="11"/>
      <c r="I59" s="11"/>
      <c r="J59" s="11"/>
      <c r="K59" s="11"/>
      <c r="L59" s="3">
        <f>-F59</f>
        <v>0</v>
      </c>
    </row>
    <row r="60" spans="1:12" hidden="1" x14ac:dyDescent="0.25">
      <c r="A60" s="19">
        <v>6</v>
      </c>
      <c r="B60" s="2" t="s">
        <v>0</v>
      </c>
      <c r="C60" s="3"/>
      <c r="D60" s="3"/>
      <c r="E60" s="3">
        <v>-199670</v>
      </c>
      <c r="F60" s="3">
        <v>-405398</v>
      </c>
      <c r="G60" s="11">
        <f>F60/E60</f>
        <v>2.0303400611008162</v>
      </c>
      <c r="H60" s="11"/>
      <c r="I60" s="11">
        <v>2.0207000000000002</v>
      </c>
      <c r="J60" s="11">
        <f>I60-G60</f>
        <v>-9.6400611008160553E-3</v>
      </c>
      <c r="K60" s="11"/>
      <c r="L60" s="3">
        <f>E60*J60</f>
        <v>1924.8309999999417</v>
      </c>
    </row>
    <row r="61" spans="1:12" hidden="1" x14ac:dyDescent="0.25">
      <c r="A61" s="19">
        <v>7</v>
      </c>
      <c r="B61" s="2" t="s">
        <v>81</v>
      </c>
      <c r="C61" s="1"/>
      <c r="D61" s="1"/>
      <c r="E61" s="1">
        <v>253429</v>
      </c>
      <c r="F61" s="1">
        <v>457798</v>
      </c>
      <c r="G61" s="11">
        <f>F61/E61</f>
        <v>1.806415208993446</v>
      </c>
      <c r="H61" s="11"/>
      <c r="I61" s="11">
        <v>2.0207000000000002</v>
      </c>
      <c r="J61" s="11">
        <f>I61-G61</f>
        <v>0.21428479100655418</v>
      </c>
      <c r="K61" s="11"/>
      <c r="L61" s="1">
        <f>E61*J61</f>
        <v>54305.980300000017</v>
      </c>
    </row>
    <row r="62" spans="1:12" hidden="1" x14ac:dyDescent="0.25">
      <c r="A62" s="19">
        <v>8</v>
      </c>
      <c r="B62" s="2" t="s">
        <v>109</v>
      </c>
      <c r="C62" s="3">
        <f>D62+E62</f>
        <v>-1614266</v>
      </c>
      <c r="D62" s="3">
        <v>279673</v>
      </c>
      <c r="E62" s="3">
        <f>SUM(E58:E61)</f>
        <v>-1893939</v>
      </c>
      <c r="F62" s="3">
        <f>SUM(F58:F61)</f>
        <v>-4173641</v>
      </c>
      <c r="G62" s="11"/>
      <c r="H62" s="11"/>
      <c r="I62" s="11"/>
      <c r="J62" s="11"/>
      <c r="K62" s="11"/>
      <c r="L62" s="3">
        <f>SUM(L58:L61)</f>
        <v>346558.46269999933</v>
      </c>
    </row>
    <row r="63" spans="1:12" hidden="1" x14ac:dyDescent="0.25"/>
    <row r="64" spans="1:12" hidden="1" x14ac:dyDescent="0.25">
      <c r="A64" s="19">
        <v>9</v>
      </c>
      <c r="B64" s="13" t="s">
        <v>110</v>
      </c>
      <c r="C64" s="18">
        <f>C53+C62</f>
        <v>-671915</v>
      </c>
      <c r="D64" s="18">
        <f>D53+D62</f>
        <v>-6542440</v>
      </c>
      <c r="E64" s="14">
        <f>E53+E62</f>
        <v>5870525</v>
      </c>
      <c r="F64" s="14"/>
      <c r="G64" s="15"/>
      <c r="H64" s="15"/>
      <c r="I64" s="15"/>
      <c r="J64" s="15"/>
      <c r="K64" s="15"/>
      <c r="L64" s="31">
        <f>L53+L55+L62</f>
        <v>14740302.046700003</v>
      </c>
    </row>
    <row r="65" spans="1:12" hidden="1" x14ac:dyDescent="0.25">
      <c r="B65" s="8"/>
      <c r="C65" s="34"/>
      <c r="D65" s="34"/>
      <c r="E65" s="3"/>
      <c r="F65" s="3"/>
      <c r="G65" s="11"/>
      <c r="H65" s="11"/>
      <c r="I65" s="11"/>
      <c r="J65" s="11"/>
      <c r="K65" s="11"/>
      <c r="L65" s="35"/>
    </row>
    <row r="66" spans="1:12" hidden="1" x14ac:dyDescent="0.25">
      <c r="B66" s="36" t="s">
        <v>74</v>
      </c>
      <c r="C66" s="34"/>
      <c r="D66" s="34"/>
      <c r="E66" s="3"/>
      <c r="F66" s="3"/>
      <c r="G66" s="11"/>
      <c r="H66" s="11"/>
      <c r="I66" s="11"/>
      <c r="J66" s="11"/>
      <c r="K66" s="11"/>
      <c r="L66" s="35"/>
    </row>
    <row r="67" spans="1:12" hidden="1" x14ac:dyDescent="0.25">
      <c r="B67" s="36"/>
      <c r="C67" s="34"/>
      <c r="D67" s="34"/>
      <c r="E67" s="3"/>
      <c r="F67" s="3"/>
      <c r="G67" s="11"/>
      <c r="H67" s="11"/>
      <c r="I67" s="11"/>
      <c r="J67" s="11"/>
      <c r="K67" s="11"/>
      <c r="L67" s="35"/>
    </row>
    <row r="68" spans="1:12" hidden="1" x14ac:dyDescent="0.25">
      <c r="B68" s="37" t="s">
        <v>111</v>
      </c>
      <c r="C68" s="5"/>
      <c r="D68" s="5"/>
      <c r="E68" s="5"/>
      <c r="F68" s="5"/>
      <c r="G68" s="12"/>
      <c r="H68" s="12"/>
      <c r="I68" s="12"/>
      <c r="J68" s="12"/>
      <c r="K68" s="12"/>
      <c r="L68" s="5"/>
    </row>
    <row r="69" spans="1:12" hidden="1" x14ac:dyDescent="0.25">
      <c r="B69" s="4"/>
      <c r="C69" s="5"/>
      <c r="D69" s="5"/>
      <c r="E69" s="5"/>
      <c r="F69" s="5"/>
      <c r="G69" s="12"/>
      <c r="H69" s="12"/>
      <c r="I69" s="12"/>
      <c r="J69" s="12"/>
      <c r="K69" s="12"/>
      <c r="L69" s="5"/>
    </row>
    <row r="70" spans="1:12" hidden="1" x14ac:dyDescent="0.25">
      <c r="A70" s="19">
        <v>1</v>
      </c>
      <c r="B70" s="13" t="s">
        <v>110</v>
      </c>
      <c r="C70" s="14">
        <f>C64</f>
        <v>-671915</v>
      </c>
      <c r="D70" s="18">
        <f>D64</f>
        <v>-6542440</v>
      </c>
      <c r="E70" s="14">
        <f>E64</f>
        <v>5870525</v>
      </c>
      <c r="F70" s="14"/>
      <c r="G70" s="15"/>
      <c r="H70" s="15"/>
      <c r="I70" s="15"/>
      <c r="J70" s="15"/>
      <c r="K70" s="15"/>
      <c r="L70" s="31">
        <f>L64</f>
        <v>14740302.046700003</v>
      </c>
    </row>
    <row r="71" spans="1:12" hidden="1" x14ac:dyDescent="0.25">
      <c r="B71" s="4"/>
      <c r="C71" s="5"/>
      <c r="D71" s="5"/>
      <c r="E71" s="5"/>
      <c r="F71" s="5"/>
      <c r="G71" s="12"/>
      <c r="H71" s="12"/>
      <c r="I71" s="12"/>
      <c r="J71" s="12"/>
      <c r="K71" s="12"/>
      <c r="L71" s="5"/>
    </row>
    <row r="72" spans="1:12" hidden="1" x14ac:dyDescent="0.25">
      <c r="A72" s="19">
        <v>2</v>
      </c>
      <c r="B72" s="8" t="s">
        <v>112</v>
      </c>
      <c r="C72" s="16"/>
      <c r="D72" s="16"/>
      <c r="E72" s="3">
        <v>5870525</v>
      </c>
      <c r="F72" s="3"/>
      <c r="G72" s="11">
        <v>2.0207000000000002</v>
      </c>
      <c r="H72" s="11" t="s">
        <v>73</v>
      </c>
      <c r="I72" s="11">
        <v>1.6813</v>
      </c>
      <c r="J72" s="11">
        <f>I72-G72</f>
        <v>-0.33940000000000015</v>
      </c>
      <c r="K72" s="11"/>
      <c r="L72" s="3">
        <f>E72*J72</f>
        <v>-1992456.1850000008</v>
      </c>
    </row>
    <row r="73" spans="1:12" hidden="1" x14ac:dyDescent="0.25">
      <c r="B73" s="2"/>
      <c r="C73" s="3"/>
      <c r="D73" s="3"/>
      <c r="E73" s="3"/>
      <c r="F73" s="3"/>
      <c r="G73" s="11"/>
      <c r="H73" s="11"/>
      <c r="I73" s="11"/>
      <c r="J73" s="11"/>
      <c r="K73" s="11"/>
      <c r="L73" s="3"/>
    </row>
    <row r="74" spans="1:12" hidden="1" x14ac:dyDescent="0.25">
      <c r="A74" s="19">
        <v>3</v>
      </c>
      <c r="B74" s="8" t="s">
        <v>113</v>
      </c>
      <c r="C74" s="16"/>
      <c r="D74" s="16"/>
      <c r="E74" s="3"/>
      <c r="F74" s="3"/>
      <c r="G74" s="11"/>
      <c r="H74" s="11"/>
      <c r="I74" s="11"/>
      <c r="J74" s="11"/>
      <c r="K74" s="11"/>
      <c r="L74" s="3"/>
    </row>
    <row r="75" spans="1:12" hidden="1" x14ac:dyDescent="0.25">
      <c r="A75" s="19">
        <v>4</v>
      </c>
      <c r="B75" s="2" t="s">
        <v>97</v>
      </c>
      <c r="C75" s="3"/>
      <c r="D75" s="3"/>
      <c r="E75" s="3">
        <v>544946</v>
      </c>
      <c r="F75" s="3">
        <v>903461</v>
      </c>
      <c r="G75" s="11">
        <f>F75/E75</f>
        <v>1.6578908735911448</v>
      </c>
      <c r="H75" s="11"/>
      <c r="I75" s="11">
        <v>1.6813</v>
      </c>
      <c r="J75" s="11">
        <f>I75-G75</f>
        <v>2.3409126408855174E-2</v>
      </c>
      <c r="K75" s="11"/>
      <c r="L75" s="3">
        <f>E75*J75</f>
        <v>12756.709799999991</v>
      </c>
    </row>
    <row r="76" spans="1:12" hidden="1" x14ac:dyDescent="0.25">
      <c r="A76" s="19">
        <v>5</v>
      </c>
      <c r="B76" s="2" t="s">
        <v>98</v>
      </c>
      <c r="C76" s="3"/>
      <c r="D76" s="3"/>
      <c r="E76" s="3"/>
      <c r="F76" s="3">
        <v>177638</v>
      </c>
      <c r="G76" s="11"/>
      <c r="H76" s="11"/>
      <c r="I76" s="11"/>
      <c r="J76" s="11"/>
      <c r="K76" s="11"/>
      <c r="L76" s="3">
        <f>-F76</f>
        <v>-177638</v>
      </c>
    </row>
    <row r="77" spans="1:12" hidden="1" x14ac:dyDescent="0.25">
      <c r="A77" s="19">
        <v>6</v>
      </c>
      <c r="B77" s="2" t="s">
        <v>0</v>
      </c>
      <c r="C77" s="3"/>
      <c r="D77" s="3"/>
      <c r="E77" s="3">
        <v>-15491</v>
      </c>
      <c r="F77" s="3">
        <v>-90906</v>
      </c>
      <c r="G77" s="11">
        <f>F77/E77</f>
        <v>5.8683106319798597</v>
      </c>
      <c r="H77" s="11"/>
      <c r="I77" s="11">
        <v>1.6813</v>
      </c>
      <c r="J77" s="11">
        <f>I77-G77</f>
        <v>-4.1870106319798595</v>
      </c>
      <c r="K77" s="11"/>
      <c r="L77" s="3">
        <f>E77*J77</f>
        <v>64860.981700000004</v>
      </c>
    </row>
    <row r="78" spans="1:12" hidden="1" x14ac:dyDescent="0.25">
      <c r="A78" s="19">
        <v>7</v>
      </c>
      <c r="B78" s="2" t="s">
        <v>81</v>
      </c>
      <c r="C78" s="1"/>
      <c r="D78" s="1"/>
      <c r="E78" s="1">
        <v>207215</v>
      </c>
      <c r="F78" s="1">
        <v>415788</v>
      </c>
      <c r="G78" s="11">
        <f>F78/E78</f>
        <v>2.0065535796153755</v>
      </c>
      <c r="H78" s="11"/>
      <c r="I78" s="11">
        <v>1.6813</v>
      </c>
      <c r="J78" s="11">
        <f>I78-G78</f>
        <v>-0.32525357961537549</v>
      </c>
      <c r="K78" s="11"/>
      <c r="L78" s="1">
        <f>E78*J78</f>
        <v>-67397.420500000037</v>
      </c>
    </row>
    <row r="79" spans="1:12" hidden="1" x14ac:dyDescent="0.25">
      <c r="A79" s="19">
        <v>8</v>
      </c>
      <c r="B79" s="2" t="s">
        <v>128</v>
      </c>
      <c r="C79" s="3">
        <f>D79+E79</f>
        <v>1006781</v>
      </c>
      <c r="D79" s="3">
        <v>270111</v>
      </c>
      <c r="E79" s="3">
        <f>SUM(E75:E78)</f>
        <v>736670</v>
      </c>
      <c r="F79" s="3">
        <f>SUM(F75:F78)</f>
        <v>1405981</v>
      </c>
      <c r="G79" s="11"/>
      <c r="H79" s="11"/>
      <c r="I79" s="11"/>
      <c r="J79" s="11"/>
      <c r="K79" s="11"/>
      <c r="L79" s="3">
        <f>SUM(L75:L78)</f>
        <v>-167417.72900000005</v>
      </c>
    </row>
    <row r="80" spans="1:12" hidden="1" x14ac:dyDescent="0.25"/>
    <row r="81" spans="1:12" hidden="1" x14ac:dyDescent="0.25">
      <c r="A81" s="19">
        <v>9</v>
      </c>
      <c r="B81" s="13" t="s">
        <v>114</v>
      </c>
      <c r="C81" s="18">
        <f>C70+C79</f>
        <v>334866</v>
      </c>
      <c r="D81" s="18">
        <f>D70+D79</f>
        <v>-6272329</v>
      </c>
      <c r="E81" s="14">
        <f>E70+E79</f>
        <v>6607195</v>
      </c>
      <c r="F81" s="14"/>
      <c r="G81" s="15"/>
      <c r="H81" s="15"/>
      <c r="I81" s="15"/>
      <c r="J81" s="15"/>
      <c r="K81" s="15"/>
      <c r="L81" s="31">
        <f>L70+L72+L79+1</f>
        <v>12580429.132700002</v>
      </c>
    </row>
    <row r="82" spans="1:12" hidden="1" x14ac:dyDescent="0.25">
      <c r="B82" s="8"/>
      <c r="C82" s="34"/>
      <c r="D82" s="34"/>
      <c r="E82" s="3"/>
      <c r="F82" s="3"/>
      <c r="G82" s="11"/>
      <c r="H82" s="11"/>
      <c r="I82" s="11"/>
      <c r="J82" s="11"/>
      <c r="K82" s="11"/>
      <c r="L82" s="35"/>
    </row>
    <row r="83" spans="1:12" hidden="1" x14ac:dyDescent="0.25">
      <c r="B83" s="36" t="s">
        <v>74</v>
      </c>
      <c r="C83" s="34"/>
      <c r="D83" s="34"/>
      <c r="E83" s="3"/>
      <c r="F83" s="3"/>
      <c r="G83" s="11"/>
      <c r="H83" s="11"/>
      <c r="I83" s="11"/>
      <c r="J83" s="11"/>
      <c r="K83" s="11"/>
      <c r="L83" s="35"/>
    </row>
    <row r="84" spans="1:12" hidden="1" x14ac:dyDescent="0.25">
      <c r="B84" s="36"/>
      <c r="C84" s="34"/>
      <c r="D84" s="34"/>
      <c r="E84" s="3"/>
      <c r="F84" s="3"/>
      <c r="G84" s="11"/>
      <c r="H84" s="11"/>
      <c r="I84" s="11"/>
      <c r="J84" s="11"/>
      <c r="K84" s="11"/>
      <c r="L84" s="35"/>
    </row>
    <row r="85" spans="1:12" hidden="1" x14ac:dyDescent="0.25">
      <c r="B85" s="37" t="s">
        <v>115</v>
      </c>
      <c r="C85" s="5"/>
      <c r="D85" s="5"/>
      <c r="E85" s="5"/>
      <c r="F85" s="5"/>
      <c r="G85" s="12"/>
      <c r="H85" s="12"/>
      <c r="I85" s="12"/>
      <c r="J85" s="12"/>
      <c r="K85" s="12"/>
      <c r="L85" s="5"/>
    </row>
    <row r="86" spans="1:12" hidden="1" x14ac:dyDescent="0.25">
      <c r="B86" s="4"/>
      <c r="C86" s="5"/>
      <c r="D86" s="5"/>
      <c r="E86" s="5"/>
      <c r="F86" s="5"/>
      <c r="G86" s="12"/>
      <c r="H86" s="12"/>
      <c r="I86" s="12"/>
      <c r="J86" s="12"/>
      <c r="K86" s="12"/>
      <c r="L86" s="5"/>
    </row>
    <row r="87" spans="1:12" hidden="1" x14ac:dyDescent="0.25">
      <c r="A87" s="19">
        <v>1</v>
      </c>
      <c r="B87" s="13" t="s">
        <v>114</v>
      </c>
      <c r="C87" s="14">
        <f>C81</f>
        <v>334866</v>
      </c>
      <c r="D87" s="18">
        <f>D81</f>
        <v>-6272329</v>
      </c>
      <c r="E87" s="14">
        <f>E81</f>
        <v>6607195</v>
      </c>
      <c r="F87" s="14"/>
      <c r="G87" s="15"/>
      <c r="H87" s="15"/>
      <c r="I87" s="15"/>
      <c r="J87" s="15"/>
      <c r="K87" s="15"/>
      <c r="L87" s="31">
        <f>L81</f>
        <v>12580429.132700002</v>
      </c>
    </row>
    <row r="88" spans="1:12" hidden="1" x14ac:dyDescent="0.25">
      <c r="B88" s="4"/>
      <c r="C88" s="5"/>
      <c r="D88" s="5"/>
      <c r="E88" s="5"/>
      <c r="F88" s="5"/>
      <c r="G88" s="12"/>
      <c r="H88" s="12"/>
      <c r="I88" s="12"/>
      <c r="J88" s="12"/>
      <c r="K88" s="12"/>
      <c r="L88" s="5"/>
    </row>
    <row r="89" spans="1:12" hidden="1" x14ac:dyDescent="0.25">
      <c r="A89" s="19">
        <v>2</v>
      </c>
      <c r="B89" s="8" t="s">
        <v>116</v>
      </c>
      <c r="C89" s="16"/>
      <c r="D89" s="16"/>
      <c r="E89" s="3">
        <v>6607195</v>
      </c>
      <c r="F89" s="3"/>
      <c r="G89" s="11">
        <v>1.6813</v>
      </c>
      <c r="H89" s="11" t="s">
        <v>73</v>
      </c>
      <c r="I89" s="11">
        <v>1.8314999999999999</v>
      </c>
      <c r="J89" s="11">
        <f>I89-G89</f>
        <v>0.15019999999999989</v>
      </c>
      <c r="K89" s="11"/>
      <c r="L89" s="3">
        <f>E89*J89</f>
        <v>992400.68899999931</v>
      </c>
    </row>
    <row r="90" spans="1:12" hidden="1" x14ac:dyDescent="0.25">
      <c r="B90" s="2"/>
      <c r="C90" s="3"/>
      <c r="D90" s="3"/>
      <c r="E90" s="3"/>
      <c r="F90" s="3"/>
      <c r="G90" s="11"/>
      <c r="H90" s="11"/>
      <c r="I90" s="11"/>
      <c r="J90" s="11"/>
      <c r="K90" s="11"/>
      <c r="L90" s="3"/>
    </row>
    <row r="91" spans="1:12" hidden="1" x14ac:dyDescent="0.25">
      <c r="A91" s="19">
        <v>3</v>
      </c>
      <c r="B91" s="8" t="s">
        <v>117</v>
      </c>
      <c r="C91" s="16"/>
      <c r="D91" s="16"/>
      <c r="E91" s="3"/>
      <c r="F91" s="3"/>
      <c r="G91" s="11"/>
      <c r="H91" s="11"/>
      <c r="I91" s="11"/>
      <c r="J91" s="11"/>
      <c r="K91" s="11"/>
      <c r="L91" s="3"/>
    </row>
    <row r="92" spans="1:12" hidden="1" x14ac:dyDescent="0.25">
      <c r="A92" s="19">
        <v>4</v>
      </c>
      <c r="B92" s="2" t="s">
        <v>97</v>
      </c>
      <c r="C92" s="3"/>
      <c r="D92" s="3"/>
      <c r="E92" s="3">
        <v>-1293415</v>
      </c>
      <c r="F92" s="3">
        <v>-2365958</v>
      </c>
      <c r="G92" s="11">
        <f>F92/E92</f>
        <v>1.8292334633508966</v>
      </c>
      <c r="H92" s="11"/>
      <c r="I92" s="11">
        <v>1.8314999999999999</v>
      </c>
      <c r="J92" s="11">
        <f>I92-G92</f>
        <v>2.2665366491032568E-3</v>
      </c>
      <c r="K92" s="11"/>
      <c r="L92" s="3">
        <f>E92*J92</f>
        <v>-2931.5724999998888</v>
      </c>
    </row>
    <row r="93" spans="1:12" hidden="1" x14ac:dyDescent="0.25">
      <c r="A93" s="19">
        <v>5</v>
      </c>
      <c r="B93" s="2" t="s">
        <v>98</v>
      </c>
      <c r="C93" s="3"/>
      <c r="D93" s="3"/>
      <c r="E93" s="3"/>
      <c r="F93" s="3">
        <v>206648</v>
      </c>
      <c r="G93" s="11"/>
      <c r="H93" s="11"/>
      <c r="I93" s="11"/>
      <c r="J93" s="11"/>
      <c r="K93" s="11"/>
      <c r="L93" s="3">
        <f>-F93</f>
        <v>-206648</v>
      </c>
    </row>
    <row r="94" spans="1:12" hidden="1" x14ac:dyDescent="0.25">
      <c r="A94" s="19">
        <v>6</v>
      </c>
      <c r="B94" s="2" t="s">
        <v>0</v>
      </c>
      <c r="C94" s="3"/>
      <c r="D94" s="3"/>
      <c r="E94" s="3">
        <v>-23647</v>
      </c>
      <c r="F94" s="3">
        <v>-53442</v>
      </c>
      <c r="G94" s="11">
        <f>F94/E94</f>
        <v>2.25999069649427</v>
      </c>
      <c r="H94" s="11"/>
      <c r="I94" s="11">
        <v>1.8314999999999999</v>
      </c>
      <c r="J94" s="11">
        <f>I94-G94</f>
        <v>-0.42849069649427007</v>
      </c>
      <c r="K94" s="11"/>
      <c r="L94" s="3">
        <f>E94*J94</f>
        <v>10132.519500000004</v>
      </c>
    </row>
    <row r="95" spans="1:12" hidden="1" x14ac:dyDescent="0.25">
      <c r="A95" s="19">
        <v>7</v>
      </c>
      <c r="B95" s="2" t="s">
        <v>81</v>
      </c>
      <c r="C95" s="1"/>
      <c r="D95" s="1"/>
      <c r="E95" s="1">
        <v>161704</v>
      </c>
      <c r="F95" s="1">
        <v>287023</v>
      </c>
      <c r="G95" s="11">
        <f>F95/E95</f>
        <v>1.7749901053777273</v>
      </c>
      <c r="H95" s="11"/>
      <c r="I95" s="11">
        <v>1.8314999999999999</v>
      </c>
      <c r="J95" s="11">
        <f>I95-G95</f>
        <v>5.6509894622272627E-2</v>
      </c>
      <c r="K95" s="11"/>
      <c r="L95" s="1">
        <f>E95*J95</f>
        <v>9137.8759999999729</v>
      </c>
    </row>
    <row r="96" spans="1:12" hidden="1" x14ac:dyDescent="0.25">
      <c r="A96" s="19">
        <v>8</v>
      </c>
      <c r="B96" s="2" t="s">
        <v>129</v>
      </c>
      <c r="C96" s="3">
        <f>D96+E96</f>
        <v>-884411</v>
      </c>
      <c r="D96" s="3">
        <v>270947</v>
      </c>
      <c r="E96" s="3">
        <f>SUM(E92:E95)</f>
        <v>-1155358</v>
      </c>
      <c r="F96" s="3">
        <f>SUM(F92:F95)</f>
        <v>-1925729</v>
      </c>
      <c r="G96" s="11"/>
      <c r="H96" s="11"/>
      <c r="I96" s="11"/>
      <c r="J96" s="11"/>
      <c r="K96" s="11"/>
      <c r="L96" s="3">
        <f>SUM(L92:L95)</f>
        <v>-190309.17699999994</v>
      </c>
    </row>
    <row r="97" spans="1:12" hidden="1" x14ac:dyDescent="0.25"/>
    <row r="98" spans="1:12" hidden="1" x14ac:dyDescent="0.25">
      <c r="A98" s="19">
        <v>9</v>
      </c>
      <c r="B98" s="13" t="s">
        <v>118</v>
      </c>
      <c r="C98" s="18">
        <f>C87+C96</f>
        <v>-549545</v>
      </c>
      <c r="D98" s="18">
        <f>D87+D96</f>
        <v>-6001382</v>
      </c>
      <c r="E98" s="14">
        <f>E87+E96</f>
        <v>5451837</v>
      </c>
      <c r="F98" s="14"/>
      <c r="G98" s="15"/>
      <c r="H98" s="15"/>
      <c r="I98" s="15"/>
      <c r="J98" s="15"/>
      <c r="K98" s="15"/>
      <c r="L98" s="31">
        <f>L87+L89+L96+1</f>
        <v>13382521.644700002</v>
      </c>
    </row>
    <row r="99" spans="1:12" hidden="1" x14ac:dyDescent="0.25">
      <c r="B99" s="8"/>
      <c r="C99" s="34"/>
      <c r="D99" s="34"/>
      <c r="E99" s="3"/>
      <c r="F99" s="3"/>
      <c r="G99" s="11"/>
      <c r="H99" s="11"/>
      <c r="I99" s="11"/>
      <c r="J99" s="11"/>
      <c r="K99" s="11"/>
      <c r="L99" s="35"/>
    </row>
    <row r="100" spans="1:12" hidden="1" x14ac:dyDescent="0.25">
      <c r="B100" s="36" t="s">
        <v>74</v>
      </c>
      <c r="C100" s="34"/>
      <c r="D100" s="34"/>
      <c r="E100" s="3"/>
      <c r="F100" s="3"/>
      <c r="G100" s="11"/>
      <c r="H100" s="11"/>
      <c r="I100" s="11"/>
      <c r="J100" s="11"/>
      <c r="K100" s="11"/>
      <c r="L100" s="35"/>
    </row>
    <row r="101" spans="1:12" hidden="1" x14ac:dyDescent="0.25">
      <c r="B101" s="36"/>
      <c r="C101" s="34"/>
      <c r="D101" s="34"/>
      <c r="E101" s="3"/>
      <c r="F101" s="3"/>
      <c r="G101" s="11"/>
      <c r="H101" s="11"/>
      <c r="I101" s="11"/>
      <c r="J101" s="11"/>
      <c r="K101" s="11"/>
      <c r="L101" s="35"/>
    </row>
    <row r="102" spans="1:12" hidden="1" x14ac:dyDescent="0.25">
      <c r="B102" s="37" t="s">
        <v>119</v>
      </c>
      <c r="C102" s="5"/>
      <c r="D102" s="5"/>
      <c r="E102" s="5"/>
      <c r="F102" s="5"/>
      <c r="G102" s="12"/>
      <c r="H102" s="12"/>
      <c r="I102" s="12"/>
      <c r="J102" s="12"/>
      <c r="K102" s="12"/>
      <c r="L102" s="5"/>
    </row>
    <row r="103" spans="1:12" hidden="1" x14ac:dyDescent="0.25">
      <c r="B103" s="4"/>
      <c r="C103" s="5"/>
      <c r="D103" s="5"/>
      <c r="E103" s="5"/>
      <c r="F103" s="5"/>
      <c r="G103" s="12"/>
      <c r="H103" s="12"/>
      <c r="I103" s="12"/>
      <c r="J103" s="12"/>
      <c r="K103" s="12"/>
      <c r="L103" s="5"/>
    </row>
    <row r="104" spans="1:12" hidden="1" x14ac:dyDescent="0.25">
      <c r="A104" s="19">
        <v>1</v>
      </c>
      <c r="B104" s="13" t="s">
        <v>118</v>
      </c>
      <c r="C104" s="14">
        <f>C98</f>
        <v>-549545</v>
      </c>
      <c r="D104" s="18">
        <f>D98</f>
        <v>-6001382</v>
      </c>
      <c r="E104" s="14">
        <f>E98</f>
        <v>5451837</v>
      </c>
      <c r="F104" s="14"/>
      <c r="G104" s="15"/>
      <c r="H104" s="15"/>
      <c r="I104" s="15"/>
      <c r="J104" s="15"/>
      <c r="K104" s="15"/>
      <c r="L104" s="31">
        <f>L98</f>
        <v>13382521.644700002</v>
      </c>
    </row>
    <row r="105" spans="1:12" hidden="1" x14ac:dyDescent="0.25">
      <c r="B105" s="4"/>
      <c r="C105" s="5"/>
      <c r="D105" s="5"/>
      <c r="E105" s="5"/>
      <c r="F105" s="5"/>
      <c r="G105" s="12"/>
      <c r="H105" s="12"/>
      <c r="I105" s="12"/>
      <c r="J105" s="12"/>
      <c r="K105" s="12"/>
      <c r="L105" s="5"/>
    </row>
    <row r="106" spans="1:12" hidden="1" x14ac:dyDescent="0.25">
      <c r="A106" s="19">
        <v>2</v>
      </c>
      <c r="B106" s="8" t="s">
        <v>120</v>
      </c>
      <c r="C106" s="16"/>
      <c r="D106" s="16"/>
      <c r="E106" s="3">
        <v>5451837</v>
      </c>
      <c r="F106" s="3"/>
      <c r="G106" s="11">
        <v>1.8314999999999999</v>
      </c>
      <c r="H106" s="11" t="s">
        <v>73</v>
      </c>
      <c r="I106" s="11">
        <v>1.6851</v>
      </c>
      <c r="J106" s="11">
        <f>I106-G106</f>
        <v>-0.14639999999999986</v>
      </c>
      <c r="K106" s="11"/>
      <c r="L106" s="3">
        <f>E106*J106</f>
        <v>-798148.93679999921</v>
      </c>
    </row>
    <row r="107" spans="1:12" hidden="1" x14ac:dyDescent="0.25">
      <c r="B107" s="2"/>
      <c r="C107" s="3"/>
      <c r="D107" s="3"/>
      <c r="E107" s="3"/>
      <c r="F107" s="3"/>
      <c r="G107" s="11"/>
      <c r="H107" s="11"/>
      <c r="I107" s="11"/>
      <c r="J107" s="11"/>
      <c r="K107" s="11"/>
      <c r="L107" s="3"/>
    </row>
    <row r="108" spans="1:12" hidden="1" x14ac:dyDescent="0.25">
      <c r="A108" s="19">
        <v>3</v>
      </c>
      <c r="B108" s="8" t="s">
        <v>121</v>
      </c>
      <c r="C108" s="16"/>
      <c r="D108" s="16"/>
      <c r="E108" s="3"/>
      <c r="F108" s="3"/>
      <c r="G108" s="11"/>
      <c r="H108" s="11"/>
      <c r="I108" s="11"/>
      <c r="J108" s="11"/>
      <c r="K108" s="11"/>
      <c r="L108" s="3"/>
    </row>
    <row r="109" spans="1:12" hidden="1" x14ac:dyDescent="0.25">
      <c r="A109" s="19">
        <v>4</v>
      </c>
      <c r="B109" s="2" t="s">
        <v>97</v>
      </c>
      <c r="C109" s="3"/>
      <c r="D109" s="3"/>
      <c r="E109" s="3">
        <v>-51679</v>
      </c>
      <c r="F109" s="3">
        <v>83766</v>
      </c>
      <c r="G109" s="11">
        <f>F109/E109</f>
        <v>-1.6208904971071421</v>
      </c>
      <c r="H109" s="11"/>
      <c r="I109" s="11">
        <v>1.6851</v>
      </c>
      <c r="J109" s="11">
        <f>I109-G109</f>
        <v>3.3059904971071421</v>
      </c>
      <c r="K109" s="11"/>
      <c r="L109" s="3">
        <f>E109*J109</f>
        <v>-170850.28289999999</v>
      </c>
    </row>
    <row r="110" spans="1:12" hidden="1" x14ac:dyDescent="0.25">
      <c r="A110" s="19">
        <v>5</v>
      </c>
      <c r="B110" s="2" t="s">
        <v>98</v>
      </c>
      <c r="C110" s="3"/>
      <c r="D110" s="3"/>
      <c r="E110" s="3"/>
      <c r="F110" s="3">
        <v>-48667</v>
      </c>
      <c r="G110" s="11"/>
      <c r="H110" s="11"/>
      <c r="I110" s="11"/>
      <c r="J110" s="11"/>
      <c r="K110" s="11"/>
      <c r="L110" s="3">
        <f>-F110</f>
        <v>48667</v>
      </c>
    </row>
    <row r="111" spans="1:12" hidden="1" x14ac:dyDescent="0.25">
      <c r="A111" s="19">
        <v>6</v>
      </c>
      <c r="B111" s="2" t="s">
        <v>0</v>
      </c>
      <c r="C111" s="3"/>
      <c r="D111" s="3"/>
      <c r="E111" s="3">
        <v>0</v>
      </c>
      <c r="F111" s="3">
        <v>0</v>
      </c>
      <c r="G111" s="11">
        <v>0</v>
      </c>
      <c r="H111" s="11"/>
      <c r="I111" s="11">
        <v>1.6851</v>
      </c>
      <c r="J111" s="11">
        <f>I111-G111</f>
        <v>1.6851</v>
      </c>
      <c r="K111" s="11"/>
      <c r="L111" s="3">
        <f>E111*J111</f>
        <v>0</v>
      </c>
    </row>
    <row r="112" spans="1:12" hidden="1" x14ac:dyDescent="0.25">
      <c r="A112" s="19">
        <v>7</v>
      </c>
      <c r="B112" s="2" t="s">
        <v>81</v>
      </c>
      <c r="C112" s="1"/>
      <c r="D112" s="1"/>
      <c r="E112" s="1">
        <v>177495</v>
      </c>
      <c r="F112" s="1">
        <v>316457</v>
      </c>
      <c r="G112" s="11">
        <f>F112/E112</f>
        <v>1.78290656074819</v>
      </c>
      <c r="H112" s="11"/>
      <c r="I112" s="11">
        <v>1.6851</v>
      </c>
      <c r="J112" s="11">
        <f>I112-G112</f>
        <v>-9.7806560748189941E-2</v>
      </c>
      <c r="K112" s="11"/>
      <c r="L112" s="1">
        <f>E112*J112</f>
        <v>-17360.175499999972</v>
      </c>
    </row>
    <row r="113" spans="1:12" hidden="1" x14ac:dyDescent="0.25">
      <c r="A113" s="19">
        <v>8</v>
      </c>
      <c r="B113" s="2" t="s">
        <v>122</v>
      </c>
      <c r="C113" s="3">
        <f>D113+E113</f>
        <v>-191264</v>
      </c>
      <c r="D113" s="3">
        <v>-317080</v>
      </c>
      <c r="E113" s="3">
        <f>SUM(E109:E112)</f>
        <v>125816</v>
      </c>
      <c r="F113" s="3">
        <f>SUM(F109:F112)</f>
        <v>351556</v>
      </c>
      <c r="G113" s="11"/>
      <c r="H113" s="11"/>
      <c r="I113" s="11"/>
      <c r="J113" s="11"/>
      <c r="K113" s="11"/>
      <c r="L113" s="3">
        <f>SUM(L109:L112)</f>
        <v>-139543.45839999997</v>
      </c>
    </row>
    <row r="114" spans="1:12" hidden="1" x14ac:dyDescent="0.25"/>
    <row r="115" spans="1:12" hidden="1" x14ac:dyDescent="0.25">
      <c r="A115" s="19">
        <v>9</v>
      </c>
      <c r="B115" s="13" t="s">
        <v>123</v>
      </c>
      <c r="C115" s="18">
        <f>C104+C113</f>
        <v>-740809</v>
      </c>
      <c r="D115" s="18">
        <f>D104+D113</f>
        <v>-6318462</v>
      </c>
      <c r="E115" s="14">
        <f>E104+E113</f>
        <v>5577653</v>
      </c>
      <c r="F115" s="14"/>
      <c r="G115" s="15"/>
      <c r="H115" s="15"/>
      <c r="I115" s="15"/>
      <c r="J115" s="15"/>
      <c r="K115" s="15"/>
      <c r="L115" s="31">
        <f>L104+L106+L113</f>
        <v>12444829.249500003</v>
      </c>
    </row>
    <row r="116" spans="1:12" hidden="1" x14ac:dyDescent="0.25">
      <c r="B116" s="8"/>
      <c r="C116" s="34"/>
      <c r="D116" s="34"/>
      <c r="E116" s="3"/>
      <c r="F116" s="3"/>
      <c r="G116" s="11"/>
      <c r="H116" s="11"/>
      <c r="I116" s="11"/>
      <c r="J116" s="11"/>
      <c r="K116" s="11"/>
      <c r="L116" s="35"/>
    </row>
    <row r="117" spans="1:12" hidden="1" x14ac:dyDescent="0.25">
      <c r="B117" s="36" t="s">
        <v>74</v>
      </c>
      <c r="C117" s="34"/>
      <c r="D117" s="34"/>
      <c r="E117" s="3"/>
      <c r="F117" s="3"/>
      <c r="G117" s="11"/>
      <c r="H117" s="11"/>
      <c r="I117" s="11"/>
      <c r="J117" s="11"/>
      <c r="K117" s="11"/>
      <c r="L117" s="35"/>
    </row>
    <row r="118" spans="1:12" hidden="1" x14ac:dyDescent="0.25">
      <c r="B118" s="36"/>
      <c r="C118" s="34"/>
      <c r="D118" s="34"/>
      <c r="E118" s="3"/>
      <c r="F118" s="3"/>
      <c r="G118" s="11"/>
      <c r="H118" s="11"/>
      <c r="I118" s="11"/>
      <c r="J118" s="11"/>
      <c r="K118" s="11"/>
      <c r="L118" s="35"/>
    </row>
    <row r="119" spans="1:12" hidden="1" x14ac:dyDescent="0.25">
      <c r="B119" s="37" t="s">
        <v>124</v>
      </c>
      <c r="C119" s="5"/>
      <c r="D119" s="5"/>
      <c r="E119" s="5"/>
      <c r="F119" s="5"/>
      <c r="G119" s="12"/>
      <c r="H119" s="12"/>
      <c r="I119" s="12"/>
      <c r="J119" s="12"/>
      <c r="K119" s="12"/>
      <c r="L119" s="5"/>
    </row>
    <row r="120" spans="1:12" hidden="1" x14ac:dyDescent="0.25">
      <c r="B120" s="4"/>
      <c r="C120" s="5"/>
      <c r="D120" s="5"/>
      <c r="E120" s="5"/>
      <c r="F120" s="5"/>
      <c r="G120" s="12"/>
      <c r="H120" s="12"/>
      <c r="I120" s="12"/>
      <c r="J120" s="12"/>
      <c r="K120" s="12"/>
      <c r="L120" s="5"/>
    </row>
    <row r="121" spans="1:12" hidden="1" x14ac:dyDescent="0.25">
      <c r="A121" s="19">
        <v>1</v>
      </c>
      <c r="B121" s="13" t="s">
        <v>123</v>
      </c>
      <c r="C121" s="14">
        <f>C115</f>
        <v>-740809</v>
      </c>
      <c r="D121" s="18">
        <f>D115</f>
        <v>-6318462</v>
      </c>
      <c r="E121" s="14">
        <f>E115</f>
        <v>5577653</v>
      </c>
      <c r="F121" s="14"/>
      <c r="G121" s="15"/>
      <c r="H121" s="15"/>
      <c r="I121" s="15"/>
      <c r="J121" s="15"/>
      <c r="K121" s="15"/>
      <c r="L121" s="31">
        <f>L115</f>
        <v>12444829.249500003</v>
      </c>
    </row>
    <row r="122" spans="1:12" hidden="1" x14ac:dyDescent="0.25">
      <c r="B122" s="4"/>
      <c r="C122" s="5"/>
      <c r="D122" s="5"/>
      <c r="E122" s="5"/>
      <c r="F122" s="5"/>
      <c r="G122" s="12"/>
      <c r="H122" s="12"/>
      <c r="I122" s="12"/>
      <c r="J122" s="12"/>
      <c r="K122" s="12"/>
      <c r="L122" s="5"/>
    </row>
    <row r="123" spans="1:12" hidden="1" x14ac:dyDescent="0.25">
      <c r="A123" s="19">
        <v>2</v>
      </c>
      <c r="B123" s="8" t="s">
        <v>125</v>
      </c>
      <c r="C123" s="16"/>
      <c r="D123" s="16"/>
      <c r="E123" s="3">
        <v>5577653</v>
      </c>
      <c r="F123" s="3"/>
      <c r="G123" s="11">
        <v>1.6851</v>
      </c>
      <c r="H123" s="11" t="s">
        <v>73</v>
      </c>
      <c r="I123" s="11">
        <v>1.6440999999999999</v>
      </c>
      <c r="J123" s="11">
        <f>I123-G123</f>
        <v>-4.1000000000000147E-2</v>
      </c>
      <c r="K123" s="11"/>
      <c r="L123" s="3">
        <f>E123*J123</f>
        <v>-228683.77300000083</v>
      </c>
    </row>
    <row r="124" spans="1:12" hidden="1" x14ac:dyDescent="0.25">
      <c r="B124" s="2"/>
      <c r="C124" s="3"/>
      <c r="D124" s="3"/>
      <c r="E124" s="3"/>
      <c r="F124" s="3"/>
      <c r="G124" s="11"/>
      <c r="H124" s="11"/>
      <c r="I124" s="11"/>
      <c r="J124" s="11"/>
      <c r="K124" s="11"/>
      <c r="L124" s="3"/>
    </row>
    <row r="125" spans="1:12" hidden="1" x14ac:dyDescent="0.25">
      <c r="A125" s="19">
        <v>3</v>
      </c>
      <c r="B125" s="8" t="s">
        <v>126</v>
      </c>
      <c r="C125" s="16"/>
      <c r="D125" s="16"/>
      <c r="E125" s="3"/>
      <c r="F125" s="3"/>
      <c r="G125" s="11"/>
      <c r="H125" s="11"/>
      <c r="I125" s="11"/>
      <c r="J125" s="11"/>
      <c r="K125" s="11"/>
      <c r="L125" s="3"/>
    </row>
    <row r="126" spans="1:12" hidden="1" x14ac:dyDescent="0.25">
      <c r="A126" s="19">
        <v>4</v>
      </c>
      <c r="B126" s="2" t="s">
        <v>97</v>
      </c>
      <c r="C126" s="3"/>
      <c r="D126" s="3"/>
      <c r="E126" s="3">
        <v>653254</v>
      </c>
      <c r="F126" s="3">
        <v>956084</v>
      </c>
      <c r="G126" s="11">
        <f>F126/E126</f>
        <v>1.4635715969592227</v>
      </c>
      <c r="H126" s="11"/>
      <c r="I126" s="11">
        <v>1.6440999999999999</v>
      </c>
      <c r="J126" s="11">
        <f>I126-G126</f>
        <v>0.18052840304077722</v>
      </c>
      <c r="K126" s="11"/>
      <c r="L126" s="3">
        <f>E126*J126</f>
        <v>117930.90139999989</v>
      </c>
    </row>
    <row r="127" spans="1:12" hidden="1" x14ac:dyDescent="0.25">
      <c r="A127" s="19">
        <v>5</v>
      </c>
      <c r="B127" s="2" t="s">
        <v>98</v>
      </c>
      <c r="C127" s="3"/>
      <c r="D127" s="3"/>
      <c r="E127" s="3"/>
      <c r="F127" s="3">
        <v>46742</v>
      </c>
      <c r="G127" s="11"/>
      <c r="H127" s="11"/>
      <c r="I127" s="11"/>
      <c r="J127" s="11"/>
      <c r="K127" s="11"/>
      <c r="L127" s="3">
        <f>-F127</f>
        <v>-46742</v>
      </c>
    </row>
    <row r="128" spans="1:12" hidden="1" x14ac:dyDescent="0.25">
      <c r="A128" s="19">
        <v>6</v>
      </c>
      <c r="B128" s="2" t="s">
        <v>0</v>
      </c>
      <c r="C128" s="3"/>
      <c r="D128" s="3"/>
      <c r="E128" s="3">
        <v>0</v>
      </c>
      <c r="F128" s="3">
        <v>0</v>
      </c>
      <c r="G128" s="11">
        <v>0</v>
      </c>
      <c r="H128" s="11"/>
      <c r="I128" s="11">
        <v>1.6440999999999999</v>
      </c>
      <c r="J128" s="11">
        <f>I128-G128</f>
        <v>1.6440999999999999</v>
      </c>
      <c r="K128" s="11"/>
      <c r="L128" s="3">
        <f>E128*J128</f>
        <v>0</v>
      </c>
    </row>
    <row r="129" spans="1:12" hidden="1" x14ac:dyDescent="0.25">
      <c r="A129" s="19">
        <v>7</v>
      </c>
      <c r="B129" s="2" t="s">
        <v>81</v>
      </c>
      <c r="C129" s="1"/>
      <c r="D129" s="1"/>
      <c r="E129" s="1">
        <v>382630</v>
      </c>
      <c r="F129" s="1">
        <v>639765</v>
      </c>
      <c r="G129" s="11">
        <f>F129/E129</f>
        <v>1.6720199670700153</v>
      </c>
      <c r="H129" s="11"/>
      <c r="I129" s="11">
        <v>1.6440999999999999</v>
      </c>
      <c r="J129" s="11">
        <f>I129-G129</f>
        <v>-2.7919967070015428E-2</v>
      </c>
      <c r="K129" s="11"/>
      <c r="L129" s="1">
        <f>E129*J129</f>
        <v>-10683.017000000003</v>
      </c>
    </row>
    <row r="130" spans="1:12" hidden="1" x14ac:dyDescent="0.25">
      <c r="A130" s="19">
        <v>8</v>
      </c>
      <c r="B130" s="2" t="s">
        <v>127</v>
      </c>
      <c r="C130" s="3">
        <f>D130+E130</f>
        <v>823238</v>
      </c>
      <c r="D130" s="3">
        <v>-212646</v>
      </c>
      <c r="E130" s="3">
        <f>SUM(E126:E129)</f>
        <v>1035884</v>
      </c>
      <c r="F130" s="3">
        <f>SUM(F126:F129)</f>
        <v>1642591</v>
      </c>
      <c r="G130" s="11"/>
      <c r="H130" s="11"/>
      <c r="I130" s="11"/>
      <c r="J130" s="11"/>
      <c r="K130" s="11"/>
      <c r="L130" s="3">
        <f>SUM(L126:L129)</f>
        <v>60505.884399999879</v>
      </c>
    </row>
    <row r="131" spans="1:12" hidden="1" x14ac:dyDescent="0.25"/>
    <row r="132" spans="1:12" hidden="1" x14ac:dyDescent="0.25">
      <c r="A132" s="19">
        <v>9</v>
      </c>
      <c r="B132" s="13" t="s">
        <v>11</v>
      </c>
      <c r="C132" s="18">
        <f>C121+C130</f>
        <v>82429</v>
      </c>
      <c r="D132" s="18">
        <f>D121+D130</f>
        <v>-6531108</v>
      </c>
      <c r="E132" s="14">
        <f>E121+E130</f>
        <v>6613537</v>
      </c>
      <c r="F132" s="14"/>
      <c r="G132" s="15"/>
      <c r="H132" s="15"/>
      <c r="I132" s="15"/>
      <c r="J132" s="15"/>
      <c r="K132" s="15"/>
      <c r="L132" s="31">
        <f>L121+L123+L130</f>
        <v>12276651.360900003</v>
      </c>
    </row>
    <row r="133" spans="1:12" hidden="1" x14ac:dyDescent="0.25">
      <c r="B133" s="8"/>
      <c r="C133" s="34"/>
      <c r="D133" s="34"/>
      <c r="E133" s="3"/>
      <c r="F133" s="3"/>
      <c r="G133" s="11"/>
      <c r="H133" s="11"/>
      <c r="I133" s="11"/>
      <c r="J133" s="11"/>
      <c r="K133" s="11"/>
      <c r="L133" s="35"/>
    </row>
    <row r="134" spans="1:12" hidden="1" x14ac:dyDescent="0.25">
      <c r="B134" s="36" t="s">
        <v>74</v>
      </c>
      <c r="C134" s="34"/>
      <c r="D134" s="34"/>
      <c r="E134" s="3"/>
      <c r="F134" s="3"/>
      <c r="G134" s="11"/>
      <c r="H134" s="11"/>
      <c r="I134" s="11"/>
      <c r="J134" s="11"/>
      <c r="K134" s="11"/>
      <c r="L134" s="35"/>
    </row>
    <row r="135" spans="1:12" hidden="1" x14ac:dyDescent="0.25">
      <c r="B135" s="4"/>
      <c r="C135" s="5"/>
      <c r="D135" s="5"/>
      <c r="E135" s="5"/>
      <c r="F135" s="5"/>
      <c r="G135" s="12"/>
      <c r="H135" s="12"/>
      <c r="I135" s="12"/>
      <c r="J135" s="12"/>
      <c r="K135" s="12"/>
      <c r="L135" s="5"/>
    </row>
    <row r="136" spans="1:12" hidden="1" x14ac:dyDescent="0.25">
      <c r="B136" s="37" t="s">
        <v>83</v>
      </c>
      <c r="C136" s="5"/>
      <c r="D136" s="5"/>
      <c r="E136" s="5"/>
      <c r="F136" s="5"/>
      <c r="G136" s="12"/>
      <c r="H136" s="12"/>
      <c r="I136" s="12"/>
      <c r="J136" s="12"/>
      <c r="K136" s="12"/>
      <c r="L136" s="5"/>
    </row>
    <row r="137" spans="1:12" hidden="1" x14ac:dyDescent="0.25">
      <c r="B137" s="4"/>
      <c r="C137" s="5"/>
      <c r="D137" s="5"/>
      <c r="E137" s="5"/>
      <c r="F137" s="5"/>
      <c r="G137" s="12"/>
      <c r="H137" s="12"/>
      <c r="I137" s="12"/>
      <c r="J137" s="12"/>
      <c r="K137" s="12"/>
      <c r="L137" s="5"/>
    </row>
    <row r="138" spans="1:12" hidden="1" x14ac:dyDescent="0.25">
      <c r="A138" s="19">
        <v>1</v>
      </c>
      <c r="B138" s="13" t="s">
        <v>11</v>
      </c>
      <c r="C138" s="14">
        <f>C132</f>
        <v>82429</v>
      </c>
      <c r="D138" s="18">
        <f>D132</f>
        <v>-6531108</v>
      </c>
      <c r="E138" s="14">
        <f>E132</f>
        <v>6613537</v>
      </c>
      <c r="F138" s="14"/>
      <c r="G138" s="15"/>
      <c r="H138" s="15"/>
      <c r="I138" s="15"/>
      <c r="J138" s="15"/>
      <c r="K138" s="15"/>
      <c r="L138" s="31">
        <f>L132</f>
        <v>12276651.360900003</v>
      </c>
    </row>
    <row r="139" spans="1:12" hidden="1" x14ac:dyDescent="0.25">
      <c r="B139" s="4"/>
      <c r="C139" s="5"/>
      <c r="D139" s="5"/>
      <c r="E139" s="5"/>
      <c r="F139" s="5"/>
      <c r="G139" s="12"/>
      <c r="H139" s="12"/>
      <c r="I139" s="12"/>
      <c r="J139" s="12"/>
      <c r="K139" s="12"/>
      <c r="L139" s="5"/>
    </row>
    <row r="140" spans="1:12" hidden="1" x14ac:dyDescent="0.25">
      <c r="A140" s="19">
        <v>2</v>
      </c>
      <c r="B140" s="8" t="s">
        <v>12</v>
      </c>
      <c r="C140" s="16"/>
      <c r="D140" s="16"/>
      <c r="E140" s="3">
        <v>6613537</v>
      </c>
      <c r="F140" s="3"/>
      <c r="G140" s="11">
        <v>1.6440999999999999</v>
      </c>
      <c r="H140" s="11" t="s">
        <v>73</v>
      </c>
      <c r="I140" s="11">
        <v>1.9838</v>
      </c>
      <c r="J140" s="11">
        <f>I140-G140</f>
        <v>0.33970000000000011</v>
      </c>
      <c r="K140" s="11"/>
      <c r="L140" s="3">
        <f>E140*J140</f>
        <v>2246618.518900001</v>
      </c>
    </row>
    <row r="141" spans="1:12" hidden="1" x14ac:dyDescent="0.25">
      <c r="B141" s="2"/>
      <c r="C141" s="3"/>
      <c r="D141" s="3"/>
      <c r="E141" s="3"/>
      <c r="F141" s="3"/>
      <c r="G141" s="11"/>
      <c r="H141" s="11"/>
      <c r="I141" s="11"/>
      <c r="J141" s="11"/>
      <c r="K141" s="11"/>
      <c r="L141" s="3"/>
    </row>
    <row r="142" spans="1:12" hidden="1" x14ac:dyDescent="0.25">
      <c r="A142" s="19">
        <v>3</v>
      </c>
      <c r="B142" s="8" t="s">
        <v>13</v>
      </c>
      <c r="C142" s="16"/>
      <c r="D142" s="16"/>
      <c r="E142" s="3"/>
      <c r="F142" s="3"/>
      <c r="G142" s="11"/>
      <c r="H142" s="11"/>
      <c r="I142" s="11"/>
      <c r="J142" s="11"/>
      <c r="K142" s="11"/>
      <c r="L142" s="3"/>
    </row>
    <row r="143" spans="1:12" hidden="1" x14ac:dyDescent="0.25">
      <c r="A143" s="19">
        <v>4</v>
      </c>
      <c r="B143" s="2" t="s">
        <v>97</v>
      </c>
      <c r="C143" s="3"/>
      <c r="D143" s="3"/>
      <c r="E143" s="3">
        <v>949234</v>
      </c>
      <c r="F143" s="3">
        <v>1977836</v>
      </c>
      <c r="G143" s="11">
        <f>F143/E143</f>
        <v>2.083612681383094</v>
      </c>
      <c r="H143" s="11"/>
      <c r="I143" s="11">
        <v>1.9838</v>
      </c>
      <c r="J143" s="11">
        <f>I143-G143</f>
        <v>-9.981268138309396E-2</v>
      </c>
      <c r="K143" s="11"/>
      <c r="L143" s="3">
        <f>E143*J143</f>
        <v>-94745.590799999816</v>
      </c>
    </row>
    <row r="144" spans="1:12" hidden="1" x14ac:dyDescent="0.25">
      <c r="A144" s="19">
        <v>5</v>
      </c>
      <c r="B144" s="2" t="s">
        <v>98</v>
      </c>
      <c r="C144" s="3"/>
      <c r="D144" s="3"/>
      <c r="E144" s="3"/>
      <c r="F144" s="3">
        <v>18530</v>
      </c>
      <c r="G144" s="11"/>
      <c r="H144" s="11"/>
      <c r="I144" s="11"/>
      <c r="J144" s="11"/>
      <c r="K144" s="11"/>
      <c r="L144" s="3">
        <f>-F144</f>
        <v>-18530</v>
      </c>
    </row>
    <row r="145" spans="1:12" hidden="1" x14ac:dyDescent="0.25">
      <c r="A145" s="19">
        <v>6</v>
      </c>
      <c r="B145" s="2" t="s">
        <v>0</v>
      </c>
      <c r="C145" s="3"/>
      <c r="D145" s="3"/>
      <c r="E145" s="3">
        <v>0</v>
      </c>
      <c r="F145" s="3">
        <v>0</v>
      </c>
      <c r="G145" s="11">
        <v>0</v>
      </c>
      <c r="H145" s="11"/>
      <c r="I145" s="11">
        <v>1.9838</v>
      </c>
      <c r="J145" s="11">
        <f>I145-G145</f>
        <v>1.9838</v>
      </c>
      <c r="K145" s="11"/>
      <c r="L145" s="3">
        <f>E145*J145</f>
        <v>0</v>
      </c>
    </row>
    <row r="146" spans="1:12" hidden="1" x14ac:dyDescent="0.25">
      <c r="A146" s="19">
        <v>7</v>
      </c>
      <c r="B146" s="2" t="s">
        <v>81</v>
      </c>
      <c r="C146" s="1"/>
      <c r="D146" s="1"/>
      <c r="E146" s="1">
        <v>963090</v>
      </c>
      <c r="F146" s="1">
        <v>1836591</v>
      </c>
      <c r="G146" s="11">
        <f>F146/E146</f>
        <v>1.9069775410397782</v>
      </c>
      <c r="H146" s="11"/>
      <c r="I146" s="11">
        <v>1.9838</v>
      </c>
      <c r="J146" s="11">
        <f>I146-G146</f>
        <v>7.6822458960221773E-2</v>
      </c>
      <c r="K146" s="11"/>
      <c r="L146" s="1">
        <f>E146*J146</f>
        <v>73986.941999999981</v>
      </c>
    </row>
    <row r="147" spans="1:12" hidden="1" x14ac:dyDescent="0.25">
      <c r="A147" s="19">
        <v>8</v>
      </c>
      <c r="B147" s="2" t="s">
        <v>14</v>
      </c>
      <c r="C147" s="3">
        <f>D147+E147</f>
        <v>1259585</v>
      </c>
      <c r="D147" s="3">
        <v>-652739</v>
      </c>
      <c r="E147" s="3">
        <f>SUM(E143:E146)</f>
        <v>1912324</v>
      </c>
      <c r="F147" s="3">
        <f>SUM(F143:F146)</f>
        <v>3832957</v>
      </c>
      <c r="G147" s="11"/>
      <c r="H147" s="11"/>
      <c r="I147" s="11"/>
      <c r="J147" s="11"/>
      <c r="K147" s="11"/>
      <c r="L147" s="3">
        <f>SUM(L143:L146)</f>
        <v>-39288.648799999835</v>
      </c>
    </row>
    <row r="148" spans="1:12" hidden="1" x14ac:dyDescent="0.25"/>
    <row r="149" spans="1:12" hidden="1" x14ac:dyDescent="0.25">
      <c r="A149" s="19">
        <v>9</v>
      </c>
      <c r="B149" s="13" t="s">
        <v>15</v>
      </c>
      <c r="C149" s="18">
        <f>C138+C147</f>
        <v>1342014</v>
      </c>
      <c r="D149" s="18">
        <f>D138+D147</f>
        <v>-7183847</v>
      </c>
      <c r="E149" s="14">
        <f>E138+E147</f>
        <v>8525861</v>
      </c>
      <c r="F149" s="14"/>
      <c r="G149" s="15"/>
      <c r="H149" s="15"/>
      <c r="I149" s="15"/>
      <c r="J149" s="15"/>
      <c r="K149" s="15"/>
      <c r="L149" s="31">
        <f>L138+L140+L147</f>
        <v>14483981.231000004</v>
      </c>
    </row>
    <row r="150" spans="1:12" hidden="1" x14ac:dyDescent="0.25">
      <c r="B150" s="8"/>
      <c r="C150" s="34"/>
      <c r="D150" s="34"/>
      <c r="E150" s="3"/>
      <c r="F150" s="3"/>
      <c r="G150" s="11"/>
      <c r="H150" s="11"/>
      <c r="I150" s="11"/>
      <c r="J150" s="11"/>
      <c r="K150" s="11"/>
      <c r="L150" s="35"/>
    </row>
    <row r="151" spans="1:12" hidden="1" x14ac:dyDescent="0.25">
      <c r="B151" s="36" t="s">
        <v>74</v>
      </c>
      <c r="C151" s="34"/>
      <c r="D151" s="34"/>
      <c r="E151" s="3"/>
      <c r="F151" s="3"/>
      <c r="G151" s="11"/>
      <c r="H151" s="11"/>
      <c r="I151" s="11"/>
      <c r="J151" s="11"/>
      <c r="K151" s="11"/>
      <c r="L151" s="35"/>
    </row>
    <row r="152" spans="1:12" hidden="1" x14ac:dyDescent="0.25">
      <c r="B152" s="8"/>
      <c r="C152" s="34"/>
      <c r="D152" s="34"/>
      <c r="E152" s="3"/>
      <c r="F152" s="3"/>
      <c r="G152" s="11"/>
      <c r="H152" s="11"/>
      <c r="I152" s="11"/>
      <c r="J152" s="11"/>
      <c r="K152" s="11"/>
      <c r="L152" s="35"/>
    </row>
    <row r="153" spans="1:12" hidden="1" x14ac:dyDescent="0.25">
      <c r="B153" s="38" t="s">
        <v>84</v>
      </c>
      <c r="C153" s="34"/>
      <c r="D153" s="34"/>
      <c r="E153" s="3"/>
      <c r="F153" s="3"/>
      <c r="G153" s="11"/>
      <c r="H153" s="11"/>
      <c r="I153" s="11"/>
      <c r="J153" s="11"/>
      <c r="K153" s="11"/>
      <c r="L153" s="35"/>
    </row>
    <row r="154" spans="1:12" hidden="1" x14ac:dyDescent="0.25">
      <c r="B154" s="38"/>
      <c r="C154" s="34"/>
      <c r="D154" s="34"/>
      <c r="E154" s="3"/>
      <c r="F154" s="3"/>
      <c r="G154" s="11"/>
      <c r="H154" s="11"/>
      <c r="I154" s="11"/>
      <c r="J154" s="11"/>
      <c r="K154" s="11"/>
      <c r="L154" s="35"/>
    </row>
    <row r="155" spans="1:12" hidden="1" x14ac:dyDescent="0.25">
      <c r="A155" s="19">
        <v>1</v>
      </c>
      <c r="B155" s="13" t="str">
        <f>B149</f>
        <v>4/99 Balance Per Books:</v>
      </c>
      <c r="C155" s="18">
        <f>C149</f>
        <v>1342014</v>
      </c>
      <c r="D155" s="18">
        <f>D149</f>
        <v>-7183847</v>
      </c>
      <c r="E155" s="18">
        <f>E149</f>
        <v>8525861</v>
      </c>
      <c r="F155" s="14"/>
      <c r="G155" s="15"/>
      <c r="H155" s="15"/>
      <c r="I155" s="15"/>
      <c r="J155" s="15"/>
      <c r="K155" s="15"/>
      <c r="L155" s="39">
        <f>L149</f>
        <v>14483981.231000004</v>
      </c>
    </row>
    <row r="156" spans="1:12" hidden="1" x14ac:dyDescent="0.25">
      <c r="B156" s="4"/>
      <c r="C156" s="5"/>
      <c r="D156" s="5"/>
      <c r="E156" s="5"/>
      <c r="F156" s="5"/>
      <c r="G156" s="12"/>
      <c r="H156" s="12"/>
      <c r="I156" s="12"/>
      <c r="J156" s="12"/>
      <c r="K156" s="12"/>
      <c r="L156" s="5"/>
    </row>
    <row r="157" spans="1:12" hidden="1" x14ac:dyDescent="0.25">
      <c r="A157" s="19">
        <v>2</v>
      </c>
      <c r="B157" s="8" t="s">
        <v>16</v>
      </c>
      <c r="C157" s="16"/>
      <c r="D157" s="16"/>
      <c r="E157" s="3">
        <v>8525861</v>
      </c>
      <c r="F157" s="3"/>
      <c r="G157" s="11">
        <v>1.9838</v>
      </c>
      <c r="H157" s="11" t="s">
        <v>73</v>
      </c>
      <c r="I157" s="11">
        <v>2.1251000000000002</v>
      </c>
      <c r="J157" s="11">
        <f>I157-G157</f>
        <v>0.1413000000000002</v>
      </c>
      <c r="K157" s="11"/>
      <c r="L157" s="3">
        <f>E157*J157</f>
        <v>1204704.1593000018</v>
      </c>
    </row>
    <row r="158" spans="1:12" hidden="1" x14ac:dyDescent="0.25">
      <c r="B158" s="2"/>
      <c r="C158" s="3"/>
      <c r="D158" s="3"/>
      <c r="E158" s="3"/>
      <c r="F158" s="3"/>
      <c r="G158" s="11"/>
      <c r="H158" s="11"/>
      <c r="I158" s="11"/>
      <c r="J158" s="11"/>
      <c r="K158" s="11"/>
      <c r="L158" s="3"/>
    </row>
    <row r="159" spans="1:12" hidden="1" x14ac:dyDescent="0.25">
      <c r="A159" s="19">
        <v>3</v>
      </c>
      <c r="B159" s="8" t="s">
        <v>17</v>
      </c>
      <c r="C159" s="16"/>
      <c r="D159" s="16"/>
      <c r="E159" s="3"/>
      <c r="F159" s="3"/>
      <c r="G159" s="11"/>
      <c r="H159" s="11"/>
      <c r="I159" s="11"/>
      <c r="J159" s="11"/>
      <c r="K159" s="11"/>
      <c r="L159" s="3"/>
    </row>
    <row r="160" spans="1:12" hidden="1" x14ac:dyDescent="0.25">
      <c r="A160" s="19">
        <v>4</v>
      </c>
      <c r="B160" s="2" t="s">
        <v>97</v>
      </c>
      <c r="C160" s="3"/>
      <c r="D160" s="3"/>
      <c r="E160" s="3">
        <v>-290403</v>
      </c>
      <c r="F160" s="3">
        <v>-677014</v>
      </c>
      <c r="G160" s="11">
        <f>F160/E160</f>
        <v>2.3312913434089868</v>
      </c>
      <c r="H160" s="11"/>
      <c r="I160" s="11">
        <v>2.1251000000000002</v>
      </c>
      <c r="J160" s="11">
        <f>I160-G160</f>
        <v>-0.20619134340898659</v>
      </c>
      <c r="K160" s="11"/>
      <c r="L160" s="3">
        <f>E160*J160</f>
        <v>59878.584699999934</v>
      </c>
    </row>
    <row r="161" spans="1:12" hidden="1" x14ac:dyDescent="0.25">
      <c r="A161" s="19">
        <v>5</v>
      </c>
      <c r="B161" s="2" t="s">
        <v>98</v>
      </c>
      <c r="C161" s="3"/>
      <c r="D161" s="3"/>
      <c r="E161" s="3"/>
      <c r="F161" s="3">
        <v>47618</v>
      </c>
      <c r="G161" s="11"/>
      <c r="H161" s="11"/>
      <c r="I161" s="11"/>
      <c r="J161" s="11"/>
      <c r="K161" s="11"/>
      <c r="L161" s="3">
        <f>-F161</f>
        <v>-47618</v>
      </c>
    </row>
    <row r="162" spans="1:12" hidden="1" x14ac:dyDescent="0.25">
      <c r="A162" s="19">
        <v>6</v>
      </c>
      <c r="B162" s="2" t="s">
        <v>0</v>
      </c>
      <c r="C162" s="3"/>
      <c r="D162" s="3"/>
      <c r="E162" s="3">
        <v>0</v>
      </c>
      <c r="F162" s="3">
        <v>0</v>
      </c>
      <c r="G162" s="11">
        <v>0</v>
      </c>
      <c r="H162" s="11"/>
      <c r="I162" s="11">
        <v>2.1251000000000002</v>
      </c>
      <c r="J162" s="11">
        <f>I162-G162</f>
        <v>2.1251000000000002</v>
      </c>
      <c r="K162" s="11"/>
      <c r="L162" s="3">
        <f>E162*J162</f>
        <v>0</v>
      </c>
    </row>
    <row r="163" spans="1:12" hidden="1" x14ac:dyDescent="0.25">
      <c r="A163" s="19">
        <v>7</v>
      </c>
      <c r="B163" s="2" t="s">
        <v>81</v>
      </c>
      <c r="C163" s="1"/>
      <c r="D163" s="1"/>
      <c r="E163" s="1">
        <v>78133</v>
      </c>
      <c r="F163" s="1">
        <v>207484</v>
      </c>
      <c r="G163" s="11">
        <f>F163/E163</f>
        <v>2.6555232744166997</v>
      </c>
      <c r="H163" s="11"/>
      <c r="I163" s="11">
        <v>2.1251000000000002</v>
      </c>
      <c r="J163" s="11">
        <f>I163-G163</f>
        <v>-0.53042327441669945</v>
      </c>
      <c r="K163" s="11"/>
      <c r="L163" s="1">
        <f>E163*J163</f>
        <v>-41443.561699999977</v>
      </c>
    </row>
    <row r="164" spans="1:12" hidden="1" x14ac:dyDescent="0.25">
      <c r="A164" s="19">
        <v>8</v>
      </c>
      <c r="B164" s="2" t="s">
        <v>18</v>
      </c>
      <c r="C164" s="3">
        <f>D164+E164</f>
        <v>3143</v>
      </c>
      <c r="D164" s="3">
        <v>215413</v>
      </c>
      <c r="E164" s="3">
        <f>SUM(E160:E163)</f>
        <v>-212270</v>
      </c>
      <c r="F164" s="3">
        <f>SUM(F160:F163)</f>
        <v>-421912</v>
      </c>
      <c r="G164" s="11"/>
      <c r="H164" s="11"/>
      <c r="I164" s="11"/>
      <c r="J164" s="11"/>
      <c r="K164" s="11"/>
      <c r="L164" s="3">
        <f>SUM(L160:L163)</f>
        <v>-29182.977000000043</v>
      </c>
    </row>
    <row r="165" spans="1:12" hidden="1" x14ac:dyDescent="0.25"/>
    <row r="166" spans="1:12" hidden="1" x14ac:dyDescent="0.25">
      <c r="A166" s="19">
        <v>9</v>
      </c>
      <c r="B166" s="13" t="s">
        <v>19</v>
      </c>
      <c r="C166" s="18">
        <f>C149+C164</f>
        <v>1345157</v>
      </c>
      <c r="D166" s="18">
        <f>D149+D164</f>
        <v>-6968434</v>
      </c>
      <c r="E166" s="14">
        <f>E149+E164</f>
        <v>8313591</v>
      </c>
      <c r="F166" s="14"/>
      <c r="G166" s="15"/>
      <c r="H166" s="15"/>
      <c r="I166" s="15"/>
      <c r="J166" s="15"/>
      <c r="K166" s="15"/>
      <c r="L166" s="31">
        <f>L149+L157+L164</f>
        <v>15659502.413300006</v>
      </c>
    </row>
    <row r="167" spans="1:12" hidden="1" x14ac:dyDescent="0.25">
      <c r="B167" s="8"/>
      <c r="C167" s="34"/>
      <c r="D167" s="34"/>
      <c r="E167" s="3"/>
      <c r="F167" s="3"/>
      <c r="G167" s="11"/>
      <c r="H167" s="11"/>
      <c r="I167" s="11"/>
      <c r="J167" s="11"/>
      <c r="K167" s="11"/>
      <c r="L167" s="35"/>
    </row>
    <row r="168" spans="1:12" hidden="1" x14ac:dyDescent="0.25">
      <c r="B168" s="36" t="s">
        <v>74</v>
      </c>
      <c r="C168" s="34"/>
      <c r="D168" s="34"/>
      <c r="E168" s="3"/>
      <c r="F168" s="3"/>
      <c r="G168" s="11"/>
      <c r="H168" s="11"/>
      <c r="I168" s="11"/>
      <c r="J168" s="11"/>
      <c r="K168" s="11"/>
      <c r="L168" s="35"/>
    </row>
    <row r="169" spans="1:12" hidden="1" x14ac:dyDescent="0.25">
      <c r="B169" s="8"/>
      <c r="C169" s="34"/>
      <c r="D169" s="34"/>
      <c r="E169" s="3"/>
      <c r="F169" s="3"/>
      <c r="G169" s="11"/>
      <c r="H169" s="11"/>
      <c r="I169" s="11"/>
      <c r="J169" s="11"/>
      <c r="K169" s="11"/>
      <c r="L169" s="35"/>
    </row>
    <row r="170" spans="1:12" hidden="1" x14ac:dyDescent="0.25">
      <c r="B170" s="38" t="s">
        <v>85</v>
      </c>
      <c r="C170" s="34"/>
      <c r="D170" s="34"/>
      <c r="E170" s="3"/>
      <c r="F170" s="3"/>
      <c r="G170" s="11"/>
      <c r="H170" s="11"/>
      <c r="I170" s="11"/>
      <c r="J170" s="11"/>
      <c r="K170" s="11"/>
      <c r="L170" s="35"/>
    </row>
    <row r="171" spans="1:12" hidden="1" x14ac:dyDescent="0.25">
      <c r="B171" s="38"/>
      <c r="C171" s="34"/>
      <c r="D171" s="34"/>
      <c r="E171" s="3"/>
      <c r="F171" s="3"/>
      <c r="G171" s="11"/>
      <c r="H171" s="11"/>
      <c r="I171" s="11"/>
      <c r="J171" s="11"/>
      <c r="K171" s="11"/>
      <c r="L171" s="35"/>
    </row>
    <row r="172" spans="1:12" hidden="1" x14ac:dyDescent="0.25">
      <c r="A172" s="19">
        <v>1</v>
      </c>
      <c r="B172" s="13" t="str">
        <f>B166</f>
        <v>5/99 Balance Per Books:</v>
      </c>
      <c r="C172" s="18">
        <f>C166</f>
        <v>1345157</v>
      </c>
      <c r="D172" s="18">
        <f>D166</f>
        <v>-6968434</v>
      </c>
      <c r="E172" s="18">
        <f>E166</f>
        <v>8313591</v>
      </c>
      <c r="F172" s="14"/>
      <c r="G172" s="15"/>
      <c r="H172" s="15"/>
      <c r="I172" s="15"/>
      <c r="J172" s="15"/>
      <c r="K172" s="15"/>
      <c r="L172" s="39">
        <f>L166</f>
        <v>15659502.413300006</v>
      </c>
    </row>
    <row r="173" spans="1:12" hidden="1" x14ac:dyDescent="0.25">
      <c r="B173" s="4"/>
      <c r="C173" s="5"/>
      <c r="D173" s="5"/>
      <c r="E173" s="5"/>
      <c r="F173" s="5"/>
      <c r="G173" s="12"/>
      <c r="H173" s="12"/>
      <c r="I173" s="12"/>
      <c r="J173" s="12"/>
      <c r="K173" s="12"/>
      <c r="L173" s="5"/>
    </row>
    <row r="174" spans="1:12" hidden="1" x14ac:dyDescent="0.25">
      <c r="A174" s="19">
        <v>2</v>
      </c>
      <c r="B174" s="8" t="s">
        <v>20</v>
      </c>
      <c r="C174" s="16"/>
      <c r="D174" s="16"/>
      <c r="E174" s="3">
        <v>8313591</v>
      </c>
      <c r="F174" s="3"/>
      <c r="G174" s="11">
        <v>2.1251000000000002</v>
      </c>
      <c r="H174" s="11" t="s">
        <v>73</v>
      </c>
      <c r="I174" s="11">
        <v>2.1593</v>
      </c>
      <c r="J174" s="11">
        <f>I174-G174</f>
        <v>3.4199999999999786E-2</v>
      </c>
      <c r="K174" s="11"/>
      <c r="L174" s="3">
        <f>E174*J174</f>
        <v>284324.81219999824</v>
      </c>
    </row>
    <row r="175" spans="1:12" hidden="1" x14ac:dyDescent="0.25">
      <c r="B175" s="2"/>
      <c r="C175" s="3"/>
      <c r="D175" s="3"/>
      <c r="E175" s="3"/>
      <c r="F175" s="3"/>
      <c r="G175" s="11"/>
      <c r="H175" s="11"/>
      <c r="I175" s="11"/>
      <c r="J175" s="11"/>
      <c r="K175" s="11"/>
      <c r="L175" s="3"/>
    </row>
    <row r="176" spans="1:12" hidden="1" x14ac:dyDescent="0.25">
      <c r="A176" s="19">
        <v>3</v>
      </c>
      <c r="B176" s="8" t="s">
        <v>21</v>
      </c>
      <c r="C176" s="16"/>
      <c r="D176" s="16"/>
      <c r="E176" s="3"/>
      <c r="F176" s="3"/>
      <c r="G176" s="11"/>
      <c r="H176" s="11"/>
      <c r="I176" s="11"/>
      <c r="J176" s="11"/>
      <c r="K176" s="11"/>
      <c r="L176" s="3"/>
    </row>
    <row r="177" spans="1:12" hidden="1" x14ac:dyDescent="0.25">
      <c r="A177" s="19">
        <v>4</v>
      </c>
      <c r="B177" s="2" t="s">
        <v>97</v>
      </c>
      <c r="C177" s="3"/>
      <c r="D177" s="3"/>
      <c r="E177" s="3">
        <v>357832</v>
      </c>
      <c r="F177" s="3">
        <v>689902</v>
      </c>
      <c r="G177" s="11">
        <f>F177/E177</f>
        <v>1.9280053209327281</v>
      </c>
      <c r="H177" s="11"/>
      <c r="I177" s="11">
        <v>2.1593</v>
      </c>
      <c r="J177" s="11">
        <f>I177-G177</f>
        <v>0.23129467906727186</v>
      </c>
      <c r="K177" s="11"/>
      <c r="L177" s="3">
        <f>E177*J177</f>
        <v>82764.637600000016</v>
      </c>
    </row>
    <row r="178" spans="1:12" hidden="1" x14ac:dyDescent="0.25">
      <c r="A178" s="19">
        <v>5</v>
      </c>
      <c r="B178" s="2" t="s">
        <v>98</v>
      </c>
      <c r="C178" s="3"/>
      <c r="D178" s="3"/>
      <c r="E178" s="3"/>
      <c r="F178" s="3">
        <v>21702</v>
      </c>
      <c r="G178" s="11"/>
      <c r="H178" s="11"/>
      <c r="I178" s="11"/>
      <c r="J178" s="11"/>
      <c r="K178" s="11"/>
      <c r="L178" s="3">
        <f>-F178</f>
        <v>-21702</v>
      </c>
    </row>
    <row r="179" spans="1:12" hidden="1" x14ac:dyDescent="0.25">
      <c r="A179" s="19">
        <v>6</v>
      </c>
      <c r="B179" s="2" t="s">
        <v>0</v>
      </c>
      <c r="C179" s="3"/>
      <c r="D179" s="3"/>
      <c r="E179" s="3">
        <v>0</v>
      </c>
      <c r="F179" s="3">
        <v>0</v>
      </c>
      <c r="G179" s="11">
        <v>0</v>
      </c>
      <c r="H179" s="11"/>
      <c r="I179" s="11">
        <v>2.1593</v>
      </c>
      <c r="J179" s="11">
        <f>I179-G179</f>
        <v>2.1593</v>
      </c>
      <c r="K179" s="11"/>
      <c r="L179" s="3">
        <f>E179*J179</f>
        <v>0</v>
      </c>
    </row>
    <row r="180" spans="1:12" hidden="1" x14ac:dyDescent="0.25">
      <c r="A180" s="19">
        <v>7</v>
      </c>
      <c r="B180" s="2" t="s">
        <v>81</v>
      </c>
      <c r="C180" s="1"/>
      <c r="D180" s="1"/>
      <c r="E180" s="1">
        <v>249041</v>
      </c>
      <c r="F180" s="1">
        <v>542192</v>
      </c>
      <c r="G180" s="11">
        <f>F180/E180</f>
        <v>2.177119430133994</v>
      </c>
      <c r="H180" s="11"/>
      <c r="I180" s="11">
        <v>2.1593</v>
      </c>
      <c r="J180" s="11">
        <f>I180-G180</f>
        <v>-1.7819430133994008E-2</v>
      </c>
      <c r="K180" s="11"/>
      <c r="L180" s="1">
        <f>E180*J180</f>
        <v>-4437.7687000000014</v>
      </c>
    </row>
    <row r="181" spans="1:12" hidden="1" x14ac:dyDescent="0.25">
      <c r="A181" s="19">
        <v>8</v>
      </c>
      <c r="B181" s="2" t="s">
        <v>22</v>
      </c>
      <c r="C181" s="3">
        <f>D181+E181</f>
        <v>633131</v>
      </c>
      <c r="D181" s="3">
        <v>26258</v>
      </c>
      <c r="E181" s="3">
        <f>SUM(E177:E180)</f>
        <v>606873</v>
      </c>
      <c r="F181" s="3">
        <f>SUM(F177:F180)</f>
        <v>1253796</v>
      </c>
      <c r="G181" s="11"/>
      <c r="H181" s="11"/>
      <c r="I181" s="11"/>
      <c r="J181" s="11"/>
      <c r="K181" s="11"/>
      <c r="L181" s="3">
        <f>SUM(L177:L180)</f>
        <v>56624.868900000016</v>
      </c>
    </row>
    <row r="182" spans="1:12" hidden="1" x14ac:dyDescent="0.25"/>
    <row r="183" spans="1:12" hidden="1" x14ac:dyDescent="0.25">
      <c r="A183" s="19">
        <v>9</v>
      </c>
      <c r="B183" s="13" t="s">
        <v>23</v>
      </c>
      <c r="C183" s="18">
        <f>C166+C181</f>
        <v>1978288</v>
      </c>
      <c r="D183" s="18">
        <f>D166+D181</f>
        <v>-6942176</v>
      </c>
      <c r="E183" s="14">
        <f>E166+E181</f>
        <v>8920464</v>
      </c>
      <c r="F183" s="14"/>
      <c r="G183" s="15"/>
      <c r="H183" s="15"/>
      <c r="I183" s="15"/>
      <c r="J183" s="15"/>
      <c r="K183" s="15"/>
      <c r="L183" s="31">
        <f>L166+L174+L181-1</f>
        <v>16000451.094400004</v>
      </c>
    </row>
    <row r="184" spans="1:12" hidden="1" x14ac:dyDescent="0.25">
      <c r="B184" s="8"/>
      <c r="C184" s="34"/>
      <c r="D184" s="34"/>
      <c r="E184" s="3"/>
      <c r="F184" s="3"/>
      <c r="G184" s="11"/>
      <c r="H184" s="11"/>
      <c r="I184" s="11"/>
      <c r="J184" s="11"/>
      <c r="K184" s="11"/>
      <c r="L184" s="35"/>
    </row>
    <row r="185" spans="1:12" hidden="1" x14ac:dyDescent="0.25">
      <c r="B185" s="36" t="s">
        <v>74</v>
      </c>
      <c r="C185" s="34"/>
      <c r="D185" s="34"/>
      <c r="E185" s="3"/>
      <c r="F185" s="3"/>
      <c r="G185" s="11"/>
      <c r="H185" s="11"/>
      <c r="I185" s="11"/>
      <c r="J185" s="11"/>
      <c r="K185" s="11"/>
      <c r="L185" s="35"/>
    </row>
    <row r="186" spans="1:12" hidden="1" x14ac:dyDescent="0.25">
      <c r="B186" s="8"/>
      <c r="C186" s="34"/>
      <c r="D186" s="34"/>
      <c r="E186" s="3"/>
      <c r="F186" s="3"/>
      <c r="G186" s="11"/>
      <c r="H186" s="11"/>
      <c r="I186" s="11"/>
      <c r="J186" s="11"/>
      <c r="K186" s="11"/>
      <c r="L186" s="35"/>
    </row>
    <row r="187" spans="1:12" hidden="1" x14ac:dyDescent="0.25">
      <c r="B187" s="38" t="s">
        <v>86</v>
      </c>
      <c r="C187" s="34"/>
      <c r="D187" s="34"/>
      <c r="E187" s="3"/>
      <c r="F187" s="3"/>
      <c r="G187" s="11"/>
      <c r="H187" s="11"/>
      <c r="I187" s="11"/>
      <c r="J187" s="11"/>
      <c r="K187" s="11"/>
      <c r="L187" s="35"/>
    </row>
    <row r="188" spans="1:12" hidden="1" x14ac:dyDescent="0.25">
      <c r="B188" s="38"/>
      <c r="C188" s="34"/>
      <c r="D188" s="34"/>
      <c r="E188" s="3"/>
      <c r="F188" s="3"/>
      <c r="G188" s="11"/>
      <c r="H188" s="11"/>
      <c r="I188" s="11"/>
      <c r="J188" s="11"/>
      <c r="K188" s="11"/>
      <c r="L188" s="35"/>
    </row>
    <row r="189" spans="1:12" hidden="1" x14ac:dyDescent="0.25">
      <c r="A189" s="19">
        <v>1</v>
      </c>
      <c r="B189" s="13" t="str">
        <f>B183</f>
        <v>6/99 Balance Per Books:</v>
      </c>
      <c r="C189" s="18">
        <f>C183</f>
        <v>1978288</v>
      </c>
      <c r="D189" s="18">
        <f>D183</f>
        <v>-6942176</v>
      </c>
      <c r="E189" s="18">
        <f>E183</f>
        <v>8920464</v>
      </c>
      <c r="F189" s="14"/>
      <c r="G189" s="15"/>
      <c r="H189" s="15"/>
      <c r="I189" s="15"/>
      <c r="J189" s="15"/>
      <c r="K189" s="15"/>
      <c r="L189" s="39">
        <f>L183</f>
        <v>16000451.094400004</v>
      </c>
    </row>
    <row r="190" spans="1:12" hidden="1" x14ac:dyDescent="0.25">
      <c r="B190" s="4"/>
      <c r="C190" s="5"/>
      <c r="D190" s="5"/>
      <c r="E190" s="5"/>
      <c r="F190" s="5"/>
      <c r="G190" s="12"/>
      <c r="H190" s="12"/>
      <c r="I190" s="12"/>
      <c r="J190" s="12"/>
      <c r="K190" s="12"/>
      <c r="L190" s="5"/>
    </row>
    <row r="191" spans="1:12" hidden="1" x14ac:dyDescent="0.25">
      <c r="A191" s="19">
        <v>2</v>
      </c>
      <c r="B191" s="8" t="s">
        <v>24</v>
      </c>
      <c r="C191" s="16"/>
      <c r="D191" s="16"/>
      <c r="E191" s="3">
        <v>8920464</v>
      </c>
      <c r="F191" s="3"/>
      <c r="G191" s="11">
        <v>2.1593</v>
      </c>
      <c r="H191" s="11" t="s">
        <v>73</v>
      </c>
      <c r="I191" s="11">
        <v>2.2046000000000001</v>
      </c>
      <c r="J191" s="11">
        <f>I191-G191</f>
        <v>4.5300000000000118E-2</v>
      </c>
      <c r="K191" s="11"/>
      <c r="L191" s="3">
        <f>E191*J191</f>
        <v>404097.01920000103</v>
      </c>
    </row>
    <row r="192" spans="1:12" hidden="1" x14ac:dyDescent="0.25">
      <c r="B192" s="2"/>
      <c r="C192" s="3"/>
      <c r="D192" s="3"/>
      <c r="E192" s="3"/>
      <c r="F192" s="3"/>
      <c r="G192" s="11"/>
      <c r="H192" s="11"/>
      <c r="I192" s="11"/>
      <c r="J192" s="11"/>
      <c r="K192" s="11"/>
      <c r="L192" s="3"/>
    </row>
    <row r="193" spans="1:12" hidden="1" x14ac:dyDescent="0.25">
      <c r="A193" s="19">
        <v>3</v>
      </c>
      <c r="B193" s="8" t="s">
        <v>25</v>
      </c>
      <c r="C193" s="16"/>
      <c r="D193" s="16"/>
      <c r="E193" s="3"/>
      <c r="F193" s="3"/>
      <c r="G193" s="11"/>
      <c r="H193" s="11"/>
      <c r="I193" s="11"/>
      <c r="J193" s="11"/>
      <c r="K193" s="11"/>
      <c r="L193" s="3"/>
    </row>
    <row r="194" spans="1:12" hidden="1" x14ac:dyDescent="0.25">
      <c r="A194" s="19">
        <v>4</v>
      </c>
      <c r="B194" s="2" t="s">
        <v>97</v>
      </c>
      <c r="C194" s="3"/>
      <c r="D194" s="3"/>
      <c r="E194" s="3">
        <v>2641498</v>
      </c>
      <c r="F194" s="3">
        <v>5715313</v>
      </c>
      <c r="G194" s="11">
        <f>F194/E194</f>
        <v>2.163663572715179</v>
      </c>
      <c r="H194" s="11"/>
      <c r="I194" s="11">
        <v>2.2046000000000001</v>
      </c>
      <c r="J194" s="11">
        <f>I194-G194</f>
        <v>4.0936427284821164E-2</v>
      </c>
      <c r="K194" s="11"/>
      <c r="L194" s="3">
        <f>E194*J194</f>
        <v>108133.49080000054</v>
      </c>
    </row>
    <row r="195" spans="1:12" hidden="1" x14ac:dyDescent="0.25">
      <c r="A195" s="19">
        <v>5</v>
      </c>
      <c r="B195" s="2" t="s">
        <v>98</v>
      </c>
      <c r="C195" s="3"/>
      <c r="D195" s="3"/>
      <c r="E195" s="3"/>
      <c r="F195" s="3">
        <v>-73194</v>
      </c>
      <c r="G195" s="11"/>
      <c r="H195" s="11"/>
      <c r="I195" s="11"/>
      <c r="J195" s="11"/>
      <c r="K195" s="11"/>
      <c r="L195" s="3">
        <f>-F195</f>
        <v>73194</v>
      </c>
    </row>
    <row r="196" spans="1:12" hidden="1" x14ac:dyDescent="0.25">
      <c r="A196" s="19">
        <v>6</v>
      </c>
      <c r="B196" s="2" t="s">
        <v>0</v>
      </c>
      <c r="C196" s="3"/>
      <c r="D196" s="3"/>
      <c r="E196" s="3">
        <v>0</v>
      </c>
      <c r="F196" s="3">
        <v>0</v>
      </c>
      <c r="G196" s="11">
        <v>0</v>
      </c>
      <c r="H196" s="11"/>
      <c r="I196" s="11">
        <v>2.2046000000000001</v>
      </c>
      <c r="J196" s="11">
        <f>I196-G196</f>
        <v>2.2046000000000001</v>
      </c>
      <c r="K196" s="11"/>
      <c r="L196" s="3">
        <f>E196*J196</f>
        <v>0</v>
      </c>
    </row>
    <row r="197" spans="1:12" hidden="1" x14ac:dyDescent="0.25">
      <c r="A197" s="19">
        <v>7</v>
      </c>
      <c r="B197" s="2" t="s">
        <v>81</v>
      </c>
      <c r="C197" s="1"/>
      <c r="D197" s="1"/>
      <c r="E197" s="1">
        <v>-11526</v>
      </c>
      <c r="F197" s="1">
        <v>-40771</v>
      </c>
      <c r="G197" s="11">
        <f>F197/E197</f>
        <v>3.5373069581815026</v>
      </c>
      <c r="H197" s="11"/>
      <c r="I197" s="11">
        <v>2.2046000000000001</v>
      </c>
      <c r="J197" s="11">
        <f>I197-G197</f>
        <v>-1.3327069581815025</v>
      </c>
      <c r="K197" s="11"/>
      <c r="L197" s="1">
        <f>E197*J197</f>
        <v>15360.780399999998</v>
      </c>
    </row>
    <row r="198" spans="1:12" hidden="1" x14ac:dyDescent="0.25">
      <c r="A198" s="19">
        <v>8</v>
      </c>
      <c r="B198" s="2" t="s">
        <v>26</v>
      </c>
      <c r="C198" s="3">
        <f>D198+E198</f>
        <v>3117707</v>
      </c>
      <c r="D198" s="3">
        <v>487735</v>
      </c>
      <c r="E198" s="3">
        <f>SUM(E194:E197)</f>
        <v>2629972</v>
      </c>
      <c r="F198" s="3">
        <f>SUM(F194:F197)</f>
        <v>5601348</v>
      </c>
      <c r="G198" s="11"/>
      <c r="H198" s="11"/>
      <c r="I198" s="11"/>
      <c r="J198" s="11"/>
      <c r="K198" s="11"/>
      <c r="L198" s="3">
        <f>SUM(L194:L197)</f>
        <v>196688.27120000054</v>
      </c>
    </row>
    <row r="199" spans="1:12" hidden="1" x14ac:dyDescent="0.25"/>
    <row r="200" spans="1:12" hidden="1" x14ac:dyDescent="0.25">
      <c r="A200" s="19">
        <v>9</v>
      </c>
      <c r="B200" s="13" t="s">
        <v>27</v>
      </c>
      <c r="C200" s="18">
        <f>C183+C198</f>
        <v>5095995</v>
      </c>
      <c r="D200" s="18">
        <f>D183+D198</f>
        <v>-6454441</v>
      </c>
      <c r="E200" s="14">
        <f>E183+E198</f>
        <v>11550436</v>
      </c>
      <c r="F200" s="14"/>
      <c r="G200" s="15"/>
      <c r="H200" s="15"/>
      <c r="I200" s="15"/>
      <c r="J200" s="15"/>
      <c r="K200" s="15"/>
      <c r="L200" s="31">
        <f>L183+L191+L198</f>
        <v>16601236.384800006</v>
      </c>
    </row>
    <row r="201" spans="1:12" hidden="1" x14ac:dyDescent="0.25">
      <c r="B201" s="8"/>
      <c r="C201" s="34"/>
      <c r="D201" s="34"/>
      <c r="E201" s="3"/>
      <c r="F201" s="3"/>
      <c r="G201" s="11"/>
      <c r="H201" s="11"/>
      <c r="I201" s="11"/>
      <c r="J201" s="11"/>
      <c r="K201" s="11"/>
      <c r="L201" s="35"/>
    </row>
    <row r="202" spans="1:12" hidden="1" x14ac:dyDescent="0.25">
      <c r="B202" s="36" t="s">
        <v>74</v>
      </c>
      <c r="C202" s="34"/>
      <c r="D202" s="34"/>
      <c r="E202" s="3"/>
      <c r="F202" s="3"/>
      <c r="G202" s="11"/>
      <c r="H202" s="11"/>
      <c r="I202" s="11"/>
      <c r="J202" s="11"/>
      <c r="K202" s="11"/>
      <c r="L202" s="35"/>
    </row>
    <row r="203" spans="1:12" hidden="1" x14ac:dyDescent="0.25">
      <c r="B203" s="8"/>
      <c r="C203" s="34"/>
      <c r="D203" s="34"/>
      <c r="E203" s="3"/>
      <c r="F203" s="3"/>
      <c r="G203" s="11"/>
      <c r="H203" s="11"/>
      <c r="I203" s="11"/>
      <c r="J203" s="11"/>
      <c r="K203" s="11"/>
      <c r="L203" s="35"/>
    </row>
    <row r="204" spans="1:12" hidden="1" x14ac:dyDescent="0.25">
      <c r="B204" s="38" t="s">
        <v>87</v>
      </c>
      <c r="C204" s="34"/>
      <c r="D204" s="34"/>
      <c r="E204" s="3"/>
      <c r="F204" s="3"/>
      <c r="G204" s="11"/>
      <c r="H204" s="11"/>
      <c r="I204" s="11"/>
      <c r="J204" s="11"/>
      <c r="K204" s="11"/>
      <c r="L204" s="35"/>
    </row>
    <row r="205" spans="1:12" hidden="1" x14ac:dyDescent="0.25">
      <c r="B205" s="38"/>
      <c r="C205" s="34"/>
      <c r="D205" s="34"/>
      <c r="E205" s="3"/>
      <c r="F205" s="3"/>
      <c r="G205" s="11"/>
      <c r="H205" s="11"/>
      <c r="I205" s="11"/>
      <c r="J205" s="11"/>
      <c r="K205" s="11"/>
      <c r="L205" s="35"/>
    </row>
    <row r="206" spans="1:12" hidden="1" x14ac:dyDescent="0.25">
      <c r="A206" s="19">
        <v>1</v>
      </c>
      <c r="B206" s="13" t="str">
        <f>B200</f>
        <v>7/99 Balance Per Books:</v>
      </c>
      <c r="C206" s="18">
        <f>C200</f>
        <v>5095995</v>
      </c>
      <c r="D206" s="18">
        <f>D200</f>
        <v>-6454441</v>
      </c>
      <c r="E206" s="18">
        <f>E200</f>
        <v>11550436</v>
      </c>
      <c r="F206" s="14"/>
      <c r="G206" s="15"/>
      <c r="H206" s="15"/>
      <c r="I206" s="15"/>
      <c r="J206" s="15"/>
      <c r="K206" s="15"/>
      <c r="L206" s="39">
        <f>L200</f>
        <v>16601236.384800006</v>
      </c>
    </row>
    <row r="207" spans="1:12" hidden="1" x14ac:dyDescent="0.25">
      <c r="B207" s="4"/>
      <c r="C207" s="5"/>
      <c r="D207" s="5"/>
      <c r="E207" s="5"/>
      <c r="F207" s="5"/>
      <c r="G207" s="12"/>
      <c r="H207" s="12"/>
      <c r="I207" s="12"/>
      <c r="J207" s="12"/>
      <c r="K207" s="12"/>
      <c r="L207" s="5"/>
    </row>
    <row r="208" spans="1:12" hidden="1" x14ac:dyDescent="0.25">
      <c r="A208" s="19">
        <v>2</v>
      </c>
      <c r="B208" s="8" t="s">
        <v>28</v>
      </c>
      <c r="C208" s="16"/>
      <c r="D208" s="16"/>
      <c r="E208" s="3">
        <v>11550436</v>
      </c>
      <c r="F208" s="3"/>
      <c r="G208" s="11">
        <v>2.2046000000000001</v>
      </c>
      <c r="H208" s="11" t="s">
        <v>73</v>
      </c>
      <c r="I208" s="11">
        <v>2.6522999999999999</v>
      </c>
      <c r="J208" s="11">
        <f>I208-G208</f>
        <v>0.44769999999999976</v>
      </c>
      <c r="K208" s="11"/>
      <c r="L208" s="3">
        <f>E208*J208</f>
        <v>5171130.1971999975</v>
      </c>
    </row>
    <row r="209" spans="1:12" hidden="1" x14ac:dyDescent="0.25">
      <c r="B209" s="2"/>
      <c r="C209" s="3"/>
      <c r="D209" s="3"/>
      <c r="E209" s="3"/>
      <c r="F209" s="3"/>
      <c r="G209" s="11"/>
      <c r="H209" s="11"/>
      <c r="I209" s="11"/>
      <c r="J209" s="11"/>
      <c r="K209" s="11"/>
      <c r="L209" s="3"/>
    </row>
    <row r="210" spans="1:12" hidden="1" x14ac:dyDescent="0.25">
      <c r="A210" s="19">
        <v>3</v>
      </c>
      <c r="B210" s="8" t="s">
        <v>29</v>
      </c>
      <c r="C210" s="16"/>
      <c r="D210" s="16"/>
      <c r="E210" s="3"/>
      <c r="F210" s="3"/>
      <c r="G210" s="11"/>
      <c r="H210" s="11"/>
      <c r="I210" s="11"/>
      <c r="J210" s="11"/>
      <c r="K210" s="11"/>
      <c r="L210" s="3"/>
    </row>
    <row r="211" spans="1:12" hidden="1" x14ac:dyDescent="0.25">
      <c r="A211" s="19">
        <v>4</v>
      </c>
      <c r="B211" s="2" t="s">
        <v>97</v>
      </c>
      <c r="C211" s="3"/>
      <c r="D211" s="3"/>
      <c r="E211" s="3">
        <v>746951</v>
      </c>
      <c r="F211" s="3">
        <v>1223615</v>
      </c>
      <c r="G211" s="11">
        <f>F211/E211</f>
        <v>1.6381462773327835</v>
      </c>
      <c r="H211" s="11"/>
      <c r="I211" s="11">
        <v>2.6522999999999999</v>
      </c>
      <c r="J211" s="11">
        <f>I211-G211</f>
        <v>1.0141537226672164</v>
      </c>
      <c r="K211" s="11"/>
      <c r="L211" s="3">
        <f>E211*J211</f>
        <v>757523.13729999994</v>
      </c>
    </row>
    <row r="212" spans="1:12" hidden="1" x14ac:dyDescent="0.25">
      <c r="A212" s="19">
        <v>5</v>
      </c>
      <c r="B212" s="2" t="s">
        <v>98</v>
      </c>
      <c r="C212" s="3"/>
      <c r="D212" s="3"/>
      <c r="E212" s="3"/>
      <c r="F212" s="3">
        <v>19313</v>
      </c>
      <c r="G212" s="11"/>
      <c r="H212" s="11"/>
      <c r="I212" s="11"/>
      <c r="J212" s="11"/>
      <c r="K212" s="11"/>
      <c r="L212" s="3">
        <f>-F212</f>
        <v>-19313</v>
      </c>
    </row>
    <row r="213" spans="1:12" hidden="1" x14ac:dyDescent="0.25">
      <c r="A213" s="19">
        <v>6</v>
      </c>
      <c r="B213" s="2" t="s">
        <v>0</v>
      </c>
      <c r="C213" s="3"/>
      <c r="D213" s="3"/>
      <c r="E213" s="3">
        <v>-150000</v>
      </c>
      <c r="F213" s="3">
        <v>-443505</v>
      </c>
      <c r="G213" s="11">
        <f>F213/E213</f>
        <v>2.9567000000000001</v>
      </c>
      <c r="H213" s="11"/>
      <c r="I213" s="11">
        <v>2.6522999999999999</v>
      </c>
      <c r="J213" s="11">
        <f>I213-G213</f>
        <v>-0.30440000000000023</v>
      </c>
      <c r="K213" s="11"/>
      <c r="L213" s="3">
        <f>E213*J213</f>
        <v>45660.000000000036</v>
      </c>
    </row>
    <row r="214" spans="1:12" hidden="1" x14ac:dyDescent="0.25">
      <c r="A214" s="19">
        <v>7</v>
      </c>
      <c r="B214" s="2" t="s">
        <v>81</v>
      </c>
      <c r="C214" s="1"/>
      <c r="D214" s="1"/>
      <c r="E214" s="1">
        <v>110543</v>
      </c>
      <c r="F214" s="1">
        <v>240573</v>
      </c>
      <c r="G214" s="11">
        <f>F214/E214</f>
        <v>2.176284341839827</v>
      </c>
      <c r="H214" s="11"/>
      <c r="I214" s="11">
        <v>2.6522999999999999</v>
      </c>
      <c r="J214" s="11">
        <f>I214-G214</f>
        <v>0.47601565816017288</v>
      </c>
      <c r="K214" s="11"/>
      <c r="L214" s="1">
        <f>E214*J214</f>
        <v>52620.198899999988</v>
      </c>
    </row>
    <row r="215" spans="1:12" hidden="1" x14ac:dyDescent="0.25">
      <c r="A215" s="19">
        <v>8</v>
      </c>
      <c r="B215" s="2" t="s">
        <v>30</v>
      </c>
      <c r="C215" s="3">
        <f>D215+E215</f>
        <v>2395570</v>
      </c>
      <c r="D215" s="3">
        <v>1688076</v>
      </c>
      <c r="E215" s="3">
        <f>SUM(E211:E214)</f>
        <v>707494</v>
      </c>
      <c r="F215" s="3">
        <f>SUM(F211:F214)</f>
        <v>1039996</v>
      </c>
      <c r="G215" s="11"/>
      <c r="H215" s="11"/>
      <c r="I215" s="11"/>
      <c r="J215" s="11"/>
      <c r="K215" s="11"/>
      <c r="L215" s="3">
        <f>SUM(L211:L214)</f>
        <v>836490.3361999999</v>
      </c>
    </row>
    <row r="216" spans="1:12" hidden="1" x14ac:dyDescent="0.25"/>
    <row r="217" spans="1:12" hidden="1" x14ac:dyDescent="0.25">
      <c r="A217" s="19">
        <v>9</v>
      </c>
      <c r="B217" s="13" t="s">
        <v>31</v>
      </c>
      <c r="C217" s="18">
        <f>C200+C215</f>
        <v>7491565</v>
      </c>
      <c r="D217" s="18">
        <f>D200+D215</f>
        <v>-4766365</v>
      </c>
      <c r="E217" s="14">
        <f>E200+E215</f>
        <v>12257930</v>
      </c>
      <c r="F217" s="14"/>
      <c r="G217" s="15"/>
      <c r="H217" s="15"/>
      <c r="I217" s="15"/>
      <c r="J217" s="15"/>
      <c r="K217" s="15"/>
      <c r="L217" s="31">
        <f>L200+L208+L215-1</f>
        <v>22608855.918200001</v>
      </c>
    </row>
    <row r="218" spans="1:12" hidden="1" x14ac:dyDescent="0.25">
      <c r="B218" s="8"/>
      <c r="C218" s="34"/>
      <c r="D218" s="34"/>
      <c r="E218" s="3"/>
      <c r="F218" s="3"/>
      <c r="G218" s="11"/>
      <c r="H218" s="11"/>
      <c r="I218" s="11"/>
      <c r="J218" s="11"/>
      <c r="K218" s="11"/>
      <c r="L218" s="35"/>
    </row>
    <row r="219" spans="1:12" hidden="1" x14ac:dyDescent="0.25">
      <c r="B219" s="36" t="s">
        <v>74</v>
      </c>
      <c r="C219" s="34"/>
      <c r="D219" s="34"/>
      <c r="E219" s="3"/>
      <c r="F219" s="3"/>
      <c r="G219" s="11"/>
      <c r="H219" s="11"/>
      <c r="I219" s="11"/>
      <c r="J219" s="11"/>
      <c r="K219" s="11"/>
      <c r="L219" s="35"/>
    </row>
    <row r="220" spans="1:12" hidden="1" x14ac:dyDescent="0.25">
      <c r="B220" s="8"/>
      <c r="C220" s="34"/>
      <c r="D220" s="34"/>
      <c r="E220" s="3"/>
      <c r="F220" s="3"/>
      <c r="G220" s="11"/>
      <c r="H220" s="11"/>
      <c r="I220" s="11"/>
      <c r="J220" s="11"/>
      <c r="K220" s="11"/>
      <c r="L220" s="35"/>
    </row>
    <row r="221" spans="1:12" hidden="1" x14ac:dyDescent="0.25">
      <c r="B221" s="38" t="s">
        <v>88</v>
      </c>
      <c r="C221" s="34"/>
      <c r="D221" s="34"/>
      <c r="E221" s="3"/>
      <c r="F221" s="3"/>
      <c r="G221" s="11"/>
      <c r="H221" s="11"/>
      <c r="I221" s="11"/>
      <c r="J221" s="11"/>
      <c r="K221" s="11"/>
      <c r="L221" s="35"/>
    </row>
    <row r="222" spans="1:12" hidden="1" x14ac:dyDescent="0.25">
      <c r="B222" s="38"/>
      <c r="C222" s="34"/>
      <c r="D222" s="34"/>
      <c r="E222" s="3"/>
      <c r="F222" s="3"/>
      <c r="G222" s="11"/>
      <c r="H222" s="11"/>
      <c r="I222" s="11"/>
      <c r="J222" s="11"/>
      <c r="K222" s="11"/>
      <c r="L222" s="35"/>
    </row>
    <row r="223" spans="1:12" hidden="1" x14ac:dyDescent="0.25">
      <c r="A223" s="19">
        <v>1</v>
      </c>
      <c r="B223" s="13" t="str">
        <f>B217</f>
        <v>8/99 Balance Per Books:</v>
      </c>
      <c r="C223" s="18">
        <f>C217</f>
        <v>7491565</v>
      </c>
      <c r="D223" s="18">
        <f>D217</f>
        <v>-4766365</v>
      </c>
      <c r="E223" s="18">
        <f>E217</f>
        <v>12257930</v>
      </c>
      <c r="F223" s="14"/>
      <c r="G223" s="15"/>
      <c r="H223" s="15"/>
      <c r="I223" s="15"/>
      <c r="J223" s="15"/>
      <c r="K223" s="15"/>
      <c r="L223" s="39">
        <f>L217</f>
        <v>22608855.918200001</v>
      </c>
    </row>
    <row r="224" spans="1:12" hidden="1" x14ac:dyDescent="0.25">
      <c r="B224" s="4"/>
      <c r="C224" s="5"/>
      <c r="D224" s="5"/>
      <c r="E224" s="5"/>
      <c r="F224" s="5"/>
      <c r="G224" s="12"/>
      <c r="H224" s="12"/>
      <c r="I224" s="12"/>
      <c r="J224" s="12"/>
      <c r="K224" s="12"/>
      <c r="L224" s="5"/>
    </row>
    <row r="225" spans="1:12" hidden="1" x14ac:dyDescent="0.25">
      <c r="A225" s="19">
        <v>2</v>
      </c>
      <c r="B225" s="8" t="s">
        <v>32</v>
      </c>
      <c r="C225" s="16"/>
      <c r="D225" s="16"/>
      <c r="E225" s="3">
        <v>12257930</v>
      </c>
      <c r="F225" s="3"/>
      <c r="G225" s="11">
        <v>2.6522999999999999</v>
      </c>
      <c r="H225" s="11" t="s">
        <v>73</v>
      </c>
      <c r="I225" s="11">
        <v>2.4742000000000002</v>
      </c>
      <c r="J225" s="11">
        <f>I225-G225</f>
        <v>-0.1780999999999997</v>
      </c>
      <c r="K225" s="11"/>
      <c r="L225" s="3">
        <f>E225*J225</f>
        <v>-2183137.3329999964</v>
      </c>
    </row>
    <row r="226" spans="1:12" hidden="1" x14ac:dyDescent="0.25">
      <c r="B226" s="2"/>
      <c r="C226" s="3"/>
      <c r="D226" s="3"/>
      <c r="E226" s="3"/>
      <c r="F226" s="3"/>
      <c r="G226" s="11"/>
      <c r="H226" s="11"/>
      <c r="I226" s="11"/>
      <c r="J226" s="11"/>
      <c r="K226" s="11"/>
      <c r="L226" s="3"/>
    </row>
    <row r="227" spans="1:12" hidden="1" x14ac:dyDescent="0.25">
      <c r="A227" s="19">
        <v>3</v>
      </c>
      <c r="B227" s="8" t="s">
        <v>33</v>
      </c>
      <c r="C227" s="16"/>
      <c r="D227" s="16"/>
      <c r="E227" s="3"/>
      <c r="F227" s="3"/>
      <c r="G227" s="11"/>
      <c r="H227" s="11"/>
      <c r="I227" s="11"/>
      <c r="J227" s="11"/>
      <c r="K227" s="11"/>
      <c r="L227" s="3"/>
    </row>
    <row r="228" spans="1:12" hidden="1" x14ac:dyDescent="0.25">
      <c r="A228" s="19">
        <v>4</v>
      </c>
      <c r="B228" s="2" t="s">
        <v>97</v>
      </c>
      <c r="C228" s="3"/>
      <c r="D228" s="3"/>
      <c r="E228" s="3">
        <v>1165147</v>
      </c>
      <c r="F228" s="3">
        <v>3010189</v>
      </c>
      <c r="G228" s="11">
        <f>F228/E228</f>
        <v>2.5835272287531099</v>
      </c>
      <c r="H228" s="11"/>
      <c r="I228" s="11">
        <v>2.4742000000000002</v>
      </c>
      <c r="J228" s="11">
        <f>I228-G228</f>
        <v>-0.10932722875310974</v>
      </c>
      <c r="K228" s="11"/>
      <c r="L228" s="3">
        <f>E228*J228</f>
        <v>-127382.29259999955</v>
      </c>
    </row>
    <row r="229" spans="1:12" hidden="1" x14ac:dyDescent="0.25">
      <c r="A229" s="19">
        <v>5</v>
      </c>
      <c r="B229" s="2" t="s">
        <v>98</v>
      </c>
      <c r="C229" s="3"/>
      <c r="D229" s="3"/>
      <c r="E229" s="3"/>
      <c r="F229" s="3">
        <v>33057</v>
      </c>
      <c r="G229" s="11"/>
      <c r="H229" s="11"/>
      <c r="I229" s="11"/>
      <c r="J229" s="11"/>
      <c r="K229" s="11"/>
      <c r="L229" s="3">
        <f>-F229</f>
        <v>-33057</v>
      </c>
    </row>
    <row r="230" spans="1:12" hidden="1" x14ac:dyDescent="0.25">
      <c r="A230" s="19">
        <v>6</v>
      </c>
      <c r="B230" s="2" t="s">
        <v>0</v>
      </c>
      <c r="C230" s="3"/>
      <c r="D230" s="3"/>
      <c r="E230" s="3">
        <v>-900000</v>
      </c>
      <c r="F230" s="3">
        <v>-2505370</v>
      </c>
      <c r="G230" s="11">
        <f>F230/E230</f>
        <v>2.7837444444444444</v>
      </c>
      <c r="H230" s="11"/>
      <c r="I230" s="11">
        <v>2.4742000000000002</v>
      </c>
      <c r="J230" s="11">
        <f>I230-G230</f>
        <v>-0.30954444444444418</v>
      </c>
      <c r="K230" s="11"/>
      <c r="L230" s="3">
        <f>E230*J230</f>
        <v>278589.99999999977</v>
      </c>
    </row>
    <row r="231" spans="1:12" hidden="1" x14ac:dyDescent="0.25">
      <c r="A231" s="19">
        <v>7</v>
      </c>
      <c r="B231" s="2" t="s">
        <v>81</v>
      </c>
      <c r="C231" s="1"/>
      <c r="D231" s="1"/>
      <c r="E231" s="1">
        <v>106285</v>
      </c>
      <c r="F231" s="1">
        <v>278710</v>
      </c>
      <c r="G231" s="11">
        <f>F231/E231</f>
        <v>2.6222891282871523</v>
      </c>
      <c r="H231" s="11"/>
      <c r="I231" s="11">
        <v>2.4742000000000002</v>
      </c>
      <c r="J231" s="11">
        <f>I231-G231</f>
        <v>-0.14808912828715215</v>
      </c>
      <c r="K231" s="11"/>
      <c r="L231" s="1">
        <f>E231*J231</f>
        <v>-15739.652999999966</v>
      </c>
    </row>
    <row r="232" spans="1:12" hidden="1" x14ac:dyDescent="0.25">
      <c r="A232" s="19">
        <v>8</v>
      </c>
      <c r="B232" s="2" t="s">
        <v>34</v>
      </c>
      <c r="C232" s="3">
        <f>D232+E232</f>
        <v>-281863</v>
      </c>
      <c r="D232" s="3">
        <v>-653295</v>
      </c>
      <c r="E232" s="3">
        <f>SUM(E228:E231)</f>
        <v>371432</v>
      </c>
      <c r="F232" s="3">
        <f>SUM(F228:F231)</f>
        <v>816586</v>
      </c>
      <c r="G232" s="11"/>
      <c r="H232" s="11"/>
      <c r="I232" s="11"/>
      <c r="J232" s="11"/>
      <c r="K232" s="11"/>
      <c r="L232" s="3">
        <f>SUM(L228:L231)</f>
        <v>102411.05440000026</v>
      </c>
    </row>
    <row r="233" spans="1:12" hidden="1" x14ac:dyDescent="0.25"/>
    <row r="234" spans="1:12" hidden="1" x14ac:dyDescent="0.25">
      <c r="A234" s="19">
        <v>9</v>
      </c>
      <c r="B234" s="13" t="s">
        <v>35</v>
      </c>
      <c r="C234" s="18">
        <f>C217+C232</f>
        <v>7209702</v>
      </c>
      <c r="D234" s="18">
        <f>D217+D232</f>
        <v>-5419660</v>
      </c>
      <c r="E234" s="14">
        <f>E217+E232</f>
        <v>12629362</v>
      </c>
      <c r="F234" s="14"/>
      <c r="G234" s="15"/>
      <c r="H234" s="15"/>
      <c r="I234" s="15"/>
      <c r="J234" s="15"/>
      <c r="K234" s="15"/>
      <c r="L234" s="31">
        <f>L217+L225+L232+1</f>
        <v>20528130.639600005</v>
      </c>
    </row>
    <row r="235" spans="1:12" hidden="1" x14ac:dyDescent="0.25">
      <c r="B235" s="8"/>
      <c r="C235" s="34"/>
      <c r="D235" s="34"/>
      <c r="E235" s="3"/>
      <c r="F235" s="3"/>
      <c r="G235" s="11"/>
      <c r="H235" s="11"/>
      <c r="I235" s="11"/>
      <c r="J235" s="11"/>
      <c r="K235" s="11"/>
      <c r="L235" s="35"/>
    </row>
    <row r="236" spans="1:12" hidden="1" x14ac:dyDescent="0.25">
      <c r="B236" s="36" t="s">
        <v>74</v>
      </c>
      <c r="C236" s="34"/>
      <c r="D236" s="34"/>
      <c r="E236" s="3"/>
      <c r="F236" s="3"/>
      <c r="G236" s="11"/>
      <c r="H236" s="11"/>
      <c r="I236" s="11"/>
      <c r="J236" s="11"/>
      <c r="K236" s="11"/>
      <c r="L236" s="35"/>
    </row>
    <row r="237" spans="1:12" hidden="1" x14ac:dyDescent="0.25">
      <c r="B237" s="8"/>
      <c r="C237" s="34"/>
      <c r="D237" s="34"/>
      <c r="E237" s="3"/>
      <c r="F237" s="3"/>
      <c r="G237" s="11"/>
      <c r="H237" s="11"/>
      <c r="I237" s="11"/>
      <c r="J237" s="11"/>
      <c r="K237" s="11"/>
      <c r="L237" s="35"/>
    </row>
    <row r="238" spans="1:12" hidden="1" x14ac:dyDescent="0.25">
      <c r="B238" s="38" t="s">
        <v>89</v>
      </c>
      <c r="C238" s="34"/>
      <c r="D238" s="34"/>
      <c r="E238" s="3"/>
      <c r="F238" s="3"/>
      <c r="G238" s="11"/>
      <c r="H238" s="11"/>
      <c r="I238" s="11"/>
      <c r="J238" s="11"/>
      <c r="K238" s="11"/>
      <c r="L238" s="35"/>
    </row>
    <row r="239" spans="1:12" hidden="1" x14ac:dyDescent="0.25">
      <c r="B239" s="38"/>
      <c r="C239" s="34"/>
      <c r="D239" s="34"/>
      <c r="E239" s="3"/>
      <c r="F239" s="3"/>
      <c r="G239" s="11"/>
      <c r="H239" s="11"/>
      <c r="I239" s="11"/>
      <c r="J239" s="11"/>
      <c r="K239" s="11"/>
      <c r="L239" s="35"/>
    </row>
    <row r="240" spans="1:12" hidden="1" x14ac:dyDescent="0.25">
      <c r="A240" s="19">
        <v>1</v>
      </c>
      <c r="B240" s="13" t="str">
        <f>B234</f>
        <v>9/99 Balance Per Books:</v>
      </c>
      <c r="C240" s="18">
        <f>C234</f>
        <v>7209702</v>
      </c>
      <c r="D240" s="18">
        <f>D234</f>
        <v>-5419660</v>
      </c>
      <c r="E240" s="18">
        <f>E234</f>
        <v>12629362</v>
      </c>
      <c r="F240" s="14"/>
      <c r="G240" s="15"/>
      <c r="H240" s="15"/>
      <c r="I240" s="15"/>
      <c r="J240" s="15"/>
      <c r="K240" s="15"/>
      <c r="L240" s="39">
        <f>L234</f>
        <v>20528130.639600005</v>
      </c>
    </row>
    <row r="241" spans="1:12" hidden="1" x14ac:dyDescent="0.25">
      <c r="B241" s="4"/>
      <c r="C241" s="5"/>
      <c r="D241" s="5"/>
      <c r="E241" s="5"/>
      <c r="F241" s="5"/>
      <c r="G241" s="12"/>
      <c r="H241" s="12"/>
      <c r="I241" s="12"/>
      <c r="J241" s="12"/>
      <c r="K241" s="12"/>
      <c r="L241" s="5"/>
    </row>
    <row r="242" spans="1:12" hidden="1" x14ac:dyDescent="0.25">
      <c r="A242" s="19">
        <v>2</v>
      </c>
      <c r="B242" s="8" t="s">
        <v>36</v>
      </c>
      <c r="C242" s="16"/>
      <c r="D242" s="16"/>
      <c r="E242" s="3">
        <v>12629362</v>
      </c>
      <c r="F242" s="3"/>
      <c r="G242" s="11">
        <v>2.4742000000000002</v>
      </c>
      <c r="H242" s="11" t="s">
        <v>73</v>
      </c>
      <c r="I242" s="11">
        <v>2.6734</v>
      </c>
      <c r="J242" s="11">
        <f>I242-G242</f>
        <v>0.19919999999999982</v>
      </c>
      <c r="K242" s="11"/>
      <c r="L242" s="3">
        <f>E242*J242</f>
        <v>2515768.9103999976</v>
      </c>
    </row>
    <row r="243" spans="1:12" hidden="1" x14ac:dyDescent="0.25">
      <c r="B243" s="2"/>
      <c r="C243" s="3"/>
      <c r="D243" s="3"/>
      <c r="E243" s="3"/>
      <c r="F243" s="3"/>
      <c r="G243" s="11"/>
      <c r="H243" s="11"/>
      <c r="I243" s="11"/>
      <c r="J243" s="11"/>
      <c r="K243" s="11"/>
      <c r="L243" s="3"/>
    </row>
    <row r="244" spans="1:12" hidden="1" x14ac:dyDescent="0.25">
      <c r="A244" s="19">
        <v>3</v>
      </c>
      <c r="B244" s="8" t="s">
        <v>37</v>
      </c>
      <c r="C244" s="16"/>
      <c r="D244" s="16"/>
      <c r="E244" s="3"/>
      <c r="F244" s="3"/>
      <c r="G244" s="11"/>
      <c r="H244" s="11"/>
      <c r="I244" s="11"/>
      <c r="J244" s="11"/>
      <c r="K244" s="11"/>
      <c r="L244" s="3"/>
    </row>
    <row r="245" spans="1:12" hidden="1" x14ac:dyDescent="0.25">
      <c r="A245" s="19">
        <v>4</v>
      </c>
      <c r="B245" s="2" t="s">
        <v>97</v>
      </c>
      <c r="C245" s="3"/>
      <c r="D245" s="3"/>
      <c r="E245" s="3">
        <v>-396685</v>
      </c>
      <c r="F245" s="3">
        <v>-24124</v>
      </c>
      <c r="G245" s="11">
        <f>F245/E245</f>
        <v>6.0813995991781895E-2</v>
      </c>
      <c r="H245" s="11"/>
      <c r="I245" s="11">
        <v>2.6734</v>
      </c>
      <c r="J245" s="11">
        <f>I245-G245</f>
        <v>2.6125860040082181</v>
      </c>
      <c r="K245" s="11"/>
      <c r="L245" s="3">
        <f>E245*J245</f>
        <v>-1036373.679</v>
      </c>
    </row>
    <row r="246" spans="1:12" hidden="1" x14ac:dyDescent="0.25">
      <c r="A246" s="19">
        <v>5</v>
      </c>
      <c r="B246" s="2" t="s">
        <v>98</v>
      </c>
      <c r="C246" s="3"/>
      <c r="D246" s="3"/>
      <c r="E246" s="3"/>
      <c r="F246" s="3">
        <v>22428</v>
      </c>
      <c r="G246" s="11"/>
      <c r="H246" s="11"/>
      <c r="I246" s="11"/>
      <c r="J246" s="11"/>
      <c r="K246" s="11"/>
      <c r="L246" s="3">
        <f>-F246</f>
        <v>-22428</v>
      </c>
    </row>
    <row r="247" spans="1:12" hidden="1" x14ac:dyDescent="0.25">
      <c r="A247" s="19">
        <v>6</v>
      </c>
      <c r="B247" s="2" t="s">
        <v>0</v>
      </c>
      <c r="C247" s="3"/>
      <c r="D247" s="3"/>
      <c r="E247" s="3">
        <v>1917</v>
      </c>
      <c r="F247" s="3">
        <v>5344</v>
      </c>
      <c r="G247" s="11">
        <f>F247/E247</f>
        <v>2.7876890975482524</v>
      </c>
      <c r="H247" s="11"/>
      <c r="I247" s="11">
        <v>2.6734</v>
      </c>
      <c r="J247" s="11">
        <f>I247-G247</f>
        <v>-0.11428909754825245</v>
      </c>
      <c r="K247" s="11"/>
      <c r="L247" s="3">
        <f>E247*J247</f>
        <v>-219.09219999999993</v>
      </c>
    </row>
    <row r="248" spans="1:12" hidden="1" x14ac:dyDescent="0.25">
      <c r="A248" s="19">
        <v>7</v>
      </c>
      <c r="B248" s="2" t="s">
        <v>81</v>
      </c>
      <c r="C248" s="1"/>
      <c r="D248" s="1"/>
      <c r="E248" s="1">
        <v>107907</v>
      </c>
      <c r="F248" s="1">
        <v>262049</v>
      </c>
      <c r="G248" s="11">
        <f>F248/E248</f>
        <v>2.4284708128295662</v>
      </c>
      <c r="H248" s="11"/>
      <c r="I248" s="11">
        <v>2.6734</v>
      </c>
      <c r="J248" s="11">
        <f>I248-G248</f>
        <v>0.24492918717043377</v>
      </c>
      <c r="K248" s="11"/>
      <c r="L248" s="1">
        <f>E248*J248</f>
        <v>26429.573799999998</v>
      </c>
    </row>
    <row r="249" spans="1:12" hidden="1" x14ac:dyDescent="0.25">
      <c r="A249" s="19">
        <v>8</v>
      </c>
      <c r="B249" s="2" t="s">
        <v>38</v>
      </c>
      <c r="C249" s="3">
        <f>D249+E249</f>
        <v>1446767</v>
      </c>
      <c r="D249" s="3">
        <v>1733628</v>
      </c>
      <c r="E249" s="3">
        <f>SUM(E245:E248)</f>
        <v>-286861</v>
      </c>
      <c r="F249" s="3">
        <f>SUM(F245:F248)</f>
        <v>265697</v>
      </c>
      <c r="G249" s="11"/>
      <c r="H249" s="11"/>
      <c r="I249" s="11"/>
      <c r="J249" s="11"/>
      <c r="K249" s="11"/>
      <c r="L249" s="3">
        <f>SUM(L245:L248)</f>
        <v>-1032591.1974000001</v>
      </c>
    </row>
    <row r="250" spans="1:12" hidden="1" x14ac:dyDescent="0.25"/>
    <row r="251" spans="1:12" hidden="1" x14ac:dyDescent="0.25">
      <c r="A251" s="19">
        <v>9</v>
      </c>
      <c r="B251" s="13" t="s">
        <v>39</v>
      </c>
      <c r="C251" s="18">
        <f>C234+C249</f>
        <v>8656469</v>
      </c>
      <c r="D251" s="18">
        <f>D234+D249</f>
        <v>-3686032</v>
      </c>
      <c r="E251" s="14">
        <f>E234+E249</f>
        <v>12342501</v>
      </c>
      <c r="F251" s="14"/>
      <c r="G251" s="15"/>
      <c r="H251" s="15"/>
      <c r="I251" s="15"/>
      <c r="J251" s="15"/>
      <c r="K251" s="15"/>
      <c r="L251" s="31">
        <f>L234+L242+L249</f>
        <v>22011308.352600005</v>
      </c>
    </row>
    <row r="252" spans="1:12" hidden="1" x14ac:dyDescent="0.25">
      <c r="B252" s="8"/>
      <c r="C252" s="34"/>
      <c r="D252" s="34"/>
      <c r="E252" s="3"/>
      <c r="F252" s="3"/>
      <c r="G252" s="11"/>
      <c r="H252" s="11"/>
      <c r="I252" s="11"/>
      <c r="J252" s="11"/>
      <c r="K252" s="11"/>
      <c r="L252" s="35"/>
    </row>
    <row r="253" spans="1:12" hidden="1" x14ac:dyDescent="0.25">
      <c r="B253" s="36" t="s">
        <v>74</v>
      </c>
      <c r="C253" s="34"/>
      <c r="D253" s="34"/>
      <c r="E253" s="3"/>
      <c r="F253" s="3"/>
      <c r="G253" s="11"/>
      <c r="H253" s="11"/>
      <c r="I253" s="11"/>
      <c r="J253" s="11"/>
      <c r="K253" s="11"/>
      <c r="L253" s="35"/>
    </row>
    <row r="254" spans="1:12" hidden="1" x14ac:dyDescent="0.25">
      <c r="B254" s="8"/>
      <c r="C254" s="34"/>
      <c r="D254" s="34"/>
      <c r="E254" s="3"/>
      <c r="F254" s="3"/>
      <c r="G254" s="11"/>
      <c r="H254" s="11"/>
      <c r="I254" s="11"/>
      <c r="J254" s="11"/>
      <c r="K254" s="11"/>
      <c r="L254" s="35"/>
    </row>
    <row r="255" spans="1:12" hidden="1" x14ac:dyDescent="0.25">
      <c r="B255" s="38" t="s">
        <v>90</v>
      </c>
      <c r="C255" s="34"/>
      <c r="D255" s="34"/>
      <c r="E255" s="3"/>
      <c r="F255" s="3"/>
      <c r="G255" s="11"/>
      <c r="H255" s="11"/>
      <c r="I255" s="11"/>
      <c r="J255" s="11"/>
      <c r="K255" s="11"/>
      <c r="L255" s="35"/>
    </row>
    <row r="256" spans="1:12" hidden="1" x14ac:dyDescent="0.25">
      <c r="B256" s="38"/>
      <c r="C256" s="34"/>
      <c r="D256" s="34"/>
      <c r="E256" s="3"/>
      <c r="F256" s="3"/>
      <c r="G256" s="11"/>
      <c r="H256" s="11"/>
      <c r="I256" s="11"/>
      <c r="J256" s="11"/>
      <c r="K256" s="11"/>
      <c r="L256" s="35"/>
    </row>
    <row r="257" spans="1:13" hidden="1" x14ac:dyDescent="0.25">
      <c r="A257" s="19">
        <v>1</v>
      </c>
      <c r="B257" s="13" t="str">
        <f>B251</f>
        <v>10/99 Balance Per Books:</v>
      </c>
      <c r="C257" s="18">
        <f>C251</f>
        <v>8656469</v>
      </c>
      <c r="D257" s="18">
        <f>D251</f>
        <v>-3686032</v>
      </c>
      <c r="E257" s="18">
        <f>E251</f>
        <v>12342501</v>
      </c>
      <c r="F257" s="14"/>
      <c r="G257" s="15"/>
      <c r="H257" s="15"/>
      <c r="I257" s="15"/>
      <c r="J257" s="15"/>
      <c r="K257" s="15"/>
      <c r="L257" s="39">
        <f>L251</f>
        <v>22011308.352600005</v>
      </c>
    </row>
    <row r="258" spans="1:13" hidden="1" x14ac:dyDescent="0.25">
      <c r="B258" s="4"/>
      <c r="C258" s="5"/>
      <c r="D258" s="5"/>
      <c r="E258" s="5"/>
      <c r="F258" s="5"/>
      <c r="G258" s="12"/>
      <c r="H258" s="12"/>
      <c r="I258" s="12"/>
      <c r="J258" s="12"/>
      <c r="K258" s="12"/>
      <c r="L258" s="5"/>
    </row>
    <row r="259" spans="1:13" hidden="1" x14ac:dyDescent="0.25">
      <c r="A259" s="19">
        <v>2</v>
      </c>
      <c r="B259" s="8" t="s">
        <v>40</v>
      </c>
      <c r="C259" s="16"/>
      <c r="D259" s="16"/>
      <c r="E259" s="3">
        <v>12342501</v>
      </c>
      <c r="F259" s="3"/>
      <c r="G259" s="11">
        <v>2.6734</v>
      </c>
      <c r="H259" s="11" t="s">
        <v>73</v>
      </c>
      <c r="I259" s="11">
        <v>2.2852000000000001</v>
      </c>
      <c r="J259" s="11">
        <f>I259-G259</f>
        <v>-0.38819999999999988</v>
      </c>
      <c r="K259" s="11"/>
      <c r="L259" s="3">
        <f>E259*J259</f>
        <v>-4791358.8881999981</v>
      </c>
    </row>
    <row r="260" spans="1:13" hidden="1" x14ac:dyDescent="0.25">
      <c r="B260" s="2"/>
      <c r="C260" s="3"/>
      <c r="D260" s="3"/>
      <c r="E260" s="3"/>
      <c r="F260" s="3"/>
      <c r="G260" s="11"/>
      <c r="H260" s="11"/>
      <c r="I260" s="11"/>
      <c r="J260" s="11"/>
      <c r="K260" s="11"/>
      <c r="L260" s="3"/>
    </row>
    <row r="261" spans="1:13" hidden="1" x14ac:dyDescent="0.25">
      <c r="A261" s="19">
        <v>3</v>
      </c>
      <c r="B261" s="8" t="s">
        <v>41</v>
      </c>
      <c r="C261" s="16"/>
      <c r="D261" s="16"/>
      <c r="E261" s="3"/>
      <c r="F261" s="3"/>
      <c r="G261" s="11"/>
      <c r="H261" s="11"/>
      <c r="I261" s="11"/>
      <c r="J261" s="11"/>
      <c r="K261" s="11"/>
      <c r="L261" s="3"/>
    </row>
    <row r="262" spans="1:13" hidden="1" x14ac:dyDescent="0.25">
      <c r="A262" s="19">
        <v>4</v>
      </c>
      <c r="B262" s="2" t="s">
        <v>97</v>
      </c>
      <c r="C262" s="3"/>
      <c r="D262" s="3"/>
      <c r="E262" s="3">
        <v>-1568900</v>
      </c>
      <c r="F262" s="3">
        <v>-3459124</v>
      </c>
      <c r="G262" s="11">
        <f>F262/E262</f>
        <v>2.2048084645292882</v>
      </c>
      <c r="H262" s="11"/>
      <c r="I262" s="11">
        <v>2.2852000000000001</v>
      </c>
      <c r="J262" s="11">
        <f>I262-G262</f>
        <v>8.0391535470711872E-2</v>
      </c>
      <c r="K262" s="11"/>
      <c r="L262" s="3">
        <f>E262*J262</f>
        <v>-126126.27999999985</v>
      </c>
    </row>
    <row r="263" spans="1:13" hidden="1" x14ac:dyDescent="0.25">
      <c r="A263" s="19">
        <v>5</v>
      </c>
      <c r="B263" s="2" t="s">
        <v>98</v>
      </c>
      <c r="C263" s="3"/>
      <c r="D263" s="3"/>
      <c r="E263" s="3"/>
      <c r="F263" s="3">
        <v>13662</v>
      </c>
      <c r="G263" s="11"/>
      <c r="H263" s="11"/>
      <c r="I263" s="11"/>
      <c r="J263" s="11"/>
      <c r="K263" s="11"/>
      <c r="L263" s="3">
        <f>-F263</f>
        <v>-13662</v>
      </c>
      <c r="M263" s="29"/>
    </row>
    <row r="264" spans="1:13" hidden="1" x14ac:dyDescent="0.25">
      <c r="A264" s="19">
        <v>6</v>
      </c>
      <c r="B264" s="2" t="s">
        <v>0</v>
      </c>
      <c r="C264" s="3"/>
      <c r="D264" s="3"/>
      <c r="E264" s="3">
        <v>-2970000</v>
      </c>
      <c r="F264" s="3">
        <v>-9126900</v>
      </c>
      <c r="G264" s="11">
        <f>F264/E264</f>
        <v>3.0730303030303032</v>
      </c>
      <c r="H264" s="11"/>
      <c r="I264" s="11">
        <v>2.2852000000000001</v>
      </c>
      <c r="J264" s="11">
        <f>I264-G264</f>
        <v>-0.7878303030303031</v>
      </c>
      <c r="K264" s="11"/>
      <c r="L264" s="3">
        <f>E264*J264</f>
        <v>2339856</v>
      </c>
    </row>
    <row r="265" spans="1:13" hidden="1" x14ac:dyDescent="0.25">
      <c r="A265" s="19">
        <v>7</v>
      </c>
      <c r="B265" s="2" t="s">
        <v>81</v>
      </c>
      <c r="C265" s="1"/>
      <c r="D265" s="1"/>
      <c r="E265" s="1">
        <v>322470</v>
      </c>
      <c r="F265" s="1">
        <v>761583</v>
      </c>
      <c r="G265" s="11">
        <f>F265/E265</f>
        <v>2.3617173690575868</v>
      </c>
      <c r="H265" s="11"/>
      <c r="I265" s="11">
        <v>2.2852000000000001</v>
      </c>
      <c r="J265" s="11">
        <f>I265-G265</f>
        <v>-7.6517369057586659E-2</v>
      </c>
      <c r="K265" s="11"/>
      <c r="L265" s="1">
        <f>E265*J265-1</f>
        <v>-24675.555999999971</v>
      </c>
    </row>
    <row r="266" spans="1:13" hidden="1" x14ac:dyDescent="0.25">
      <c r="A266" s="19">
        <v>8</v>
      </c>
      <c r="B266" s="2" t="s">
        <v>42</v>
      </c>
      <c r="C266" s="3">
        <f>D266+E266</f>
        <v>-4337078</v>
      </c>
      <c r="D266" s="3">
        <v>-120648</v>
      </c>
      <c r="E266" s="3">
        <f>SUM(E262:E265)</f>
        <v>-4216430</v>
      </c>
      <c r="F266" s="3">
        <f>SUM(F262:F265)</f>
        <v>-11810779</v>
      </c>
      <c r="G266" s="11"/>
      <c r="H266" s="11"/>
      <c r="I266" s="11"/>
      <c r="J266" s="11"/>
      <c r="K266" s="11"/>
      <c r="L266" s="3">
        <f>SUM(L262:L265)</f>
        <v>2175392.1640000003</v>
      </c>
    </row>
    <row r="267" spans="1:13" hidden="1" x14ac:dyDescent="0.25"/>
    <row r="268" spans="1:13" hidden="1" x14ac:dyDescent="0.25">
      <c r="A268" s="19">
        <v>9</v>
      </c>
      <c r="B268" s="13" t="s">
        <v>43</v>
      </c>
      <c r="C268" s="14">
        <f>C251+C266</f>
        <v>4319391</v>
      </c>
      <c r="D268" s="14">
        <f>D251+D266</f>
        <v>-3806680</v>
      </c>
      <c r="E268" s="14">
        <f>E251+E266</f>
        <v>8126071</v>
      </c>
      <c r="F268" s="14"/>
      <c r="G268" s="15"/>
      <c r="H268" s="15"/>
      <c r="I268" s="15"/>
      <c r="J268" s="15"/>
      <c r="K268" s="15"/>
      <c r="L268" s="31">
        <f>L251+L259+L266+1</f>
        <v>19395342.628400009</v>
      </c>
    </row>
    <row r="269" spans="1:13" hidden="1" x14ac:dyDescent="0.25">
      <c r="B269" s="8"/>
      <c r="C269" s="3"/>
      <c r="D269" s="3"/>
      <c r="E269" s="3"/>
      <c r="F269" s="3"/>
      <c r="G269" s="11"/>
      <c r="H269" s="11"/>
      <c r="I269" s="11"/>
      <c r="J269" s="11"/>
      <c r="K269" s="11"/>
      <c r="L269" s="35"/>
    </row>
    <row r="270" spans="1:13" hidden="1" x14ac:dyDescent="0.25">
      <c r="B270" s="36" t="s">
        <v>74</v>
      </c>
      <c r="C270" s="3"/>
      <c r="D270" s="3"/>
      <c r="E270" s="3"/>
      <c r="F270" s="3"/>
      <c r="G270" s="11"/>
      <c r="H270" s="11"/>
      <c r="I270" s="11"/>
      <c r="J270" s="11"/>
      <c r="K270" s="11"/>
      <c r="L270" s="35"/>
    </row>
    <row r="271" spans="1:13" hidden="1" x14ac:dyDescent="0.25">
      <c r="B271" s="8"/>
      <c r="C271" s="3"/>
      <c r="D271" s="3"/>
      <c r="E271" s="3"/>
      <c r="F271" s="3"/>
      <c r="G271" s="11"/>
      <c r="H271" s="11"/>
      <c r="I271" s="11"/>
      <c r="J271" s="11"/>
      <c r="K271" s="11"/>
      <c r="L271" s="35"/>
    </row>
    <row r="272" spans="1:13" hidden="1" x14ac:dyDescent="0.25">
      <c r="B272" s="38" t="s">
        <v>91</v>
      </c>
      <c r="C272" s="3"/>
      <c r="D272" s="3"/>
      <c r="E272" s="3"/>
      <c r="F272" s="3"/>
      <c r="G272" s="11"/>
      <c r="H272" s="11"/>
      <c r="I272" s="11"/>
      <c r="J272" s="11"/>
      <c r="K272" s="11"/>
      <c r="L272" s="35"/>
    </row>
    <row r="273" spans="1:12" hidden="1" x14ac:dyDescent="0.25">
      <c r="B273" s="38"/>
      <c r="C273" s="3"/>
      <c r="D273" s="3"/>
      <c r="E273" s="3"/>
      <c r="F273" s="3"/>
      <c r="G273" s="11"/>
      <c r="H273" s="11"/>
      <c r="I273" s="11"/>
      <c r="J273" s="11"/>
      <c r="K273" s="11"/>
      <c r="L273" s="35"/>
    </row>
    <row r="274" spans="1:12" hidden="1" x14ac:dyDescent="0.25">
      <c r="A274" s="19">
        <v>1</v>
      </c>
      <c r="B274" s="13" t="str">
        <f>B268</f>
        <v>11/99 Balance Per Books:</v>
      </c>
      <c r="C274" s="14">
        <f>C268</f>
        <v>4319391</v>
      </c>
      <c r="D274" s="14">
        <f>D268</f>
        <v>-3806680</v>
      </c>
      <c r="E274" s="14">
        <f>E268</f>
        <v>8126071</v>
      </c>
      <c r="F274" s="14"/>
      <c r="G274" s="15"/>
      <c r="H274" s="15"/>
      <c r="I274" s="15"/>
      <c r="J274" s="15"/>
      <c r="K274" s="15"/>
      <c r="L274" s="31">
        <f>L268</f>
        <v>19395342.628400009</v>
      </c>
    </row>
    <row r="275" spans="1:12" hidden="1" x14ac:dyDescent="0.25">
      <c r="B275" s="8"/>
      <c r="C275" s="16"/>
      <c r="D275" s="16"/>
      <c r="E275" s="3"/>
      <c r="F275" s="3"/>
      <c r="G275" s="11"/>
      <c r="H275" s="11"/>
      <c r="I275" s="11"/>
      <c r="J275" s="11"/>
      <c r="K275" s="11"/>
      <c r="L275" s="3"/>
    </row>
    <row r="276" spans="1:12" hidden="1" x14ac:dyDescent="0.25">
      <c r="A276" s="19">
        <v>2</v>
      </c>
      <c r="B276" s="8" t="s">
        <v>44</v>
      </c>
      <c r="C276" s="16"/>
      <c r="D276" s="16"/>
      <c r="E276" s="3">
        <v>8126071</v>
      </c>
      <c r="F276" s="3"/>
      <c r="G276" s="11">
        <v>2.2852000000000001</v>
      </c>
      <c r="H276" s="11" t="s">
        <v>73</v>
      </c>
      <c r="I276" s="11">
        <v>2.2650999999999999</v>
      </c>
      <c r="J276" s="11">
        <f>I276-G276</f>
        <v>-2.0100000000000229E-2</v>
      </c>
      <c r="K276" s="11"/>
      <c r="L276" s="3">
        <f>E276*J276</f>
        <v>-163334.02710000187</v>
      </c>
    </row>
    <row r="277" spans="1:12" hidden="1" x14ac:dyDescent="0.25">
      <c r="B277" s="2"/>
      <c r="C277" s="3"/>
      <c r="D277" s="3"/>
      <c r="E277" s="3"/>
      <c r="F277" s="3"/>
      <c r="G277" s="11"/>
      <c r="H277" s="11"/>
      <c r="I277" s="11"/>
      <c r="J277" s="11"/>
      <c r="K277" s="11"/>
      <c r="L277" s="3"/>
    </row>
    <row r="278" spans="1:12" hidden="1" x14ac:dyDescent="0.25">
      <c r="A278" s="19">
        <v>3</v>
      </c>
      <c r="B278" s="8" t="s">
        <v>45</v>
      </c>
      <c r="C278" s="16"/>
      <c r="D278" s="16"/>
      <c r="E278" s="3"/>
      <c r="F278" s="3"/>
      <c r="G278" s="11"/>
      <c r="H278" s="11"/>
      <c r="I278" s="11"/>
      <c r="J278" s="11"/>
      <c r="K278" s="11"/>
      <c r="L278" s="3"/>
    </row>
    <row r="279" spans="1:12" hidden="1" x14ac:dyDescent="0.25">
      <c r="A279" s="19">
        <v>4</v>
      </c>
      <c r="B279" s="2" t="s">
        <v>97</v>
      </c>
      <c r="C279" s="3"/>
      <c r="D279" s="3"/>
      <c r="E279" s="3">
        <v>1477065</v>
      </c>
      <c r="F279" s="3">
        <v>3544814</v>
      </c>
      <c r="G279" s="11">
        <f>F279/E279</f>
        <v>2.3999038634047927</v>
      </c>
      <c r="H279" s="11"/>
      <c r="I279" s="11">
        <v>2.2650999999999999</v>
      </c>
      <c r="J279" s="11">
        <f>I279-G279</f>
        <v>-0.13480386340479278</v>
      </c>
      <c r="K279" s="11"/>
      <c r="L279" s="3">
        <f>E279*J279</f>
        <v>-199114.06850000026</v>
      </c>
    </row>
    <row r="280" spans="1:12" hidden="1" x14ac:dyDescent="0.25">
      <c r="A280" s="19">
        <v>5</v>
      </c>
      <c r="B280" s="2" t="s">
        <v>98</v>
      </c>
      <c r="C280" s="3"/>
      <c r="D280" s="3"/>
      <c r="E280" s="3"/>
      <c r="F280" s="3">
        <v>43596</v>
      </c>
      <c r="G280" s="11"/>
      <c r="H280" s="11"/>
      <c r="I280" s="11"/>
      <c r="J280" s="11"/>
      <c r="K280" s="11"/>
      <c r="L280" s="3">
        <f>-F280</f>
        <v>-43596</v>
      </c>
    </row>
    <row r="281" spans="1:12" hidden="1" x14ac:dyDescent="0.25">
      <c r="A281" s="19">
        <v>6</v>
      </c>
      <c r="B281" s="2" t="s">
        <v>0</v>
      </c>
      <c r="C281" s="3"/>
      <c r="D281" s="3"/>
      <c r="E281" s="3">
        <v>-1378331</v>
      </c>
      <c r="F281" s="3">
        <v>-2909366</v>
      </c>
      <c r="G281" s="11">
        <f>F281/E281</f>
        <v>2.1107890630044599</v>
      </c>
      <c r="H281" s="11"/>
      <c r="I281" s="11">
        <v>2.2650999999999999</v>
      </c>
      <c r="J281" s="11">
        <f>I281-G281</f>
        <v>0.15431093699553999</v>
      </c>
      <c r="K281" s="11"/>
      <c r="L281" s="3">
        <f>E281*J281</f>
        <v>-212691.54809999964</v>
      </c>
    </row>
    <row r="282" spans="1:12" hidden="1" x14ac:dyDescent="0.25">
      <c r="A282" s="19">
        <v>7</v>
      </c>
      <c r="B282" s="2" t="s">
        <v>81</v>
      </c>
      <c r="C282" s="1"/>
      <c r="D282" s="1"/>
      <c r="E282" s="1">
        <v>133758</v>
      </c>
      <c r="F282" s="1">
        <v>302384</v>
      </c>
      <c r="G282" s="11">
        <f>F282/E282</f>
        <v>2.2606797350438854</v>
      </c>
      <c r="H282" s="11"/>
      <c r="I282" s="11">
        <v>2.2650999999999999</v>
      </c>
      <c r="J282" s="11">
        <f>I282-G282</f>
        <v>4.4202649561144725E-3</v>
      </c>
      <c r="K282" s="11"/>
      <c r="L282" s="1">
        <f>E282*J282</f>
        <v>591.24579999995956</v>
      </c>
    </row>
    <row r="283" spans="1:12" hidden="1" x14ac:dyDescent="0.25">
      <c r="A283" s="19">
        <v>8</v>
      </c>
      <c r="B283" s="2" t="s">
        <v>46</v>
      </c>
      <c r="C283" s="3">
        <f>D283+E283</f>
        <v>168800</v>
      </c>
      <c r="D283" s="3">
        <v>-63692</v>
      </c>
      <c r="E283" s="3">
        <f>SUM(E279:E282)</f>
        <v>232492</v>
      </c>
      <c r="F283" s="3">
        <f>SUM(F279:F282)</f>
        <v>981428</v>
      </c>
      <c r="G283" s="11"/>
      <c r="H283" s="11"/>
      <c r="I283" s="11"/>
      <c r="J283" s="11"/>
      <c r="K283" s="11"/>
      <c r="L283" s="3">
        <f>SUM(L279:L282)</f>
        <v>-454810.37079999992</v>
      </c>
    </row>
    <row r="284" spans="1:12" hidden="1" x14ac:dyDescent="0.25"/>
    <row r="285" spans="1:12" hidden="1" x14ac:dyDescent="0.25">
      <c r="A285" s="19">
        <v>9</v>
      </c>
      <c r="B285" s="13" t="s">
        <v>47</v>
      </c>
      <c r="C285" s="14">
        <f>C268+C283</f>
        <v>4488191</v>
      </c>
      <c r="D285" s="14">
        <f>D268+D283</f>
        <v>-3870372</v>
      </c>
      <c r="E285" s="14">
        <f>E268+E283</f>
        <v>8358563</v>
      </c>
      <c r="F285" s="14"/>
      <c r="G285" s="15"/>
      <c r="H285" s="15"/>
      <c r="I285" s="15"/>
      <c r="J285" s="15"/>
      <c r="K285" s="15"/>
      <c r="L285" s="31">
        <f>L268+L276+L283+1</f>
        <v>18777199.230500009</v>
      </c>
    </row>
    <row r="286" spans="1:12" hidden="1" x14ac:dyDescent="0.25">
      <c r="B286" s="8"/>
      <c r="C286" s="3"/>
      <c r="D286" s="3"/>
      <c r="E286" s="3"/>
      <c r="F286" s="3"/>
      <c r="G286" s="11"/>
      <c r="H286" s="11"/>
      <c r="I286" s="11"/>
      <c r="J286" s="11"/>
      <c r="K286" s="11"/>
      <c r="L286" s="35"/>
    </row>
    <row r="287" spans="1:12" hidden="1" x14ac:dyDescent="0.25">
      <c r="B287" s="36" t="s">
        <v>74</v>
      </c>
      <c r="C287" s="3"/>
      <c r="D287" s="3"/>
      <c r="E287" s="3"/>
      <c r="F287" s="3"/>
      <c r="G287" s="11"/>
      <c r="H287" s="11"/>
      <c r="I287" s="11"/>
      <c r="J287" s="11"/>
      <c r="K287" s="11"/>
      <c r="L287" s="35"/>
    </row>
    <row r="288" spans="1:12" hidden="1" x14ac:dyDescent="0.25">
      <c r="B288" s="8"/>
      <c r="C288" s="3"/>
      <c r="D288" s="3"/>
      <c r="E288" s="3"/>
      <c r="F288" s="3"/>
      <c r="G288" s="11"/>
      <c r="H288" s="11"/>
      <c r="I288" s="11"/>
      <c r="J288" s="11"/>
      <c r="K288" s="11"/>
      <c r="L288" s="35"/>
    </row>
    <row r="289" spans="1:12" hidden="1" x14ac:dyDescent="0.25">
      <c r="B289" s="38" t="s">
        <v>92</v>
      </c>
      <c r="C289" s="3"/>
      <c r="D289" s="3"/>
      <c r="E289" s="3"/>
      <c r="F289" s="3"/>
      <c r="G289" s="11"/>
      <c r="H289" s="11"/>
      <c r="I289" s="11"/>
      <c r="J289" s="11"/>
      <c r="K289" s="11"/>
      <c r="L289" s="35"/>
    </row>
    <row r="290" spans="1:12" hidden="1" x14ac:dyDescent="0.25">
      <c r="B290" s="38"/>
      <c r="C290" s="3"/>
      <c r="D290" s="3"/>
      <c r="E290" s="3"/>
      <c r="F290" s="3"/>
      <c r="G290" s="11"/>
      <c r="H290" s="11"/>
      <c r="I290" s="11"/>
      <c r="J290" s="11"/>
      <c r="K290" s="11"/>
      <c r="L290" s="35"/>
    </row>
    <row r="291" spans="1:12" hidden="1" x14ac:dyDescent="0.25">
      <c r="A291" s="19">
        <v>1</v>
      </c>
      <c r="B291" s="13" t="str">
        <f>B285</f>
        <v>12/99 Balance Per Books:</v>
      </c>
      <c r="C291" s="14">
        <f>C285</f>
        <v>4488191</v>
      </c>
      <c r="D291" s="14">
        <f>D285</f>
        <v>-3870372</v>
      </c>
      <c r="E291" s="14">
        <f>E285</f>
        <v>8358563</v>
      </c>
      <c r="F291" s="14"/>
      <c r="G291" s="15"/>
      <c r="H291" s="15"/>
      <c r="I291" s="15"/>
      <c r="J291" s="15"/>
      <c r="K291" s="15"/>
      <c r="L291" s="31">
        <f>L285</f>
        <v>18777199.230500009</v>
      </c>
    </row>
    <row r="292" spans="1:12" hidden="1" x14ac:dyDescent="0.25">
      <c r="B292" s="8"/>
      <c r="C292" s="16"/>
      <c r="D292" s="16"/>
      <c r="E292" s="3"/>
      <c r="F292" s="3"/>
      <c r="G292" s="11"/>
      <c r="H292" s="11"/>
      <c r="I292" s="11"/>
      <c r="J292" s="11"/>
      <c r="K292" s="11"/>
      <c r="L292" s="3"/>
    </row>
    <row r="293" spans="1:12" hidden="1" x14ac:dyDescent="0.25">
      <c r="A293" s="19">
        <v>2</v>
      </c>
      <c r="B293" s="8" t="s">
        <v>48</v>
      </c>
      <c r="C293" s="16"/>
      <c r="D293" s="16"/>
      <c r="E293" s="3">
        <v>8358563</v>
      </c>
      <c r="F293" s="3"/>
      <c r="G293" s="11">
        <v>2.2650999999999999</v>
      </c>
      <c r="H293" s="11" t="s">
        <v>73</v>
      </c>
      <c r="I293" s="11">
        <v>2.3090999999999999</v>
      </c>
      <c r="J293" s="11">
        <f>I293-G293</f>
        <v>4.4000000000000039E-2</v>
      </c>
      <c r="K293" s="11"/>
      <c r="L293" s="3">
        <f>E293*J293</f>
        <v>367776.77200000035</v>
      </c>
    </row>
    <row r="294" spans="1:12" hidden="1" x14ac:dyDescent="0.25">
      <c r="B294" s="2"/>
      <c r="C294" s="3"/>
      <c r="D294" s="3"/>
      <c r="E294" s="3"/>
      <c r="F294" s="3"/>
      <c r="G294" s="11"/>
      <c r="H294" s="11"/>
      <c r="I294" s="11"/>
      <c r="J294" s="11"/>
      <c r="K294" s="11"/>
      <c r="L294" s="3"/>
    </row>
    <row r="295" spans="1:12" hidden="1" x14ac:dyDescent="0.25">
      <c r="A295" s="19">
        <v>3</v>
      </c>
      <c r="B295" s="8" t="s">
        <v>49</v>
      </c>
      <c r="C295" s="16"/>
      <c r="D295" s="16"/>
      <c r="E295" s="3"/>
      <c r="F295" s="3"/>
      <c r="G295" s="11"/>
      <c r="H295" s="11"/>
      <c r="I295" s="11"/>
      <c r="J295" s="11"/>
      <c r="K295" s="11"/>
      <c r="L295" s="3"/>
    </row>
    <row r="296" spans="1:12" hidden="1" x14ac:dyDescent="0.25">
      <c r="A296" s="19">
        <v>4</v>
      </c>
      <c r="B296" s="2" t="s">
        <v>97</v>
      </c>
      <c r="C296" s="3"/>
      <c r="D296" s="3"/>
      <c r="E296" s="3">
        <v>31597</v>
      </c>
      <c r="F296" s="3">
        <v>41095</v>
      </c>
      <c r="G296" s="11">
        <f>F296/E296</f>
        <v>1.3005981580529797</v>
      </c>
      <c r="H296" s="11"/>
      <c r="I296" s="11">
        <v>2.3090999999999999</v>
      </c>
      <c r="J296" s="11">
        <f>I296-G296</f>
        <v>1.0085018419470202</v>
      </c>
      <c r="K296" s="11"/>
      <c r="L296" s="3">
        <f>E296*J296</f>
        <v>31865.632699999998</v>
      </c>
    </row>
    <row r="297" spans="1:12" hidden="1" x14ac:dyDescent="0.25">
      <c r="A297" s="19">
        <v>5</v>
      </c>
      <c r="B297" s="2" t="s">
        <v>98</v>
      </c>
      <c r="C297" s="3"/>
      <c r="D297" s="3"/>
      <c r="E297" s="3"/>
      <c r="F297" s="3">
        <v>28532</v>
      </c>
      <c r="G297" s="11"/>
      <c r="H297" s="11"/>
      <c r="I297" s="11"/>
      <c r="J297" s="11"/>
      <c r="K297" s="11"/>
      <c r="L297" s="3">
        <f>-F297</f>
        <v>-28532</v>
      </c>
    </row>
    <row r="298" spans="1:12" hidden="1" x14ac:dyDescent="0.25">
      <c r="A298" s="19">
        <v>6</v>
      </c>
      <c r="B298" s="2" t="s">
        <v>0</v>
      </c>
      <c r="C298" s="3"/>
      <c r="D298" s="3"/>
      <c r="E298" s="3">
        <v>-1284837</v>
      </c>
      <c r="F298" s="3">
        <v>-3038550</v>
      </c>
      <c r="G298" s="11">
        <f>F298/E298</f>
        <v>2.3649303374669315</v>
      </c>
      <c r="H298" s="11"/>
      <c r="I298" s="11">
        <v>2.3090999999999999</v>
      </c>
      <c r="J298" s="11">
        <f>I298-G298</f>
        <v>-5.5830337466931557E-2</v>
      </c>
      <c r="K298" s="11"/>
      <c r="L298" s="3">
        <f>E298*J298</f>
        <v>71732.883299999943</v>
      </c>
    </row>
    <row r="299" spans="1:12" hidden="1" x14ac:dyDescent="0.25">
      <c r="A299" s="19">
        <v>7</v>
      </c>
      <c r="B299" s="2" t="s">
        <v>81</v>
      </c>
      <c r="C299" s="1"/>
      <c r="D299" s="1"/>
      <c r="E299" s="1">
        <v>97390</v>
      </c>
      <c r="F299" s="1">
        <v>215984</v>
      </c>
      <c r="G299" s="11">
        <f>F299/E299</f>
        <v>2.2177225587842693</v>
      </c>
      <c r="H299" s="11"/>
      <c r="I299" s="11">
        <v>2.3090999999999999</v>
      </c>
      <c r="J299" s="11">
        <f>I299-G299</f>
        <v>9.1377441215730659E-2</v>
      </c>
      <c r="K299" s="11"/>
      <c r="L299" s="1">
        <f>E299*J299</f>
        <v>8899.2490000000089</v>
      </c>
    </row>
    <row r="300" spans="1:12" hidden="1" x14ac:dyDescent="0.25">
      <c r="A300" s="19">
        <v>8</v>
      </c>
      <c r="B300" s="2" t="s">
        <v>50</v>
      </c>
      <c r="C300" s="3">
        <f>D300+E300</f>
        <v>-183341</v>
      </c>
      <c r="D300" s="3">
        <v>972509</v>
      </c>
      <c r="E300" s="3">
        <f>SUM(E296:E299)</f>
        <v>-1155850</v>
      </c>
      <c r="F300" s="3">
        <f>SUM(F296:F299)</f>
        <v>-2752939</v>
      </c>
      <c r="G300" s="11"/>
      <c r="H300" s="11"/>
      <c r="I300" s="11"/>
      <c r="J300" s="11"/>
      <c r="K300" s="11"/>
      <c r="L300" s="3">
        <f>SUM(L296:L299)</f>
        <v>83965.764999999956</v>
      </c>
    </row>
    <row r="301" spans="1:12" hidden="1" x14ac:dyDescent="0.25"/>
    <row r="302" spans="1:12" hidden="1" x14ac:dyDescent="0.25">
      <c r="A302" s="19">
        <v>9</v>
      </c>
      <c r="B302" s="13" t="s">
        <v>51</v>
      </c>
      <c r="C302" s="14">
        <f>C285+C300</f>
        <v>4304850</v>
      </c>
      <c r="D302" s="14">
        <f>D285+D300</f>
        <v>-2897863</v>
      </c>
      <c r="E302" s="14">
        <f>E285+E300</f>
        <v>7202713</v>
      </c>
      <c r="F302" s="14"/>
      <c r="G302" s="15"/>
      <c r="H302" s="15"/>
      <c r="I302" s="15"/>
      <c r="J302" s="15"/>
      <c r="K302" s="15"/>
      <c r="L302" s="31">
        <f>L285+L293+L300+1</f>
        <v>19228942.767500009</v>
      </c>
    </row>
    <row r="303" spans="1:12" hidden="1" x14ac:dyDescent="0.25">
      <c r="B303" s="8"/>
      <c r="C303" s="3"/>
      <c r="D303" s="3"/>
      <c r="E303" s="3"/>
      <c r="F303" s="3"/>
      <c r="G303" s="11"/>
      <c r="H303" s="11"/>
      <c r="I303" s="11"/>
      <c r="J303" s="11"/>
      <c r="K303" s="11"/>
      <c r="L303" s="35"/>
    </row>
    <row r="304" spans="1:12" hidden="1" x14ac:dyDescent="0.25">
      <c r="B304" s="36" t="s">
        <v>74</v>
      </c>
      <c r="C304" s="3"/>
      <c r="D304" s="3"/>
      <c r="E304" s="3"/>
      <c r="F304" s="3"/>
      <c r="G304" s="11"/>
      <c r="H304" s="11"/>
      <c r="I304" s="11"/>
      <c r="J304" s="11"/>
      <c r="K304" s="11"/>
      <c r="L304" s="35"/>
    </row>
    <row r="305" spans="1:12" hidden="1" x14ac:dyDescent="0.25">
      <c r="B305" s="8"/>
      <c r="C305" s="3"/>
      <c r="D305" s="3"/>
      <c r="E305" s="3"/>
      <c r="F305" s="3"/>
      <c r="G305" s="11"/>
      <c r="H305" s="11"/>
      <c r="I305" s="11"/>
      <c r="J305" s="11"/>
      <c r="K305" s="11"/>
      <c r="L305" s="35"/>
    </row>
    <row r="306" spans="1:12" hidden="1" x14ac:dyDescent="0.25">
      <c r="B306" s="38" t="s">
        <v>93</v>
      </c>
      <c r="C306" s="3"/>
      <c r="D306" s="3"/>
      <c r="E306" s="3"/>
      <c r="F306" s="3"/>
      <c r="G306" s="11"/>
      <c r="H306" s="11"/>
      <c r="I306" s="11"/>
      <c r="J306" s="11"/>
      <c r="K306" s="11"/>
      <c r="L306" s="35"/>
    </row>
    <row r="307" spans="1:12" hidden="1" x14ac:dyDescent="0.25">
      <c r="B307" s="38"/>
      <c r="C307" s="3"/>
      <c r="D307" s="3"/>
      <c r="E307" s="3"/>
      <c r="F307" s="3"/>
      <c r="G307" s="11"/>
      <c r="H307" s="11"/>
      <c r="I307" s="11"/>
      <c r="J307" s="11"/>
      <c r="K307" s="11"/>
      <c r="L307" s="35"/>
    </row>
    <row r="308" spans="1:12" hidden="1" x14ac:dyDescent="0.25">
      <c r="A308" s="19">
        <v>1</v>
      </c>
      <c r="B308" s="13" t="str">
        <f>B302</f>
        <v>01/00 Balance Per Books:</v>
      </c>
      <c r="C308" s="14">
        <f>C302</f>
        <v>4304850</v>
      </c>
      <c r="D308" s="14">
        <f>D302</f>
        <v>-2897863</v>
      </c>
      <c r="E308" s="14">
        <f>E302</f>
        <v>7202713</v>
      </c>
      <c r="F308" s="14"/>
      <c r="G308" s="15"/>
      <c r="H308" s="15"/>
      <c r="I308" s="15"/>
      <c r="J308" s="15"/>
      <c r="K308" s="15"/>
      <c r="L308" s="31">
        <f>L302</f>
        <v>19228942.767500009</v>
      </c>
    </row>
    <row r="309" spans="1:12" hidden="1" x14ac:dyDescent="0.25">
      <c r="B309" s="8"/>
      <c r="C309" s="16"/>
      <c r="D309" s="16"/>
      <c r="E309" s="3"/>
      <c r="F309" s="3"/>
      <c r="G309" s="11"/>
      <c r="H309" s="11"/>
      <c r="I309" s="11"/>
      <c r="J309" s="11"/>
      <c r="K309" s="11"/>
      <c r="L309" s="3"/>
    </row>
    <row r="310" spans="1:12" hidden="1" x14ac:dyDescent="0.25">
      <c r="A310" s="19">
        <v>2</v>
      </c>
      <c r="B310" s="8" t="s">
        <v>52</v>
      </c>
      <c r="C310" s="16"/>
      <c r="D310" s="16"/>
      <c r="E310" s="3">
        <v>7202713</v>
      </c>
      <c r="F310" s="3"/>
      <c r="G310" s="11">
        <v>2.3090999999999999</v>
      </c>
      <c r="H310" s="11" t="s">
        <v>73</v>
      </c>
      <c r="I310" s="11">
        <v>2.5043000000000002</v>
      </c>
      <c r="J310" s="11">
        <f>I310-G310</f>
        <v>0.19520000000000026</v>
      </c>
      <c r="K310" s="11"/>
      <c r="L310" s="3">
        <f>E310*J310</f>
        <v>1405969.5776000018</v>
      </c>
    </row>
    <row r="311" spans="1:12" hidden="1" x14ac:dyDescent="0.25">
      <c r="B311" s="2"/>
      <c r="C311" s="3"/>
      <c r="D311" s="3"/>
      <c r="E311" s="3"/>
      <c r="F311" s="3"/>
      <c r="G311" s="11"/>
      <c r="H311" s="11"/>
      <c r="I311" s="11"/>
      <c r="J311" s="11"/>
      <c r="K311" s="11"/>
      <c r="L311" s="3"/>
    </row>
    <row r="312" spans="1:12" hidden="1" x14ac:dyDescent="0.25">
      <c r="A312" s="19">
        <v>3</v>
      </c>
      <c r="B312" s="8" t="s">
        <v>53</v>
      </c>
      <c r="C312" s="16"/>
      <c r="D312" s="16"/>
      <c r="E312" s="3"/>
      <c r="F312" s="3"/>
      <c r="G312" s="11"/>
      <c r="H312" s="11"/>
      <c r="I312" s="11"/>
      <c r="J312" s="11"/>
      <c r="K312" s="11"/>
      <c r="L312" s="3"/>
    </row>
    <row r="313" spans="1:12" hidden="1" x14ac:dyDescent="0.25">
      <c r="A313" s="19">
        <v>4</v>
      </c>
      <c r="B313" s="2" t="s">
        <v>97</v>
      </c>
      <c r="C313" s="3"/>
      <c r="D313" s="3"/>
      <c r="E313" s="3">
        <v>2013067</v>
      </c>
      <c r="F313" s="3">
        <v>4974967</v>
      </c>
      <c r="G313" s="11">
        <f>F313/E313</f>
        <v>2.4713370195825575</v>
      </c>
      <c r="H313" s="11"/>
      <c r="I313" s="11">
        <v>2.5043000000000002</v>
      </c>
      <c r="J313" s="11">
        <f>I313-G313</f>
        <v>3.2962980417442722E-2</v>
      </c>
      <c r="K313" s="11"/>
      <c r="L313" s="3">
        <f>E313*J313</f>
        <v>66356.688100000174</v>
      </c>
    </row>
    <row r="314" spans="1:12" hidden="1" x14ac:dyDescent="0.25">
      <c r="A314" s="19">
        <v>5</v>
      </c>
      <c r="B314" s="2" t="s">
        <v>98</v>
      </c>
      <c r="C314" s="3"/>
      <c r="D314" s="3"/>
      <c r="E314" s="3"/>
      <c r="F314" s="3">
        <v>295800</v>
      </c>
      <c r="G314" s="11"/>
      <c r="H314" s="11"/>
      <c r="I314" s="11"/>
      <c r="J314" s="11"/>
      <c r="K314" s="11"/>
      <c r="L314" s="3">
        <f>-F314</f>
        <v>-295800</v>
      </c>
    </row>
    <row r="315" spans="1:12" hidden="1" x14ac:dyDescent="0.25">
      <c r="A315" s="19">
        <v>6</v>
      </c>
      <c r="B315" s="2" t="s">
        <v>0</v>
      </c>
      <c r="C315" s="3"/>
      <c r="D315" s="3"/>
      <c r="E315" s="3">
        <v>-3402806</v>
      </c>
      <c r="F315" s="3">
        <v>-8806039</v>
      </c>
      <c r="G315" s="11">
        <f>F315/E315</f>
        <v>2.5878757119859315</v>
      </c>
      <c r="H315" s="11"/>
      <c r="I315" s="11">
        <v>2.5043000000000002</v>
      </c>
      <c r="J315" s="11">
        <f>I315-G315</f>
        <v>-8.3575711985931278E-2</v>
      </c>
      <c r="K315" s="11"/>
      <c r="L315" s="3">
        <f>E315*J315</f>
        <v>284391.93419999885</v>
      </c>
    </row>
    <row r="316" spans="1:12" hidden="1" x14ac:dyDescent="0.25">
      <c r="A316" s="19">
        <v>7</v>
      </c>
      <c r="B316" s="2" t="s">
        <v>81</v>
      </c>
      <c r="C316" s="1"/>
      <c r="D316" s="1"/>
      <c r="E316" s="1">
        <v>134379</v>
      </c>
      <c r="F316" s="1">
        <v>303477</v>
      </c>
      <c r="G316" s="11">
        <f>F316/E316</f>
        <v>2.258366262585672</v>
      </c>
      <c r="H316" s="11"/>
      <c r="I316" s="11">
        <v>2.5043000000000002</v>
      </c>
      <c r="J316" s="11">
        <f>I316-G316</f>
        <v>0.24593373741432822</v>
      </c>
      <c r="K316" s="11"/>
      <c r="L316" s="1">
        <f>E316*J316</f>
        <v>33048.329700000009</v>
      </c>
    </row>
    <row r="317" spans="1:12" hidden="1" x14ac:dyDescent="0.25">
      <c r="A317" s="19">
        <v>8</v>
      </c>
      <c r="B317" s="2" t="s">
        <v>54</v>
      </c>
      <c r="C317" s="3">
        <f>D317+E317</f>
        <v>-1907265</v>
      </c>
      <c r="D317" s="3">
        <v>-651905</v>
      </c>
      <c r="E317" s="3">
        <f>SUM(E313:E316)</f>
        <v>-1255360</v>
      </c>
      <c r="F317" s="3">
        <f>SUM(F313:F316)</f>
        <v>-3231795</v>
      </c>
      <c r="G317" s="11"/>
      <c r="H317" s="11"/>
      <c r="I317" s="11"/>
      <c r="J317" s="11"/>
      <c r="K317" s="11"/>
      <c r="L317" s="3">
        <f>SUM(L313:L316)</f>
        <v>87996.95199999903</v>
      </c>
    </row>
    <row r="318" spans="1:12" hidden="1" x14ac:dyDescent="0.25"/>
    <row r="319" spans="1:12" hidden="1" x14ac:dyDescent="0.25">
      <c r="A319" s="19">
        <v>9</v>
      </c>
      <c r="B319" s="13" t="s">
        <v>55</v>
      </c>
      <c r="C319" s="14">
        <f>C302+C317</f>
        <v>2397585</v>
      </c>
      <c r="D319" s="14">
        <f>D302+D317</f>
        <v>-3549768</v>
      </c>
      <c r="E319" s="14">
        <f>E302+E317</f>
        <v>5947353</v>
      </c>
      <c r="F319" s="14"/>
      <c r="G319" s="15"/>
      <c r="H319" s="15"/>
      <c r="I319" s="15"/>
      <c r="J319" s="15"/>
      <c r="K319" s="15"/>
      <c r="L319" s="31">
        <f>L302+L310+L317+1</f>
        <v>20722910.297100011</v>
      </c>
    </row>
    <row r="320" spans="1:12" hidden="1" x14ac:dyDescent="0.25">
      <c r="B320" s="8"/>
      <c r="C320" s="3"/>
      <c r="D320" s="3"/>
      <c r="E320" s="3"/>
      <c r="F320" s="3"/>
      <c r="G320" s="11"/>
      <c r="H320" s="11"/>
      <c r="I320" s="11"/>
      <c r="J320" s="11"/>
      <c r="K320" s="11"/>
      <c r="L320" s="35"/>
    </row>
    <row r="321" spans="1:12" hidden="1" x14ac:dyDescent="0.25">
      <c r="B321" s="36" t="s">
        <v>74</v>
      </c>
      <c r="C321" s="3"/>
      <c r="D321" s="3"/>
      <c r="E321" s="3"/>
      <c r="F321" s="3"/>
      <c r="G321" s="11"/>
      <c r="H321" s="11"/>
      <c r="I321" s="11"/>
      <c r="J321" s="11"/>
      <c r="K321" s="11"/>
      <c r="L321" s="35"/>
    </row>
    <row r="322" spans="1:12" hidden="1" x14ac:dyDescent="0.25">
      <c r="B322" s="8"/>
      <c r="C322" s="3"/>
      <c r="D322" s="3"/>
      <c r="E322" s="3"/>
      <c r="F322" s="3"/>
      <c r="G322" s="11"/>
      <c r="H322" s="11"/>
      <c r="I322" s="11"/>
      <c r="J322" s="11"/>
      <c r="K322" s="11"/>
      <c r="L322" s="35"/>
    </row>
    <row r="323" spans="1:12" hidden="1" x14ac:dyDescent="0.25">
      <c r="B323" s="38" t="s">
        <v>94</v>
      </c>
      <c r="C323" s="3"/>
      <c r="D323" s="3"/>
      <c r="E323" s="3"/>
      <c r="F323" s="3"/>
      <c r="G323" s="11"/>
      <c r="H323" s="11"/>
      <c r="I323" s="11"/>
      <c r="J323" s="11"/>
      <c r="K323" s="11"/>
      <c r="L323" s="35"/>
    </row>
    <row r="324" spans="1:12" hidden="1" x14ac:dyDescent="0.25">
      <c r="B324" s="38"/>
      <c r="C324" s="3"/>
      <c r="D324" s="3"/>
      <c r="E324" s="3"/>
      <c r="F324" s="3"/>
      <c r="G324" s="11"/>
      <c r="H324" s="11"/>
      <c r="I324" s="11"/>
      <c r="J324" s="11"/>
      <c r="K324" s="11"/>
      <c r="L324" s="35"/>
    </row>
    <row r="325" spans="1:12" hidden="1" x14ac:dyDescent="0.25">
      <c r="A325" s="19">
        <v>1</v>
      </c>
      <c r="B325" s="13" t="str">
        <f>B319</f>
        <v>02/00 Balance Per Books:</v>
      </c>
      <c r="C325" s="14">
        <f>C319</f>
        <v>2397585</v>
      </c>
      <c r="D325" s="14">
        <f>D319</f>
        <v>-3549768</v>
      </c>
      <c r="E325" s="14">
        <f>E319</f>
        <v>5947353</v>
      </c>
      <c r="F325" s="14"/>
      <c r="G325" s="15"/>
      <c r="H325" s="15"/>
      <c r="I325" s="15"/>
      <c r="J325" s="15"/>
      <c r="K325" s="15"/>
      <c r="L325" s="31">
        <f>L319</f>
        <v>20722910.297100011</v>
      </c>
    </row>
    <row r="326" spans="1:12" hidden="1" x14ac:dyDescent="0.25">
      <c r="B326" s="8"/>
      <c r="C326" s="16"/>
      <c r="D326" s="16"/>
      <c r="E326" s="3"/>
      <c r="F326" s="3"/>
      <c r="G326" s="11"/>
      <c r="H326" s="11"/>
      <c r="I326" s="11"/>
      <c r="J326" s="11"/>
      <c r="K326" s="11"/>
      <c r="L326" s="3"/>
    </row>
    <row r="327" spans="1:12" hidden="1" x14ac:dyDescent="0.25">
      <c r="A327" s="19">
        <v>2</v>
      </c>
      <c r="B327" s="8" t="s">
        <v>9</v>
      </c>
      <c r="C327" s="16"/>
      <c r="D327" s="16"/>
      <c r="E327" s="3">
        <v>5947353</v>
      </c>
      <c r="F327" s="3"/>
      <c r="G327" s="11">
        <v>2.5043000000000002</v>
      </c>
      <c r="H327" s="11" t="s">
        <v>73</v>
      </c>
      <c r="I327" s="11">
        <v>2.6718000000000002</v>
      </c>
      <c r="J327" s="11">
        <f>I327-G327</f>
        <v>0.16749999999999998</v>
      </c>
      <c r="K327" s="11"/>
      <c r="L327" s="3">
        <f>E327*J327</f>
        <v>996181.62749999994</v>
      </c>
    </row>
    <row r="328" spans="1:12" hidden="1" x14ac:dyDescent="0.25">
      <c r="B328" s="2"/>
      <c r="C328" s="3"/>
      <c r="D328" s="3"/>
      <c r="E328" s="3"/>
      <c r="F328" s="3"/>
      <c r="G328" s="11"/>
      <c r="H328" s="11"/>
      <c r="I328" s="11"/>
      <c r="J328" s="11"/>
      <c r="K328" s="11"/>
      <c r="L328" s="3"/>
    </row>
    <row r="329" spans="1:12" hidden="1" x14ac:dyDescent="0.25">
      <c r="A329" s="19">
        <v>3</v>
      </c>
      <c r="B329" s="8" t="s">
        <v>183</v>
      </c>
      <c r="C329" s="16"/>
      <c r="D329" s="16"/>
      <c r="E329" s="3"/>
      <c r="F329" s="3"/>
      <c r="G329" s="11"/>
      <c r="H329" s="11"/>
      <c r="I329" s="11"/>
      <c r="J329" s="11"/>
      <c r="K329" s="11"/>
      <c r="L329" s="3"/>
    </row>
    <row r="330" spans="1:12" hidden="1" x14ac:dyDescent="0.25">
      <c r="A330" s="19">
        <v>4</v>
      </c>
      <c r="B330" s="2" t="s">
        <v>97</v>
      </c>
      <c r="C330" s="3"/>
      <c r="D330" s="3"/>
      <c r="E330" s="3">
        <v>632297</v>
      </c>
      <c r="F330" s="3">
        <v>1598311</v>
      </c>
      <c r="G330" s="11">
        <f>F330/E330</f>
        <v>2.5277852022071907</v>
      </c>
      <c r="H330" s="11"/>
      <c r="I330" s="11">
        <v>2.6718000000000002</v>
      </c>
      <c r="J330" s="11">
        <f>I330-G330</f>
        <v>0.14401479779280946</v>
      </c>
      <c r="K330" s="11"/>
      <c r="L330" s="3">
        <f>E330*J330</f>
        <v>91060.124600000039</v>
      </c>
    </row>
    <row r="331" spans="1:12" hidden="1" x14ac:dyDescent="0.25">
      <c r="A331" s="19">
        <v>5</v>
      </c>
      <c r="B331" s="2" t="s">
        <v>98</v>
      </c>
      <c r="C331" s="3"/>
      <c r="D331" s="3"/>
      <c r="E331" s="3"/>
      <c r="F331" s="3">
        <v>17028</v>
      </c>
      <c r="G331" s="11"/>
      <c r="H331" s="11"/>
      <c r="I331" s="11"/>
      <c r="J331" s="11"/>
      <c r="K331" s="11"/>
      <c r="L331" s="3">
        <f>-F331</f>
        <v>-17028</v>
      </c>
    </row>
    <row r="332" spans="1:12" hidden="1" x14ac:dyDescent="0.25">
      <c r="A332" s="19">
        <v>6</v>
      </c>
      <c r="B332" s="2" t="s">
        <v>0</v>
      </c>
      <c r="C332" s="3"/>
      <c r="D332" s="3"/>
      <c r="E332" s="3">
        <v>-464952</v>
      </c>
      <c r="F332" s="3">
        <v>-1175909</v>
      </c>
      <c r="G332" s="11">
        <f>F332/E332</f>
        <v>2.5290976272819559</v>
      </c>
      <c r="H332" s="11"/>
      <c r="I332" s="11">
        <v>2.6718000000000002</v>
      </c>
      <c r="J332" s="11">
        <f>I332-G332</f>
        <v>0.14270237271804431</v>
      </c>
      <c r="K332" s="11"/>
      <c r="L332" s="3">
        <f>E332*J332</f>
        <v>-66349.753600000142</v>
      </c>
    </row>
    <row r="333" spans="1:12" hidden="1" x14ac:dyDescent="0.25">
      <c r="A333" s="19">
        <v>7</v>
      </c>
      <c r="B333" s="2" t="s">
        <v>81</v>
      </c>
      <c r="C333" s="1"/>
      <c r="D333" s="1"/>
      <c r="E333" s="1">
        <v>137538</v>
      </c>
      <c r="F333" s="1">
        <v>336776</v>
      </c>
      <c r="G333" s="11">
        <f>F333/E333</f>
        <v>2.4486032950893573</v>
      </c>
      <c r="H333" s="11"/>
      <c r="I333" s="11">
        <v>2.6718000000000002</v>
      </c>
      <c r="J333" s="11">
        <f>I333-G333</f>
        <v>0.22319670491064292</v>
      </c>
      <c r="K333" s="11"/>
      <c r="L333" s="1">
        <f>E333*J333</f>
        <v>30698.028400000007</v>
      </c>
    </row>
    <row r="334" spans="1:12" hidden="1" x14ac:dyDescent="0.25">
      <c r="A334" s="19">
        <v>8</v>
      </c>
      <c r="B334" s="2" t="s">
        <v>10</v>
      </c>
      <c r="C334" s="3">
        <f>D334+E334</f>
        <v>1123751</v>
      </c>
      <c r="D334" s="3">
        <v>818868</v>
      </c>
      <c r="E334" s="3">
        <f>SUM(E330:E333)</f>
        <v>304883</v>
      </c>
      <c r="F334" s="3">
        <f>SUM(F330:F333)</f>
        <v>776206</v>
      </c>
      <c r="G334" s="11"/>
      <c r="H334" s="11"/>
      <c r="I334" s="11"/>
      <c r="J334" s="11"/>
      <c r="K334" s="11"/>
      <c r="L334" s="3">
        <f>SUM(L330:L333)</f>
        <v>38380.399399999907</v>
      </c>
    </row>
    <row r="335" spans="1:12" hidden="1" x14ac:dyDescent="0.25"/>
    <row r="336" spans="1:12" hidden="1" x14ac:dyDescent="0.25">
      <c r="A336" s="19">
        <v>9</v>
      </c>
      <c r="B336" s="13" t="s">
        <v>184</v>
      </c>
      <c r="C336" s="14">
        <f>C319+C334</f>
        <v>3521336</v>
      </c>
      <c r="D336" s="14">
        <f>D319+D334</f>
        <v>-2730900</v>
      </c>
      <c r="E336" s="14">
        <f>E319+E334</f>
        <v>6252236</v>
      </c>
      <c r="F336" s="14"/>
      <c r="G336" s="15"/>
      <c r="H336" s="15"/>
      <c r="I336" s="15"/>
      <c r="J336" s="15"/>
      <c r="K336" s="15"/>
      <c r="L336" s="31">
        <f>L319+L327+L334</f>
        <v>21757472.324000012</v>
      </c>
    </row>
    <row r="337" spans="1:12" hidden="1" x14ac:dyDescent="0.25"/>
    <row r="338" spans="1:12" hidden="1" x14ac:dyDescent="0.25">
      <c r="B338" s="36" t="s">
        <v>74</v>
      </c>
    </row>
    <row r="339" spans="1:12" hidden="1" x14ac:dyDescent="0.25"/>
    <row r="340" spans="1:12" hidden="1" x14ac:dyDescent="0.25">
      <c r="B340" s="38" t="s">
        <v>130</v>
      </c>
      <c r="C340" s="3"/>
      <c r="D340" s="3"/>
      <c r="E340" s="3"/>
      <c r="F340" s="3"/>
      <c r="G340" s="11"/>
      <c r="H340" s="11"/>
      <c r="I340" s="11"/>
      <c r="J340" s="11"/>
      <c r="K340" s="11"/>
      <c r="L340" s="35"/>
    </row>
    <row r="341" spans="1:12" hidden="1" x14ac:dyDescent="0.25">
      <c r="B341" s="38"/>
      <c r="C341" s="3"/>
      <c r="D341" s="3"/>
      <c r="E341" s="3"/>
      <c r="F341" s="3"/>
      <c r="G341" s="11"/>
      <c r="H341" s="11"/>
      <c r="I341" s="11"/>
      <c r="J341" s="11"/>
      <c r="K341" s="11"/>
      <c r="L341" s="35"/>
    </row>
    <row r="342" spans="1:12" hidden="1" x14ac:dyDescent="0.25">
      <c r="A342" s="19">
        <v>1</v>
      </c>
      <c r="B342" s="13" t="s">
        <v>184</v>
      </c>
      <c r="C342" s="14">
        <f>C336</f>
        <v>3521336</v>
      </c>
      <c r="D342" s="14">
        <f>D336</f>
        <v>-2730900</v>
      </c>
      <c r="E342" s="14">
        <f>E336</f>
        <v>6252236</v>
      </c>
      <c r="F342" s="40"/>
      <c r="G342" s="15"/>
      <c r="H342" s="15"/>
      <c r="I342" s="15"/>
      <c r="J342" s="15"/>
      <c r="K342" s="15"/>
      <c r="L342" s="31">
        <f>L336</f>
        <v>21757472.324000012</v>
      </c>
    </row>
    <row r="343" spans="1:12" hidden="1" x14ac:dyDescent="0.25">
      <c r="B343" s="8"/>
      <c r="C343" s="16"/>
      <c r="D343" s="16"/>
      <c r="E343" s="3"/>
      <c r="F343" s="3"/>
      <c r="G343" s="11"/>
      <c r="H343" s="11"/>
      <c r="I343" s="11"/>
      <c r="J343" s="11"/>
      <c r="K343" s="11"/>
      <c r="L343" s="3"/>
    </row>
    <row r="344" spans="1:12" hidden="1" x14ac:dyDescent="0.25">
      <c r="A344" s="19">
        <v>2</v>
      </c>
      <c r="B344" s="8" t="s">
        <v>131</v>
      </c>
      <c r="C344" s="16"/>
      <c r="D344" s="16"/>
      <c r="E344" s="3">
        <f>E342</f>
        <v>6252236</v>
      </c>
      <c r="F344" s="3"/>
      <c r="G344" s="11">
        <v>2.6718000000000002</v>
      </c>
      <c r="H344" s="11" t="s">
        <v>73</v>
      </c>
      <c r="I344" s="11">
        <v>2.8948999999999998</v>
      </c>
      <c r="J344" s="11">
        <f>I344-G344</f>
        <v>0.22309999999999963</v>
      </c>
      <c r="K344" s="11"/>
      <c r="L344" s="3">
        <f>E344*J344</f>
        <v>1394873.8515999976</v>
      </c>
    </row>
    <row r="345" spans="1:12" hidden="1" x14ac:dyDescent="0.25">
      <c r="B345" s="2"/>
      <c r="C345" s="3"/>
      <c r="D345" s="3"/>
      <c r="E345" s="3"/>
      <c r="F345" s="3"/>
      <c r="G345" s="11"/>
      <c r="H345" s="11"/>
      <c r="I345" s="11"/>
      <c r="J345" s="11"/>
      <c r="K345" s="11"/>
      <c r="L345" s="3"/>
    </row>
    <row r="346" spans="1:12" hidden="1" x14ac:dyDescent="0.25">
      <c r="A346" s="19">
        <v>3</v>
      </c>
      <c r="B346" s="8" t="s">
        <v>132</v>
      </c>
      <c r="C346" s="16"/>
      <c r="D346" s="16"/>
      <c r="E346" s="3"/>
      <c r="F346" s="3"/>
      <c r="G346" s="11"/>
      <c r="H346" s="11"/>
      <c r="I346" s="11"/>
      <c r="J346" s="11"/>
      <c r="K346" s="11"/>
      <c r="L346" s="3"/>
    </row>
    <row r="347" spans="1:12" hidden="1" x14ac:dyDescent="0.25">
      <c r="A347" s="19">
        <v>4</v>
      </c>
      <c r="B347" s="2" t="s">
        <v>97</v>
      </c>
      <c r="C347" s="3"/>
      <c r="D347" s="3"/>
      <c r="E347" s="3">
        <v>3097221</v>
      </c>
      <c r="F347" s="3">
        <v>8560585</v>
      </c>
      <c r="G347" s="11">
        <f>F347/E347</f>
        <v>2.7639567857766689</v>
      </c>
      <c r="H347" s="11"/>
      <c r="I347" s="11">
        <f>I344</f>
        <v>2.8948999999999998</v>
      </c>
      <c r="J347" s="11">
        <f>I347-G347</f>
        <v>0.13094321422333088</v>
      </c>
      <c r="K347" s="11"/>
      <c r="L347" s="3">
        <f>E347*J347</f>
        <v>405560.0728999991</v>
      </c>
    </row>
    <row r="348" spans="1:12" hidden="1" x14ac:dyDescent="0.25">
      <c r="A348" s="19">
        <v>5</v>
      </c>
      <c r="B348" s="2" t="s">
        <v>98</v>
      </c>
      <c r="C348" s="3"/>
      <c r="D348" s="3"/>
      <c r="E348" s="3"/>
      <c r="F348" s="3">
        <v>82850</v>
      </c>
      <c r="G348" s="11"/>
      <c r="H348" s="11"/>
      <c r="I348" s="11"/>
      <c r="J348" s="11"/>
      <c r="K348" s="11"/>
      <c r="L348" s="3">
        <f>-F348</f>
        <v>-82850</v>
      </c>
    </row>
    <row r="349" spans="1:12" hidden="1" x14ac:dyDescent="0.25">
      <c r="A349" s="19">
        <v>6</v>
      </c>
      <c r="B349" s="2" t="s">
        <v>0</v>
      </c>
      <c r="C349" s="3"/>
      <c r="D349" s="3"/>
      <c r="E349" s="3">
        <v>-130963</v>
      </c>
      <c r="F349" s="3">
        <v>-366696</v>
      </c>
      <c r="G349" s="11">
        <f>F349/E349</f>
        <v>2.7999969457022211</v>
      </c>
      <c r="H349" s="11"/>
      <c r="I349" s="11">
        <f>I344</f>
        <v>2.8948999999999998</v>
      </c>
      <c r="J349" s="11">
        <f>I349-G349</f>
        <v>9.4903054297778677E-2</v>
      </c>
      <c r="K349" s="11"/>
      <c r="L349" s="3">
        <f>E349*J349</f>
        <v>-12428.788699999988</v>
      </c>
    </row>
    <row r="350" spans="1:12" hidden="1" x14ac:dyDescent="0.25">
      <c r="A350" s="19">
        <v>7</v>
      </c>
      <c r="B350" s="2" t="s">
        <v>81</v>
      </c>
      <c r="C350" s="1"/>
      <c r="D350" s="1"/>
      <c r="E350" s="1">
        <v>123914</v>
      </c>
      <c r="F350" s="1">
        <v>326977</v>
      </c>
      <c r="G350" s="11">
        <f>F350/E350</f>
        <v>2.6387413851542201</v>
      </c>
      <c r="H350" s="11"/>
      <c r="I350" s="11">
        <f>I344</f>
        <v>2.8948999999999998</v>
      </c>
      <c r="J350" s="11">
        <f>I350-G350</f>
        <v>0.25615861484577973</v>
      </c>
      <c r="K350" s="11"/>
      <c r="L350" s="1">
        <f>E350*J350-1</f>
        <v>31740.638599999951</v>
      </c>
    </row>
    <row r="351" spans="1:12" hidden="1" x14ac:dyDescent="0.25">
      <c r="A351" s="19">
        <v>8</v>
      </c>
      <c r="B351" s="2" t="s">
        <v>133</v>
      </c>
      <c r="C351" s="3">
        <f>D351+E351</f>
        <v>2836306</v>
      </c>
      <c r="D351" s="3">
        <v>-253866</v>
      </c>
      <c r="E351" s="3">
        <f>SUM(E347:E350)</f>
        <v>3090172</v>
      </c>
      <c r="F351" s="3">
        <f>SUM(F347:F350)</f>
        <v>8603716</v>
      </c>
      <c r="G351" s="11"/>
      <c r="H351" s="11"/>
      <c r="I351" s="11"/>
      <c r="J351" s="11"/>
      <c r="K351" s="11"/>
      <c r="L351" s="3">
        <f>SUM(L347:L350)</f>
        <v>342021.92279999907</v>
      </c>
    </row>
    <row r="352" spans="1:12" hidden="1" x14ac:dyDescent="0.25"/>
    <row r="353" spans="1:12" hidden="1" x14ac:dyDescent="0.25">
      <c r="A353" s="19">
        <v>9</v>
      </c>
      <c r="B353" s="13" t="s">
        <v>134</v>
      </c>
      <c r="C353" s="14">
        <f>C342+C351</f>
        <v>6357642</v>
      </c>
      <c r="D353" s="14">
        <f>D342+D351</f>
        <v>-2984766</v>
      </c>
      <c r="E353" s="14">
        <f>E342+E351</f>
        <v>9342408</v>
      </c>
      <c r="F353" s="40"/>
      <c r="G353" s="15"/>
      <c r="H353" s="15"/>
      <c r="I353" s="15"/>
      <c r="J353" s="15"/>
      <c r="K353" s="15"/>
      <c r="L353" s="31">
        <f>L342+L344+L351</f>
        <v>23494368.098400012</v>
      </c>
    </row>
    <row r="354" spans="1:12" hidden="1" x14ac:dyDescent="0.25"/>
    <row r="355" spans="1:12" hidden="1" x14ac:dyDescent="0.25">
      <c r="B355" s="36" t="s">
        <v>74</v>
      </c>
    </row>
    <row r="356" spans="1:12" hidden="1" x14ac:dyDescent="0.25"/>
    <row r="357" spans="1:12" hidden="1" x14ac:dyDescent="0.25">
      <c r="B357" s="38" t="s">
        <v>135</v>
      </c>
      <c r="C357" s="3"/>
      <c r="D357" s="3"/>
      <c r="E357" s="3"/>
      <c r="F357" s="3"/>
      <c r="G357" s="11"/>
      <c r="H357" s="11"/>
      <c r="I357" s="11"/>
      <c r="J357" s="11"/>
      <c r="K357" s="11"/>
      <c r="L357" s="35"/>
    </row>
    <row r="358" spans="1:12" hidden="1" x14ac:dyDescent="0.25">
      <c r="B358" s="38"/>
      <c r="C358" s="3"/>
      <c r="D358" s="3"/>
      <c r="E358" s="3"/>
      <c r="F358" s="3"/>
      <c r="G358" s="11"/>
      <c r="H358" s="11"/>
      <c r="I358" s="11"/>
      <c r="J358" s="11"/>
      <c r="K358" s="11"/>
      <c r="L358" s="35"/>
    </row>
    <row r="359" spans="1:12" hidden="1" x14ac:dyDescent="0.25">
      <c r="A359" s="19">
        <v>1</v>
      </c>
      <c r="B359" s="13" t="str">
        <f>B353</f>
        <v>4/00 Balance Per Books:</v>
      </c>
      <c r="C359" s="14">
        <f>C353</f>
        <v>6357642</v>
      </c>
      <c r="D359" s="14">
        <f>D353</f>
        <v>-2984766</v>
      </c>
      <c r="E359" s="14">
        <f>E353</f>
        <v>9342408</v>
      </c>
      <c r="F359" s="41"/>
      <c r="G359" s="15"/>
      <c r="H359" s="15"/>
      <c r="I359" s="15"/>
      <c r="J359" s="15"/>
      <c r="K359" s="15"/>
      <c r="L359" s="31">
        <f>L353</f>
        <v>23494368.098400012</v>
      </c>
    </row>
    <row r="360" spans="1:12" hidden="1" x14ac:dyDescent="0.25">
      <c r="B360" s="8"/>
      <c r="C360" s="16"/>
      <c r="D360" s="16"/>
      <c r="E360" s="3"/>
      <c r="F360" s="3"/>
      <c r="G360" s="11"/>
      <c r="H360" s="11"/>
      <c r="I360" s="11"/>
      <c r="J360" s="11"/>
      <c r="K360" s="11"/>
      <c r="L360" s="3"/>
    </row>
    <row r="361" spans="1:12" hidden="1" x14ac:dyDescent="0.25">
      <c r="A361" s="19">
        <v>2</v>
      </c>
      <c r="B361" s="8" t="s">
        <v>136</v>
      </c>
      <c r="C361" s="16"/>
      <c r="D361" s="16"/>
      <c r="E361" s="3">
        <f>E359</f>
        <v>9342408</v>
      </c>
      <c r="F361" s="3"/>
      <c r="G361" s="11">
        <v>2.8948999999999998</v>
      </c>
      <c r="H361" s="11" t="s">
        <v>73</v>
      </c>
      <c r="I361" s="11">
        <v>3.3142</v>
      </c>
      <c r="J361" s="11">
        <f>I361-G361</f>
        <v>0.41930000000000023</v>
      </c>
      <c r="K361" s="11"/>
      <c r="L361" s="3">
        <f>E361*J361</f>
        <v>3917271.6744000022</v>
      </c>
    </row>
    <row r="362" spans="1:12" hidden="1" x14ac:dyDescent="0.25">
      <c r="B362" s="2"/>
      <c r="C362" s="3"/>
      <c r="D362" s="3"/>
      <c r="E362" s="3"/>
      <c r="F362" s="3"/>
      <c r="G362" s="11"/>
      <c r="H362" s="11"/>
      <c r="I362" s="11"/>
      <c r="J362" s="11"/>
      <c r="K362" s="11"/>
      <c r="L362" s="3"/>
    </row>
    <row r="363" spans="1:12" hidden="1" x14ac:dyDescent="0.25">
      <c r="A363" s="19">
        <v>3</v>
      </c>
      <c r="B363" s="8" t="s">
        <v>137</v>
      </c>
      <c r="C363" s="16"/>
      <c r="D363" s="16"/>
      <c r="E363" s="3"/>
      <c r="F363" s="3"/>
      <c r="G363" s="11"/>
      <c r="H363" s="11"/>
      <c r="I363" s="11"/>
      <c r="J363" s="11"/>
      <c r="K363" s="11"/>
      <c r="L363" s="3"/>
    </row>
    <row r="364" spans="1:12" hidden="1" x14ac:dyDescent="0.25">
      <c r="A364" s="19">
        <v>4</v>
      </c>
      <c r="B364" s="2" t="s">
        <v>97</v>
      </c>
      <c r="C364" s="3"/>
      <c r="D364" s="3"/>
      <c r="E364" s="3">
        <v>1641940</v>
      </c>
      <c r="F364" s="3">
        <v>5990827</v>
      </c>
      <c r="G364" s="11">
        <f>F364/E364</f>
        <v>3.648627233638257</v>
      </c>
      <c r="H364" s="11"/>
      <c r="I364" s="11">
        <f>I361</f>
        <v>3.3142</v>
      </c>
      <c r="J364" s="11">
        <f>I364-G364</f>
        <v>-0.33442723363825699</v>
      </c>
      <c r="K364" s="11"/>
      <c r="L364" s="3">
        <f>E364*J364</f>
        <v>-549109.4519999997</v>
      </c>
    </row>
    <row r="365" spans="1:12" hidden="1" x14ac:dyDescent="0.25">
      <c r="A365" s="19">
        <v>5</v>
      </c>
      <c r="B365" s="2" t="s">
        <v>98</v>
      </c>
      <c r="C365" s="3"/>
      <c r="D365" s="3"/>
      <c r="E365" s="3"/>
      <c r="F365" s="3">
        <v>62427</v>
      </c>
      <c r="G365" s="11"/>
      <c r="H365" s="11"/>
      <c r="I365" s="11"/>
      <c r="J365" s="11"/>
      <c r="K365" s="11"/>
      <c r="L365" s="3">
        <f>-F365</f>
        <v>-62427</v>
      </c>
    </row>
    <row r="366" spans="1:12" hidden="1" x14ac:dyDescent="0.25">
      <c r="A366" s="19">
        <v>6</v>
      </c>
      <c r="B366" s="2" t="s">
        <v>0</v>
      </c>
      <c r="C366" s="3"/>
      <c r="D366" s="3"/>
      <c r="E366" s="3">
        <v>-742979</v>
      </c>
      <c r="F366" s="3">
        <v>-2200719</v>
      </c>
      <c r="G366" s="11">
        <f>F366/E366</f>
        <v>2.962020460874399</v>
      </c>
      <c r="H366" s="11"/>
      <c r="I366" s="11">
        <f>I361</f>
        <v>3.3142</v>
      </c>
      <c r="J366" s="11">
        <f>I366-G366</f>
        <v>0.35217953912560107</v>
      </c>
      <c r="K366" s="11"/>
      <c r="L366" s="3">
        <f>E366*J366</f>
        <v>-261662.00179999997</v>
      </c>
    </row>
    <row r="367" spans="1:12" hidden="1" x14ac:dyDescent="0.25">
      <c r="A367" s="19">
        <v>7</v>
      </c>
      <c r="B367" s="2" t="s">
        <v>81</v>
      </c>
      <c r="C367" s="1"/>
      <c r="D367" s="1"/>
      <c r="E367" s="1">
        <v>134087</v>
      </c>
      <c r="F367" s="1">
        <v>396645</v>
      </c>
      <c r="G367" s="11">
        <f>F367/E367</f>
        <v>2.9581167450983319</v>
      </c>
      <c r="H367" s="11"/>
      <c r="I367" s="11">
        <f>I361</f>
        <v>3.3142</v>
      </c>
      <c r="J367" s="11">
        <f>I367-G367</f>
        <v>0.35608325490166814</v>
      </c>
      <c r="K367" s="11"/>
      <c r="L367" s="1">
        <f>E367*J367+2</f>
        <v>47748.135399999977</v>
      </c>
    </row>
    <row r="368" spans="1:12" hidden="1" x14ac:dyDescent="0.25">
      <c r="A368" s="19">
        <v>8</v>
      </c>
      <c r="B368" s="2" t="s">
        <v>138</v>
      </c>
      <c r="C368" s="3">
        <f>D368+E368</f>
        <v>2078321</v>
      </c>
      <c r="D368" s="3">
        <v>1045273</v>
      </c>
      <c r="E368" s="3">
        <f>SUM(E364:E367)</f>
        <v>1033048</v>
      </c>
      <c r="F368" s="3">
        <f>SUM(F364:F367)</f>
        <v>4249180</v>
      </c>
      <c r="G368" s="11"/>
      <c r="H368" s="11"/>
      <c r="I368" s="11"/>
      <c r="J368" s="11"/>
      <c r="K368" s="11"/>
      <c r="L368" s="3">
        <f>SUM(L364:L367)</f>
        <v>-825450.31839999964</v>
      </c>
    </row>
    <row r="369" spans="1:12" hidden="1" x14ac:dyDescent="0.25"/>
    <row r="370" spans="1:12" hidden="1" x14ac:dyDescent="0.25">
      <c r="A370" s="19">
        <v>9</v>
      </c>
      <c r="B370" s="13" t="s">
        <v>139</v>
      </c>
      <c r="C370" s="14">
        <f>C359+C368</f>
        <v>8435963</v>
      </c>
      <c r="D370" s="14">
        <f>D359+D368</f>
        <v>-1939493</v>
      </c>
      <c r="E370" s="14">
        <f>E359+E368</f>
        <v>10375456</v>
      </c>
      <c r="F370" s="40"/>
      <c r="G370" s="15"/>
      <c r="H370" s="15"/>
      <c r="I370" s="15"/>
      <c r="J370" s="15"/>
      <c r="K370" s="15"/>
      <c r="L370" s="31">
        <f>L359+L361+L368</f>
        <v>26586189.454400014</v>
      </c>
    </row>
    <row r="371" spans="1:12" hidden="1" x14ac:dyDescent="0.25"/>
    <row r="372" spans="1:12" hidden="1" x14ac:dyDescent="0.25">
      <c r="B372" s="36" t="s">
        <v>74</v>
      </c>
    </row>
    <row r="373" spans="1:12" hidden="1" x14ac:dyDescent="0.25"/>
    <row r="374" spans="1:12" hidden="1" x14ac:dyDescent="0.25">
      <c r="B374" s="38" t="s">
        <v>140</v>
      </c>
      <c r="C374" s="3"/>
      <c r="D374" s="3"/>
      <c r="E374" s="3"/>
      <c r="F374" s="3"/>
      <c r="G374" s="11"/>
      <c r="H374" s="11"/>
      <c r="I374" s="11"/>
      <c r="J374" s="11"/>
      <c r="K374" s="11"/>
      <c r="L374" s="35"/>
    </row>
    <row r="375" spans="1:12" hidden="1" x14ac:dyDescent="0.25">
      <c r="B375" s="38"/>
      <c r="C375" s="3"/>
      <c r="D375" s="3"/>
      <c r="E375" s="3"/>
      <c r="F375" s="3"/>
      <c r="G375" s="11"/>
      <c r="H375" s="11"/>
      <c r="I375" s="11"/>
      <c r="J375" s="11"/>
      <c r="K375" s="11"/>
      <c r="L375" s="35"/>
    </row>
    <row r="376" spans="1:12" hidden="1" x14ac:dyDescent="0.25">
      <c r="A376" s="19">
        <v>1</v>
      </c>
      <c r="B376" s="13" t="str">
        <f>B370</f>
        <v>5/00 Balance Per Books:</v>
      </c>
      <c r="C376" s="14">
        <f>C370</f>
        <v>8435963</v>
      </c>
      <c r="D376" s="14">
        <f>D370</f>
        <v>-1939493</v>
      </c>
      <c r="E376" s="14">
        <f>E370</f>
        <v>10375456</v>
      </c>
      <c r="F376" s="40"/>
      <c r="G376" s="15"/>
      <c r="H376" s="15"/>
      <c r="I376" s="15"/>
      <c r="J376" s="15"/>
      <c r="K376" s="15"/>
      <c r="L376" s="31">
        <f>L370</f>
        <v>26586189.454400014</v>
      </c>
    </row>
    <row r="377" spans="1:12" hidden="1" x14ac:dyDescent="0.25">
      <c r="B377" s="8"/>
      <c r="C377" s="16"/>
      <c r="D377" s="16"/>
      <c r="E377" s="3"/>
      <c r="F377" s="3"/>
      <c r="G377" s="11"/>
      <c r="H377" s="11"/>
      <c r="I377" s="11"/>
      <c r="J377" s="11"/>
      <c r="K377" s="11"/>
      <c r="L377" s="3"/>
    </row>
    <row r="378" spans="1:12" hidden="1" x14ac:dyDescent="0.25">
      <c r="A378" s="19">
        <v>2</v>
      </c>
      <c r="B378" s="8" t="s">
        <v>141</v>
      </c>
      <c r="C378" s="16"/>
      <c r="D378" s="16"/>
      <c r="E378" s="3">
        <f>E376</f>
        <v>10375456</v>
      </c>
      <c r="F378" s="3"/>
      <c r="G378" s="11">
        <v>3.3142</v>
      </c>
      <c r="H378" s="11" t="s">
        <v>73</v>
      </c>
      <c r="I378" s="11">
        <v>4.1138000000000003</v>
      </c>
      <c r="J378" s="11">
        <f>I378-G378</f>
        <v>0.79960000000000031</v>
      </c>
      <c r="K378" s="11"/>
      <c r="L378" s="3">
        <f>E378*J378</f>
        <v>8296214.6176000033</v>
      </c>
    </row>
    <row r="379" spans="1:12" hidden="1" x14ac:dyDescent="0.25">
      <c r="B379" s="2"/>
      <c r="C379" s="3"/>
      <c r="D379" s="3"/>
      <c r="E379" s="3"/>
      <c r="F379" s="3"/>
      <c r="G379" s="11"/>
      <c r="H379" s="11"/>
      <c r="I379" s="11"/>
      <c r="J379" s="11"/>
      <c r="K379" s="11"/>
      <c r="L379" s="3"/>
    </row>
    <row r="380" spans="1:12" hidden="1" x14ac:dyDescent="0.25">
      <c r="A380" s="19">
        <v>3</v>
      </c>
      <c r="B380" s="8" t="s">
        <v>142</v>
      </c>
      <c r="C380" s="16"/>
      <c r="D380" s="16"/>
      <c r="E380" s="3"/>
      <c r="F380" s="3"/>
      <c r="G380" s="11"/>
      <c r="H380" s="11"/>
      <c r="I380" s="11"/>
      <c r="J380" s="11"/>
      <c r="K380" s="11"/>
      <c r="L380" s="3"/>
    </row>
    <row r="381" spans="1:12" hidden="1" x14ac:dyDescent="0.25">
      <c r="A381" s="19">
        <v>4</v>
      </c>
      <c r="B381" s="2" t="s">
        <v>97</v>
      </c>
      <c r="C381" s="3"/>
      <c r="D381" s="3"/>
      <c r="E381" s="3">
        <v>2548062</v>
      </c>
      <c r="F381" s="3">
        <v>11036931</v>
      </c>
      <c r="G381" s="11">
        <f>F381/E381</f>
        <v>4.3315001754274425</v>
      </c>
      <c r="H381" s="11"/>
      <c r="I381" s="11">
        <f>I378</f>
        <v>4.1138000000000003</v>
      </c>
      <c r="J381" s="11">
        <f>I381-G381</f>
        <v>-0.21770017542744213</v>
      </c>
      <c r="K381" s="11"/>
      <c r="L381" s="3">
        <f>E381*J381</f>
        <v>-554713.54439999908</v>
      </c>
    </row>
    <row r="382" spans="1:12" hidden="1" x14ac:dyDescent="0.25">
      <c r="A382" s="19">
        <v>5</v>
      </c>
      <c r="B382" s="2" t="s">
        <v>98</v>
      </c>
      <c r="C382" s="3"/>
      <c r="D382" s="3"/>
      <c r="E382" s="3"/>
      <c r="F382" s="3">
        <v>177036</v>
      </c>
      <c r="G382" s="11"/>
      <c r="H382" s="11"/>
      <c r="I382" s="11"/>
      <c r="J382" s="11"/>
      <c r="K382" s="11"/>
      <c r="L382" s="3">
        <f>-F382</f>
        <v>-177036</v>
      </c>
    </row>
    <row r="383" spans="1:12" hidden="1" x14ac:dyDescent="0.25">
      <c r="A383" s="19">
        <v>6</v>
      </c>
      <c r="B383" s="2" t="s">
        <v>0</v>
      </c>
      <c r="C383" s="3"/>
      <c r="D383" s="3"/>
      <c r="E383" s="3">
        <v>-2343470</v>
      </c>
      <c r="F383" s="3">
        <v>-9887943</v>
      </c>
      <c r="G383" s="11">
        <f>F383/E383</f>
        <v>4.2193597528451399</v>
      </c>
      <c r="H383" s="11"/>
      <c r="I383" s="11">
        <f>I378</f>
        <v>4.1138000000000003</v>
      </c>
      <c r="J383" s="11">
        <f>I383-G383</f>
        <v>-0.10555975284513952</v>
      </c>
      <c r="K383" s="11"/>
      <c r="L383" s="3">
        <f>E383*J383</f>
        <v>247376.1139999991</v>
      </c>
    </row>
    <row r="384" spans="1:12" hidden="1" x14ac:dyDescent="0.25">
      <c r="A384" s="19">
        <v>7</v>
      </c>
      <c r="B384" s="2" t="s">
        <v>81</v>
      </c>
      <c r="C384" s="1"/>
      <c r="D384" s="1"/>
      <c r="E384" s="1">
        <v>137117</v>
      </c>
      <c r="F384" s="1">
        <v>460885</v>
      </c>
      <c r="G384" s="11">
        <f>F384/E384</f>
        <v>3.3612535280089268</v>
      </c>
      <c r="H384" s="11"/>
      <c r="I384" s="11">
        <f>I378</f>
        <v>4.1138000000000003</v>
      </c>
      <c r="J384" s="11">
        <f>I384-G384</f>
        <v>0.7525464719910735</v>
      </c>
      <c r="K384" s="11"/>
      <c r="L384" s="1">
        <f>E384*J384</f>
        <v>103186.91460000002</v>
      </c>
    </row>
    <row r="385" spans="1:12" hidden="1" x14ac:dyDescent="0.25">
      <c r="A385" s="19">
        <v>8</v>
      </c>
      <c r="B385" s="2" t="s">
        <v>143</v>
      </c>
      <c r="C385" s="3">
        <f>D385+E385</f>
        <v>768690</v>
      </c>
      <c r="D385" s="3">
        <v>426981</v>
      </c>
      <c r="E385" s="3">
        <f>SUM(E381:E384)</f>
        <v>341709</v>
      </c>
      <c r="F385" s="3">
        <f>SUM(F381:F384)</f>
        <v>1786909</v>
      </c>
      <c r="G385" s="11"/>
      <c r="H385" s="11"/>
      <c r="I385" s="11"/>
      <c r="J385" s="11"/>
      <c r="K385" s="11"/>
      <c r="L385" s="3">
        <f>SUM(L381:L384)</f>
        <v>-381186.51579999994</v>
      </c>
    </row>
    <row r="386" spans="1:12" hidden="1" x14ac:dyDescent="0.25"/>
    <row r="387" spans="1:12" hidden="1" x14ac:dyDescent="0.25">
      <c r="A387" s="19">
        <v>9</v>
      </c>
      <c r="B387" s="13" t="s">
        <v>144</v>
      </c>
      <c r="C387" s="14">
        <f>C376+C385</f>
        <v>9204653</v>
      </c>
      <c r="D387" s="14">
        <f>D376+D385</f>
        <v>-1512512</v>
      </c>
      <c r="E387" s="14">
        <f>E376+E385</f>
        <v>10717165</v>
      </c>
      <c r="F387" s="40"/>
      <c r="G387" s="15"/>
      <c r="H387" s="15"/>
      <c r="I387" s="15"/>
      <c r="J387" s="15"/>
      <c r="K387" s="15"/>
      <c r="L387" s="31">
        <f>L376+L378+L385</f>
        <v>34501217.55620002</v>
      </c>
    </row>
    <row r="388" spans="1:12" hidden="1" x14ac:dyDescent="0.25"/>
    <row r="389" spans="1:12" hidden="1" x14ac:dyDescent="0.25">
      <c r="B389" s="36" t="s">
        <v>74</v>
      </c>
    </row>
    <row r="390" spans="1:12" hidden="1" x14ac:dyDescent="0.25"/>
    <row r="391" spans="1:12" hidden="1" x14ac:dyDescent="0.25">
      <c r="B391" s="38" t="s">
        <v>145</v>
      </c>
      <c r="C391" s="3"/>
      <c r="D391" s="3"/>
      <c r="E391" s="3"/>
      <c r="F391" s="3"/>
      <c r="G391" s="11"/>
      <c r="H391" s="11"/>
      <c r="I391" s="11"/>
      <c r="J391" s="11"/>
      <c r="K391" s="11"/>
      <c r="L391" s="35"/>
    </row>
    <row r="392" spans="1:12" hidden="1" x14ac:dyDescent="0.25">
      <c r="B392" s="38"/>
      <c r="C392" s="3"/>
      <c r="D392" s="3"/>
      <c r="E392" s="3"/>
      <c r="F392" s="3"/>
      <c r="G392" s="11"/>
      <c r="H392" s="11"/>
      <c r="I392" s="11"/>
      <c r="J392" s="11"/>
      <c r="K392" s="11"/>
      <c r="L392" s="35"/>
    </row>
    <row r="393" spans="1:12" hidden="1" x14ac:dyDescent="0.25">
      <c r="A393" s="19">
        <v>1</v>
      </c>
      <c r="B393" s="13" t="str">
        <f>B387</f>
        <v>6/00 Balance Per Books:</v>
      </c>
      <c r="C393" s="14">
        <f>C387</f>
        <v>9204653</v>
      </c>
      <c r="D393" s="14">
        <f>D387</f>
        <v>-1512512</v>
      </c>
      <c r="E393" s="14">
        <f>E387</f>
        <v>10717165</v>
      </c>
      <c r="F393" s="40"/>
      <c r="G393" s="15"/>
      <c r="H393" s="15"/>
      <c r="I393" s="15"/>
      <c r="J393" s="15"/>
      <c r="K393" s="15"/>
      <c r="L393" s="31">
        <f>L387</f>
        <v>34501217.55620002</v>
      </c>
    </row>
    <row r="394" spans="1:12" hidden="1" x14ac:dyDescent="0.25">
      <c r="B394" s="8"/>
      <c r="C394" s="16"/>
      <c r="D394" s="16"/>
      <c r="E394" s="3"/>
      <c r="F394" s="3"/>
      <c r="G394" s="11"/>
      <c r="H394" s="11"/>
      <c r="I394" s="11"/>
      <c r="J394" s="11"/>
      <c r="K394" s="11"/>
      <c r="L394" s="3"/>
    </row>
    <row r="395" spans="1:12" hidden="1" x14ac:dyDescent="0.25">
      <c r="A395" s="19">
        <v>2</v>
      </c>
      <c r="B395" s="8" t="s">
        <v>146</v>
      </c>
      <c r="C395" s="16"/>
      <c r="D395" s="16"/>
      <c r="E395" s="3">
        <f>E393</f>
        <v>10717165</v>
      </c>
      <c r="F395" s="3"/>
      <c r="G395" s="11">
        <v>4.1138000000000003</v>
      </c>
      <c r="H395" s="11" t="s">
        <v>73</v>
      </c>
      <c r="I395" s="11">
        <v>3.8751000000000002</v>
      </c>
      <c r="J395" s="11">
        <f>I395-G395</f>
        <v>-0.23870000000000013</v>
      </c>
      <c r="K395" s="11"/>
      <c r="L395" s="3">
        <f>E395*J395</f>
        <v>-2558187.2855000016</v>
      </c>
    </row>
    <row r="396" spans="1:12" hidden="1" x14ac:dyDescent="0.25">
      <c r="B396" s="2"/>
      <c r="C396" s="3"/>
      <c r="D396" s="3"/>
      <c r="E396" s="3"/>
      <c r="F396" s="3"/>
      <c r="G396" s="11"/>
      <c r="H396" s="11"/>
      <c r="I396" s="11"/>
      <c r="J396" s="11"/>
      <c r="K396" s="11"/>
      <c r="L396" s="3"/>
    </row>
    <row r="397" spans="1:12" hidden="1" x14ac:dyDescent="0.25">
      <c r="A397" s="19">
        <v>3</v>
      </c>
      <c r="B397" s="8" t="s">
        <v>147</v>
      </c>
      <c r="C397" s="16"/>
      <c r="D397" s="16"/>
      <c r="E397" s="3"/>
      <c r="F397" s="3"/>
      <c r="G397" s="11"/>
      <c r="H397" s="11"/>
      <c r="I397" s="11"/>
      <c r="J397" s="11"/>
      <c r="K397" s="11"/>
      <c r="L397" s="3"/>
    </row>
    <row r="398" spans="1:12" hidden="1" x14ac:dyDescent="0.25">
      <c r="A398" s="19">
        <v>4</v>
      </c>
      <c r="B398" s="2" t="s">
        <v>97</v>
      </c>
      <c r="C398" s="3"/>
      <c r="D398" s="3"/>
      <c r="E398" s="3">
        <v>-198604</v>
      </c>
      <c r="F398" s="3">
        <v>-1067785</v>
      </c>
      <c r="G398" s="11">
        <f>F398/E398</f>
        <v>5.3764526394231735</v>
      </c>
      <c r="H398" s="11"/>
      <c r="I398" s="11">
        <f>I395</f>
        <v>3.8751000000000002</v>
      </c>
      <c r="J398" s="11">
        <f>I398-G398</f>
        <v>-1.5013526394231733</v>
      </c>
      <c r="K398" s="11"/>
      <c r="L398" s="3">
        <f>E398*J398</f>
        <v>298174.63959999994</v>
      </c>
    </row>
    <row r="399" spans="1:12" hidden="1" x14ac:dyDescent="0.25">
      <c r="A399" s="19">
        <v>5</v>
      </c>
      <c r="B399" s="2" t="s">
        <v>98</v>
      </c>
      <c r="C399" s="3"/>
      <c r="D399" s="3"/>
      <c r="E399" s="3"/>
      <c r="F399" s="3">
        <v>79699</v>
      </c>
      <c r="G399" s="11"/>
      <c r="H399" s="11"/>
      <c r="I399" s="11"/>
      <c r="J399" s="11"/>
      <c r="K399" s="11"/>
      <c r="L399" s="3">
        <f>-F399</f>
        <v>-79699</v>
      </c>
    </row>
    <row r="400" spans="1:12" hidden="1" x14ac:dyDescent="0.25">
      <c r="A400" s="19">
        <v>6</v>
      </c>
      <c r="B400" s="2" t="s">
        <v>0</v>
      </c>
      <c r="C400" s="3"/>
      <c r="D400" s="3"/>
      <c r="E400" s="3">
        <v>-3823940</v>
      </c>
      <c r="F400" s="3">
        <v>-16062423</v>
      </c>
      <c r="G400" s="11">
        <f>F400/E400</f>
        <v>4.2004903319612756</v>
      </c>
      <c r="H400" s="11"/>
      <c r="I400" s="11">
        <f>I395</f>
        <v>3.8751000000000002</v>
      </c>
      <c r="J400" s="11">
        <f>I400-G400</f>
        <v>-0.32539033196127543</v>
      </c>
      <c r="K400" s="11"/>
      <c r="L400" s="3">
        <f>E400*J400</f>
        <v>1244273.1059999994</v>
      </c>
    </row>
    <row r="401" spans="1:12" hidden="1" x14ac:dyDescent="0.25">
      <c r="A401" s="19">
        <v>7</v>
      </c>
      <c r="B401" s="2" t="s">
        <v>81</v>
      </c>
      <c r="C401" s="1"/>
      <c r="D401" s="1"/>
      <c r="E401" s="1">
        <v>119454</v>
      </c>
      <c r="F401" s="1">
        <v>430230</v>
      </c>
      <c r="G401" s="11">
        <f>F401/E401</f>
        <v>3.6016374503993167</v>
      </c>
      <c r="H401" s="11"/>
      <c r="I401" s="11">
        <f>I395</f>
        <v>3.8751000000000002</v>
      </c>
      <c r="J401" s="11">
        <f>I401-G401</f>
        <v>0.2734625496006835</v>
      </c>
      <c r="K401" s="11"/>
      <c r="L401" s="1">
        <f>E401*J401-1</f>
        <v>32665.195400000048</v>
      </c>
    </row>
    <row r="402" spans="1:12" hidden="1" x14ac:dyDescent="0.25">
      <c r="A402" s="19">
        <v>8</v>
      </c>
      <c r="B402" s="2" t="s">
        <v>148</v>
      </c>
      <c r="C402" s="3">
        <f>D402+E402</f>
        <v>-4425853</v>
      </c>
      <c r="D402" s="3">
        <v>-522763</v>
      </c>
      <c r="E402" s="3">
        <f>SUM(E398:E401)</f>
        <v>-3903090</v>
      </c>
      <c r="F402" s="3">
        <f>SUM(F398:F401)</f>
        <v>-16620279</v>
      </c>
      <c r="G402" s="11"/>
      <c r="H402" s="11"/>
      <c r="I402" s="11"/>
      <c r="J402" s="11"/>
      <c r="K402" s="11"/>
      <c r="L402" s="3">
        <f>SUM(L398:L401)</f>
        <v>1495413.9409999994</v>
      </c>
    </row>
    <row r="403" spans="1:12" hidden="1" x14ac:dyDescent="0.25"/>
    <row r="404" spans="1:12" hidden="1" x14ac:dyDescent="0.25">
      <c r="A404" s="19">
        <v>9</v>
      </c>
      <c r="B404" s="13" t="s">
        <v>149</v>
      </c>
      <c r="C404" s="14">
        <f>C393+C402</f>
        <v>4778800</v>
      </c>
      <c r="D404" s="14">
        <f>D393+D402</f>
        <v>-2035275</v>
      </c>
      <c r="E404" s="14">
        <f>E393+E402</f>
        <v>6814075</v>
      </c>
      <c r="F404" s="40"/>
      <c r="G404" s="15"/>
      <c r="H404" s="15"/>
      <c r="I404" s="15"/>
      <c r="J404" s="15"/>
      <c r="K404" s="15"/>
      <c r="L404" s="31">
        <f>L393+L395+L402</f>
        <v>33438444.211700018</v>
      </c>
    </row>
    <row r="405" spans="1:12" hidden="1" x14ac:dyDescent="0.25"/>
    <row r="406" spans="1:12" hidden="1" x14ac:dyDescent="0.25">
      <c r="B406" s="36" t="s">
        <v>74</v>
      </c>
    </row>
    <row r="407" spans="1:12" hidden="1" x14ac:dyDescent="0.25"/>
    <row r="408" spans="1:12" hidden="1" x14ac:dyDescent="0.25">
      <c r="B408" s="38" t="s">
        <v>150</v>
      </c>
      <c r="C408" s="3"/>
      <c r="D408" s="3"/>
      <c r="E408" s="3"/>
      <c r="F408" s="3"/>
      <c r="G408" s="11"/>
      <c r="H408" s="11"/>
      <c r="I408" s="11"/>
      <c r="J408" s="11"/>
      <c r="K408" s="11"/>
      <c r="L408" s="35"/>
    </row>
    <row r="409" spans="1:12" hidden="1" x14ac:dyDescent="0.25">
      <c r="B409" s="38"/>
      <c r="C409" s="3"/>
      <c r="D409" s="3"/>
      <c r="E409" s="3"/>
      <c r="F409" s="3"/>
      <c r="G409" s="11"/>
      <c r="H409" s="11"/>
      <c r="I409" s="11"/>
      <c r="J409" s="11"/>
      <c r="K409" s="11"/>
      <c r="L409" s="35"/>
    </row>
    <row r="410" spans="1:12" hidden="1" x14ac:dyDescent="0.25">
      <c r="A410" s="19">
        <v>1</v>
      </c>
      <c r="B410" s="13" t="str">
        <f>B404</f>
        <v>7/00 Balance Per Books:</v>
      </c>
      <c r="C410" s="14">
        <f>C404</f>
        <v>4778800</v>
      </c>
      <c r="D410" s="14">
        <f>D404</f>
        <v>-2035275</v>
      </c>
      <c r="E410" s="14">
        <f>E404</f>
        <v>6814075</v>
      </c>
      <c r="F410" s="40"/>
      <c r="G410" s="15"/>
      <c r="H410" s="15"/>
      <c r="I410" s="15"/>
      <c r="J410" s="15"/>
      <c r="K410" s="15"/>
      <c r="L410" s="31">
        <f>L404</f>
        <v>33438444.211700018</v>
      </c>
    </row>
    <row r="411" spans="1:12" hidden="1" x14ac:dyDescent="0.25">
      <c r="B411" s="8"/>
      <c r="C411" s="16"/>
      <c r="D411" s="16"/>
      <c r="E411" s="3"/>
      <c r="F411" s="3"/>
      <c r="G411" s="11"/>
      <c r="H411" s="11"/>
      <c r="I411" s="11"/>
      <c r="J411" s="11"/>
      <c r="K411" s="11"/>
      <c r="L411" s="3"/>
    </row>
    <row r="412" spans="1:12" hidden="1" x14ac:dyDescent="0.25">
      <c r="A412" s="19">
        <v>2</v>
      </c>
      <c r="B412" s="8" t="s">
        <v>151</v>
      </c>
      <c r="C412" s="16"/>
      <c r="D412" s="16"/>
      <c r="E412" s="3">
        <f>E410</f>
        <v>6814075</v>
      </c>
      <c r="F412" s="3"/>
      <c r="G412" s="11">
        <v>3.8751000000000002</v>
      </c>
      <c r="H412" s="11" t="s">
        <v>73</v>
      </c>
      <c r="I412" s="11">
        <v>4.2492999999999999</v>
      </c>
      <c r="J412" s="11">
        <f>I412-G412</f>
        <v>0.37419999999999964</v>
      </c>
      <c r="K412" s="11"/>
      <c r="L412" s="3">
        <f>E412*J412</f>
        <v>2549826.8649999974</v>
      </c>
    </row>
    <row r="413" spans="1:12" hidden="1" x14ac:dyDescent="0.25">
      <c r="B413" s="2"/>
      <c r="C413" s="3"/>
      <c r="D413" s="3"/>
      <c r="E413" s="3"/>
      <c r="F413" s="3"/>
      <c r="G413" s="11"/>
      <c r="H413" s="11"/>
      <c r="I413" s="11"/>
      <c r="J413" s="11"/>
      <c r="K413" s="11"/>
      <c r="L413" s="3"/>
    </row>
    <row r="414" spans="1:12" hidden="1" x14ac:dyDescent="0.25">
      <c r="A414" s="19">
        <v>3</v>
      </c>
      <c r="B414" s="8" t="s">
        <v>152</v>
      </c>
      <c r="C414" s="16"/>
      <c r="D414" s="16"/>
      <c r="E414" s="3"/>
      <c r="F414" s="3"/>
      <c r="G414" s="11"/>
      <c r="H414" s="11"/>
      <c r="I414" s="11"/>
      <c r="J414" s="11"/>
      <c r="K414" s="11"/>
      <c r="L414" s="3"/>
    </row>
    <row r="415" spans="1:12" hidden="1" x14ac:dyDescent="0.25">
      <c r="A415" s="19">
        <v>4</v>
      </c>
      <c r="B415" s="2" t="s">
        <v>97</v>
      </c>
      <c r="C415" s="3"/>
      <c r="D415" s="3"/>
      <c r="E415" s="3">
        <v>3068287</v>
      </c>
      <c r="F415" s="3">
        <v>12839906</v>
      </c>
      <c r="G415" s="11">
        <f>F415/E415</f>
        <v>4.1847147936291487</v>
      </c>
      <c r="H415" s="11"/>
      <c r="I415" s="11">
        <f>I412</f>
        <v>4.2492999999999999</v>
      </c>
      <c r="J415" s="11">
        <f>I415-G415</f>
        <v>6.4585206370851189E-2</v>
      </c>
      <c r="K415" s="11"/>
      <c r="L415" s="3">
        <f>E415*J415</f>
        <v>198165.94909999988</v>
      </c>
    </row>
    <row r="416" spans="1:12" hidden="1" x14ac:dyDescent="0.25">
      <c r="A416" s="19">
        <v>5</v>
      </c>
      <c r="B416" s="2" t="s">
        <v>98</v>
      </c>
      <c r="C416" s="3"/>
      <c r="D416" s="3"/>
      <c r="E416" s="3"/>
      <c r="F416" s="3">
        <v>10368</v>
      </c>
      <c r="G416" s="11"/>
      <c r="H416" s="11"/>
      <c r="I416" s="11"/>
      <c r="J416" s="11"/>
      <c r="K416" s="11"/>
      <c r="L416" s="3">
        <f>-F416</f>
        <v>-10368</v>
      </c>
    </row>
    <row r="417" spans="1:12" hidden="1" x14ac:dyDescent="0.25">
      <c r="A417" s="19">
        <v>6</v>
      </c>
      <c r="B417" s="2" t="s">
        <v>0</v>
      </c>
      <c r="C417" s="3"/>
      <c r="D417" s="3"/>
      <c r="E417" s="3">
        <v>-32258</v>
      </c>
      <c r="F417" s="3">
        <v>-145806</v>
      </c>
      <c r="G417" s="11">
        <f>F417/E417</f>
        <v>4.5199950399900803</v>
      </c>
      <c r="H417" s="11"/>
      <c r="I417" s="11">
        <f>I412</f>
        <v>4.2492999999999999</v>
      </c>
      <c r="J417" s="11">
        <f>I417-G417</f>
        <v>-0.27069503999008049</v>
      </c>
      <c r="K417" s="11"/>
      <c r="L417" s="3">
        <f>E417*J417</f>
        <v>8732.0806000000157</v>
      </c>
    </row>
    <row r="418" spans="1:12" hidden="1" x14ac:dyDescent="0.25">
      <c r="A418" s="19">
        <v>7</v>
      </c>
      <c r="B418" s="2" t="s">
        <v>81</v>
      </c>
      <c r="C418" s="1"/>
      <c r="D418" s="1"/>
      <c r="E418" s="1">
        <v>106638</v>
      </c>
      <c r="F418" s="1">
        <v>410126</v>
      </c>
      <c r="G418" s="11">
        <f>F418/E418</f>
        <v>3.8459648530542583</v>
      </c>
      <c r="H418" s="11"/>
      <c r="I418" s="11">
        <f>I412</f>
        <v>4.2492999999999999</v>
      </c>
      <c r="J418" s="11">
        <f>I418-G418</f>
        <v>0.40333514694574157</v>
      </c>
      <c r="K418" s="11"/>
      <c r="L418" s="1">
        <f>E418*J418</f>
        <v>43010.853399999993</v>
      </c>
    </row>
    <row r="419" spans="1:12" hidden="1" x14ac:dyDescent="0.25">
      <c r="A419" s="19">
        <v>8</v>
      </c>
      <c r="B419" s="2" t="s">
        <v>153</v>
      </c>
      <c r="C419" s="3">
        <f>D419+E419</f>
        <v>1904600</v>
      </c>
      <c r="D419" s="3">
        <v>-1238067</v>
      </c>
      <c r="E419" s="3">
        <f>SUM(E415:E418)</f>
        <v>3142667</v>
      </c>
      <c r="F419" s="3">
        <f>SUM(F415:F418)</f>
        <v>13114594</v>
      </c>
      <c r="G419" s="11"/>
      <c r="H419" s="11"/>
      <c r="I419" s="11"/>
      <c r="J419" s="11"/>
      <c r="K419" s="11"/>
      <c r="L419" s="3">
        <f>SUM(L415:L418)</f>
        <v>239540.88309999989</v>
      </c>
    </row>
    <row r="420" spans="1:12" hidden="1" x14ac:dyDescent="0.25"/>
    <row r="421" spans="1:12" hidden="1" x14ac:dyDescent="0.25">
      <c r="A421" s="19">
        <v>9</v>
      </c>
      <c r="B421" s="13" t="s">
        <v>154</v>
      </c>
      <c r="C421" s="14">
        <f>C410+C419</f>
        <v>6683400</v>
      </c>
      <c r="D421" s="14">
        <f>D410+D419</f>
        <v>-3273342</v>
      </c>
      <c r="E421" s="14">
        <f>E410+E419</f>
        <v>9956742</v>
      </c>
      <c r="F421" s="40"/>
      <c r="G421" s="15"/>
      <c r="H421" s="15"/>
      <c r="I421" s="15"/>
      <c r="J421" s="15"/>
      <c r="K421" s="15"/>
      <c r="L421" s="31">
        <f>L410+L412+L419</f>
        <v>36227811.95980002</v>
      </c>
    </row>
    <row r="422" spans="1:12" hidden="1" x14ac:dyDescent="0.25"/>
    <row r="423" spans="1:12" hidden="1" x14ac:dyDescent="0.25">
      <c r="B423" s="36" t="s">
        <v>74</v>
      </c>
    </row>
    <row r="424" spans="1:12" hidden="1" x14ac:dyDescent="0.25"/>
    <row r="425" spans="1:12" hidden="1" x14ac:dyDescent="0.25">
      <c r="B425" s="38" t="s">
        <v>155</v>
      </c>
      <c r="C425" s="3"/>
      <c r="D425" s="3"/>
      <c r="E425" s="3"/>
      <c r="F425" s="3"/>
      <c r="G425" s="11"/>
      <c r="H425" s="11"/>
      <c r="I425" s="11"/>
      <c r="J425" s="11"/>
      <c r="K425" s="11"/>
      <c r="L425" s="35"/>
    </row>
    <row r="426" spans="1:12" hidden="1" x14ac:dyDescent="0.25">
      <c r="B426" s="38"/>
      <c r="C426" s="3"/>
      <c r="D426" s="3"/>
      <c r="E426" s="3"/>
      <c r="F426" s="3"/>
      <c r="G426" s="11"/>
      <c r="H426" s="11"/>
      <c r="I426" s="11"/>
      <c r="J426" s="11"/>
      <c r="K426" s="11"/>
      <c r="L426" s="35"/>
    </row>
    <row r="427" spans="1:12" hidden="1" x14ac:dyDescent="0.25">
      <c r="A427" s="19">
        <v>1</v>
      </c>
      <c r="B427" s="13" t="str">
        <f>B421</f>
        <v>8/00 Balance Per Books:</v>
      </c>
      <c r="C427" s="14">
        <f>C421</f>
        <v>6683400</v>
      </c>
      <c r="D427" s="14">
        <f>D421</f>
        <v>-3273342</v>
      </c>
      <c r="E427" s="14">
        <f>E421</f>
        <v>9956742</v>
      </c>
      <c r="F427" s="40"/>
      <c r="G427" s="15"/>
      <c r="H427" s="15"/>
      <c r="I427" s="15"/>
      <c r="J427" s="15"/>
      <c r="K427" s="15"/>
      <c r="L427" s="31">
        <f>L421</f>
        <v>36227811.95980002</v>
      </c>
    </row>
    <row r="428" spans="1:12" hidden="1" x14ac:dyDescent="0.25">
      <c r="B428" s="8"/>
      <c r="C428" s="16"/>
      <c r="D428" s="16"/>
      <c r="E428" s="3"/>
      <c r="F428" s="3"/>
      <c r="G428" s="11"/>
      <c r="H428" s="11"/>
      <c r="I428" s="11"/>
      <c r="J428" s="11"/>
      <c r="K428" s="11"/>
      <c r="L428" s="3"/>
    </row>
    <row r="429" spans="1:12" hidden="1" x14ac:dyDescent="0.25">
      <c r="A429" s="19">
        <v>2</v>
      </c>
      <c r="B429" s="8" t="s">
        <v>156</v>
      </c>
      <c r="C429" s="16"/>
      <c r="D429" s="16"/>
      <c r="E429" s="3">
        <f>E427</f>
        <v>9956742</v>
      </c>
      <c r="F429" s="3"/>
      <c r="G429" s="11">
        <v>4.2492999999999999</v>
      </c>
      <c r="H429" s="11" t="s">
        <v>73</v>
      </c>
      <c r="I429" s="11">
        <v>4.9333999999999998</v>
      </c>
      <c r="J429" s="11">
        <f>I429-G429</f>
        <v>0.68409999999999993</v>
      </c>
      <c r="K429" s="11"/>
      <c r="L429" s="3">
        <f>E429*J429</f>
        <v>6811407.2021999992</v>
      </c>
    </row>
    <row r="430" spans="1:12" hidden="1" x14ac:dyDescent="0.25">
      <c r="B430" s="2"/>
      <c r="C430" s="3"/>
      <c r="D430" s="3"/>
      <c r="E430" s="3"/>
      <c r="F430" s="3"/>
      <c r="G430" s="11"/>
      <c r="H430" s="11"/>
      <c r="I430" s="11"/>
      <c r="J430" s="11"/>
      <c r="K430" s="11"/>
      <c r="L430" s="3"/>
    </row>
    <row r="431" spans="1:12" hidden="1" x14ac:dyDescent="0.25">
      <c r="A431" s="19">
        <v>3</v>
      </c>
      <c r="B431" s="8" t="s">
        <v>157</v>
      </c>
      <c r="C431" s="16"/>
      <c r="D431" s="16"/>
      <c r="E431" s="3"/>
      <c r="F431" s="3"/>
      <c r="G431" s="11"/>
      <c r="H431" s="11"/>
      <c r="I431" s="11"/>
      <c r="J431" s="11"/>
      <c r="K431" s="11"/>
      <c r="L431" s="3"/>
    </row>
    <row r="432" spans="1:12" hidden="1" x14ac:dyDescent="0.25">
      <c r="A432" s="19">
        <v>4</v>
      </c>
      <c r="B432" s="2" t="s">
        <v>97</v>
      </c>
      <c r="C432" s="3"/>
      <c r="D432" s="3"/>
      <c r="E432" s="3">
        <v>1617346</v>
      </c>
      <c r="F432" s="3">
        <v>7852654</v>
      </c>
      <c r="G432" s="11">
        <f>F432/E432</f>
        <v>4.8552715374446782</v>
      </c>
      <c r="H432" s="11"/>
      <c r="I432" s="11">
        <f>I429</f>
        <v>4.9333999999999998</v>
      </c>
      <c r="J432" s="11">
        <f>I432-G432</f>
        <v>7.8128462555321576E-2</v>
      </c>
      <c r="K432" s="11"/>
      <c r="L432" s="3">
        <f>E432*J432</f>
        <v>126360.75639999913</v>
      </c>
    </row>
    <row r="433" spans="1:12" hidden="1" x14ac:dyDescent="0.25">
      <c r="A433" s="19">
        <v>5</v>
      </c>
      <c r="B433" s="2" t="s">
        <v>98</v>
      </c>
      <c r="C433" s="3"/>
      <c r="D433" s="3"/>
      <c r="E433" s="3"/>
      <c r="F433" s="3">
        <v>54130</v>
      </c>
      <c r="G433" s="11"/>
      <c r="H433" s="11"/>
      <c r="I433" s="11"/>
      <c r="J433" s="11"/>
      <c r="K433" s="11"/>
      <c r="L433" s="3">
        <f>-F433</f>
        <v>-54130</v>
      </c>
    </row>
    <row r="434" spans="1:12" hidden="1" x14ac:dyDescent="0.25">
      <c r="A434" s="19">
        <v>6</v>
      </c>
      <c r="B434" s="2" t="s">
        <v>0</v>
      </c>
      <c r="C434" s="3"/>
      <c r="D434" s="3"/>
      <c r="E434" s="3">
        <v>0</v>
      </c>
      <c r="F434" s="3">
        <v>0</v>
      </c>
      <c r="G434" s="11"/>
      <c r="H434" s="11"/>
      <c r="I434" s="11">
        <f>I429</f>
        <v>4.9333999999999998</v>
      </c>
      <c r="J434" s="11">
        <f>I434-G434</f>
        <v>4.9333999999999998</v>
      </c>
      <c r="K434" s="11"/>
      <c r="L434" s="3">
        <f>E434*J434</f>
        <v>0</v>
      </c>
    </row>
    <row r="435" spans="1:12" hidden="1" x14ac:dyDescent="0.25">
      <c r="A435" s="19">
        <v>7</v>
      </c>
      <c r="B435" s="2" t="s">
        <v>81</v>
      </c>
      <c r="C435" s="1"/>
      <c r="D435" s="1"/>
      <c r="E435" s="1">
        <v>89434</v>
      </c>
      <c r="F435" s="1">
        <v>377242</v>
      </c>
      <c r="G435" s="11">
        <f>F435/E435</f>
        <v>4.2181049712637249</v>
      </c>
      <c r="H435" s="11"/>
      <c r="I435" s="11">
        <f>I429</f>
        <v>4.9333999999999998</v>
      </c>
      <c r="J435" s="11">
        <f>I435-G435</f>
        <v>0.71529502873627493</v>
      </c>
      <c r="K435" s="11"/>
      <c r="L435" s="1">
        <f>E435*J435</f>
        <v>63971.695600000014</v>
      </c>
    </row>
    <row r="436" spans="1:12" hidden="1" x14ac:dyDescent="0.25">
      <c r="A436" s="19">
        <v>8</v>
      </c>
      <c r="B436" s="2" t="s">
        <v>158</v>
      </c>
      <c r="C436" s="3">
        <f>D436+E436</f>
        <v>1602554</v>
      </c>
      <c r="D436" s="3">
        <v>-104226</v>
      </c>
      <c r="E436" s="3">
        <f>SUM(E432:E435)</f>
        <v>1706780</v>
      </c>
      <c r="F436" s="3">
        <f>SUM(F432:F435)</f>
        <v>8284026</v>
      </c>
      <c r="G436" s="11"/>
      <c r="H436" s="11"/>
      <c r="I436" s="11"/>
      <c r="J436" s="11"/>
      <c r="K436" s="11"/>
      <c r="L436" s="3">
        <f>SUM(L432:L435)</f>
        <v>136202.45199999915</v>
      </c>
    </row>
    <row r="437" spans="1:12" hidden="1" x14ac:dyDescent="0.25"/>
    <row r="438" spans="1:12" hidden="1" x14ac:dyDescent="0.25">
      <c r="A438" s="19">
        <v>9</v>
      </c>
      <c r="B438" s="13" t="s">
        <v>159</v>
      </c>
      <c r="C438" s="14">
        <f>C427+C436</f>
        <v>8285954</v>
      </c>
      <c r="D438" s="14">
        <f>D427+D436</f>
        <v>-3377568</v>
      </c>
      <c r="E438" s="14">
        <f>E427+E436</f>
        <v>11663522</v>
      </c>
      <c r="F438" s="40"/>
      <c r="G438" s="15"/>
      <c r="H438" s="15"/>
      <c r="I438" s="15"/>
      <c r="J438" s="15"/>
      <c r="K438" s="15"/>
      <c r="L438" s="31">
        <f>L427+L429+L436</f>
        <v>43175421.614000015</v>
      </c>
    </row>
    <row r="439" spans="1:12" hidden="1" x14ac:dyDescent="0.25"/>
    <row r="440" spans="1:12" hidden="1" x14ac:dyDescent="0.25">
      <c r="B440" s="36" t="s">
        <v>74</v>
      </c>
    </row>
    <row r="441" spans="1:12" hidden="1" x14ac:dyDescent="0.25"/>
    <row r="442" spans="1:12" hidden="1" x14ac:dyDescent="0.25">
      <c r="B442" s="38" t="s">
        <v>160</v>
      </c>
      <c r="C442" s="3"/>
      <c r="D442" s="3"/>
      <c r="E442" s="3"/>
      <c r="F442" s="3"/>
      <c r="G442" s="11"/>
      <c r="H442" s="11"/>
      <c r="I442" s="11"/>
      <c r="J442" s="11"/>
      <c r="K442" s="11"/>
      <c r="L442" s="35"/>
    </row>
    <row r="443" spans="1:12" hidden="1" x14ac:dyDescent="0.25">
      <c r="B443" s="38"/>
      <c r="C443" s="3"/>
      <c r="D443" s="3"/>
      <c r="E443" s="3"/>
      <c r="F443" s="3"/>
      <c r="G443" s="11"/>
      <c r="H443" s="11"/>
      <c r="I443" s="11"/>
      <c r="J443" s="11"/>
      <c r="K443" s="11"/>
      <c r="L443" s="35"/>
    </row>
    <row r="444" spans="1:12" hidden="1" x14ac:dyDescent="0.25">
      <c r="A444" s="19">
        <v>1</v>
      </c>
      <c r="B444" s="13" t="str">
        <f>B438</f>
        <v>9/00 Balance Per Books:</v>
      </c>
      <c r="C444" s="14">
        <f>C438</f>
        <v>8285954</v>
      </c>
      <c r="D444" s="14">
        <f>D438</f>
        <v>-3377568</v>
      </c>
      <c r="E444" s="14">
        <f>E438</f>
        <v>11663522</v>
      </c>
      <c r="F444" s="40"/>
      <c r="G444" s="15"/>
      <c r="H444" s="15"/>
      <c r="I444" s="15"/>
      <c r="J444" s="15"/>
      <c r="K444" s="15"/>
      <c r="L444" s="31">
        <f>L438</f>
        <v>43175421.614000015</v>
      </c>
    </row>
    <row r="445" spans="1:12" hidden="1" x14ac:dyDescent="0.25">
      <c r="B445" s="8"/>
      <c r="C445" s="16"/>
      <c r="D445" s="16"/>
      <c r="E445" s="3"/>
      <c r="F445" s="3"/>
      <c r="G445" s="11"/>
      <c r="H445" s="11"/>
      <c r="I445" s="11"/>
      <c r="J445" s="11"/>
      <c r="K445" s="11"/>
      <c r="L445" s="3"/>
    </row>
    <row r="446" spans="1:12" hidden="1" x14ac:dyDescent="0.25">
      <c r="A446" s="19">
        <v>2</v>
      </c>
      <c r="B446" s="8" t="s">
        <v>161</v>
      </c>
      <c r="C446" s="16"/>
      <c r="D446" s="16"/>
      <c r="E446" s="3">
        <f>E444</f>
        <v>11663522</v>
      </c>
      <c r="F446" s="3"/>
      <c r="G446" s="11">
        <v>4.9333999999999998</v>
      </c>
      <c r="H446" s="11" t="s">
        <v>73</v>
      </c>
      <c r="I446" s="11">
        <v>4.9726999999999997</v>
      </c>
      <c r="J446" s="11">
        <f>I446-G446</f>
        <v>3.9299999999999891E-2</v>
      </c>
      <c r="K446" s="11"/>
      <c r="L446" s="3">
        <f>E446*J446</f>
        <v>458376.41459999874</v>
      </c>
    </row>
    <row r="447" spans="1:12" hidden="1" x14ac:dyDescent="0.25">
      <c r="B447" s="2"/>
      <c r="C447" s="3"/>
      <c r="D447" s="3"/>
      <c r="E447" s="3"/>
      <c r="F447" s="3"/>
      <c r="G447" s="11"/>
      <c r="H447" s="11"/>
      <c r="I447" s="11"/>
      <c r="J447" s="11"/>
      <c r="K447" s="11"/>
      <c r="L447" s="3"/>
    </row>
    <row r="448" spans="1:12" hidden="1" x14ac:dyDescent="0.25">
      <c r="A448" s="19">
        <v>3</v>
      </c>
      <c r="B448" s="8" t="s">
        <v>162</v>
      </c>
      <c r="C448" s="16"/>
      <c r="D448" s="16"/>
      <c r="E448" s="3"/>
      <c r="F448" s="3"/>
      <c r="G448" s="11"/>
      <c r="H448" s="11"/>
      <c r="I448" s="11"/>
      <c r="J448" s="11"/>
      <c r="K448" s="11"/>
      <c r="L448" s="3"/>
    </row>
    <row r="449" spans="1:12" hidden="1" x14ac:dyDescent="0.25">
      <c r="A449" s="19">
        <v>4</v>
      </c>
      <c r="B449" s="2" t="s">
        <v>97</v>
      </c>
      <c r="C449" s="3"/>
      <c r="D449" s="3"/>
      <c r="E449" s="3">
        <v>-1066256</v>
      </c>
      <c r="F449" s="3">
        <v>-5358478</v>
      </c>
      <c r="G449" s="11">
        <f>F449/E449</f>
        <v>5.0255079455590401</v>
      </c>
      <c r="H449" s="11"/>
      <c r="I449" s="11">
        <f>I446</f>
        <v>4.9726999999999997</v>
      </c>
      <c r="J449" s="11">
        <f>I449-G449</f>
        <v>-5.2807945559040448E-2</v>
      </c>
      <c r="K449" s="11"/>
      <c r="L449" s="3">
        <f>E449*J449</f>
        <v>56306.788800000235</v>
      </c>
    </row>
    <row r="450" spans="1:12" hidden="1" x14ac:dyDescent="0.25">
      <c r="A450" s="19">
        <v>5</v>
      </c>
      <c r="B450" s="2" t="s">
        <v>98</v>
      </c>
      <c r="C450" s="3"/>
      <c r="D450" s="3"/>
      <c r="E450" s="3"/>
      <c r="F450" s="3">
        <v>36251</v>
      </c>
      <c r="G450" s="11"/>
      <c r="H450" s="11"/>
      <c r="I450" s="11"/>
      <c r="J450" s="11"/>
      <c r="K450" s="11"/>
      <c r="L450" s="3">
        <f>-F450</f>
        <v>-36251</v>
      </c>
    </row>
    <row r="451" spans="1:12" hidden="1" x14ac:dyDescent="0.25">
      <c r="A451" s="19">
        <v>6</v>
      </c>
      <c r="B451" s="2" t="s">
        <v>0</v>
      </c>
      <c r="C451" s="3"/>
      <c r="D451" s="3"/>
      <c r="E451" s="3">
        <v>-2960184</v>
      </c>
      <c r="F451" s="3">
        <v>-15600170</v>
      </c>
      <c r="G451" s="11">
        <f>F451/E451</f>
        <v>5.2700001081013879</v>
      </c>
      <c r="H451" s="11"/>
      <c r="I451" s="11">
        <f>I446</f>
        <v>4.9726999999999997</v>
      </c>
      <c r="J451" s="11">
        <f>I451-G451</f>
        <v>-0.29730010810138818</v>
      </c>
      <c r="K451" s="11"/>
      <c r="L451" s="3">
        <f>E451*J451</f>
        <v>880063.0231999997</v>
      </c>
    </row>
    <row r="452" spans="1:12" hidden="1" x14ac:dyDescent="0.25">
      <c r="A452" s="19">
        <v>7</v>
      </c>
      <c r="B452" s="2" t="s">
        <v>81</v>
      </c>
      <c r="C452" s="1"/>
      <c r="D452" s="1"/>
      <c r="E452" s="1">
        <v>152215</v>
      </c>
      <c r="F452" s="1">
        <v>724743</v>
      </c>
      <c r="G452" s="11">
        <f>F452/E452</f>
        <v>4.7613113030910226</v>
      </c>
      <c r="H452" s="11"/>
      <c r="I452" s="11">
        <f>I446</f>
        <v>4.9726999999999997</v>
      </c>
      <c r="J452" s="11">
        <f>I452-G452</f>
        <v>0.2113886969089771</v>
      </c>
      <c r="K452" s="11"/>
      <c r="L452" s="1">
        <f>E452*J452</f>
        <v>32176.53049999995</v>
      </c>
    </row>
    <row r="453" spans="1:12" hidden="1" x14ac:dyDescent="0.25">
      <c r="A453" s="19">
        <v>8</v>
      </c>
      <c r="B453" s="2" t="s">
        <v>163</v>
      </c>
      <c r="C453" s="3">
        <f>D453+E453</f>
        <v>-3890479</v>
      </c>
      <c r="D453" s="3">
        <v>-16254</v>
      </c>
      <c r="E453" s="3">
        <f>SUM(E449:E452)</f>
        <v>-3874225</v>
      </c>
      <c r="F453" s="3">
        <f>SUM(F449:F452)</f>
        <v>-20197654</v>
      </c>
      <c r="G453" s="11"/>
      <c r="H453" s="11"/>
      <c r="I453" s="11"/>
      <c r="J453" s="11"/>
      <c r="K453" s="11"/>
      <c r="L453" s="3">
        <f>SUM(L449:L452)</f>
        <v>932295.34249999991</v>
      </c>
    </row>
    <row r="454" spans="1:12" hidden="1" x14ac:dyDescent="0.25"/>
    <row r="455" spans="1:12" hidden="1" x14ac:dyDescent="0.25">
      <c r="A455" s="19">
        <v>9</v>
      </c>
      <c r="B455" s="13" t="s">
        <v>164</v>
      </c>
      <c r="C455" s="14">
        <f>C444+C453</f>
        <v>4395475</v>
      </c>
      <c r="D455" s="14">
        <f>D444+D453</f>
        <v>-3393822</v>
      </c>
      <c r="E455" s="14">
        <f>E444+E453</f>
        <v>7789297</v>
      </c>
      <c r="F455" s="40"/>
      <c r="G455" s="15"/>
      <c r="H455" s="15"/>
      <c r="I455" s="15"/>
      <c r="J455" s="15"/>
      <c r="K455" s="15"/>
      <c r="L455" s="31">
        <f>L444+L446+L453</f>
        <v>44566093.371100016</v>
      </c>
    </row>
    <row r="456" spans="1:12" hidden="1" x14ac:dyDescent="0.25"/>
    <row r="457" spans="1:12" hidden="1" x14ac:dyDescent="0.25">
      <c r="B457" s="36" t="s">
        <v>74</v>
      </c>
    </row>
    <row r="458" spans="1:12" hidden="1" x14ac:dyDescent="0.25"/>
    <row r="459" spans="1:12" hidden="1" x14ac:dyDescent="0.25">
      <c r="B459" s="38" t="s">
        <v>165</v>
      </c>
      <c r="C459" s="3"/>
      <c r="D459" s="3"/>
      <c r="E459" s="3"/>
      <c r="F459" s="3"/>
      <c r="G459" s="11"/>
      <c r="H459" s="11"/>
      <c r="I459" s="11"/>
      <c r="J459" s="11"/>
      <c r="K459" s="11"/>
      <c r="L459" s="35"/>
    </row>
    <row r="460" spans="1:12" hidden="1" x14ac:dyDescent="0.25">
      <c r="B460" s="38"/>
      <c r="C460" s="3"/>
      <c r="D460" s="3"/>
      <c r="E460" s="3"/>
      <c r="F460" s="3"/>
      <c r="G460" s="11"/>
      <c r="H460" s="11"/>
      <c r="I460" s="11"/>
      <c r="J460" s="11"/>
      <c r="K460" s="11"/>
      <c r="L460" s="35"/>
    </row>
    <row r="461" spans="1:12" hidden="1" x14ac:dyDescent="0.25">
      <c r="A461" s="19">
        <v>1</v>
      </c>
      <c r="B461" s="13" t="str">
        <f>B455</f>
        <v>10/00 Balance Per Books:</v>
      </c>
      <c r="C461" s="14">
        <f>C455</f>
        <v>4395475</v>
      </c>
      <c r="D461" s="14">
        <f>D455</f>
        <v>-3393822</v>
      </c>
      <c r="E461" s="14">
        <f>E455</f>
        <v>7789297</v>
      </c>
      <c r="F461" s="40"/>
      <c r="G461" s="15"/>
      <c r="H461" s="15"/>
      <c r="I461" s="15"/>
      <c r="J461" s="15"/>
      <c r="K461" s="15"/>
      <c r="L461" s="31">
        <f>L455</f>
        <v>44566093.371100016</v>
      </c>
    </row>
    <row r="462" spans="1:12" hidden="1" x14ac:dyDescent="0.25">
      <c r="B462" s="8"/>
      <c r="C462" s="16"/>
      <c r="D462" s="16"/>
      <c r="E462" s="3"/>
      <c r="F462" s="3"/>
      <c r="G462" s="11"/>
      <c r="H462" s="11"/>
      <c r="I462" s="11"/>
      <c r="J462" s="11"/>
      <c r="K462" s="11"/>
      <c r="L462" s="3"/>
    </row>
    <row r="463" spans="1:12" hidden="1" x14ac:dyDescent="0.25">
      <c r="A463" s="19">
        <v>2</v>
      </c>
      <c r="B463" s="8" t="s">
        <v>166</v>
      </c>
      <c r="C463" s="16"/>
      <c r="D463" s="16"/>
      <c r="E463" s="3">
        <f>E461</f>
        <v>7789297</v>
      </c>
      <c r="F463" s="3"/>
      <c r="G463" s="11">
        <v>4.9726999999999997</v>
      </c>
      <c r="H463" s="11" t="s">
        <v>73</v>
      </c>
      <c r="I463" s="11">
        <v>5.3079000000000001</v>
      </c>
      <c r="J463" s="11">
        <f>I463-G463</f>
        <v>0.33520000000000039</v>
      </c>
      <c r="K463" s="11"/>
      <c r="L463" s="3">
        <f>E463*J463</f>
        <v>2610972.3544000029</v>
      </c>
    </row>
    <row r="464" spans="1:12" hidden="1" x14ac:dyDescent="0.25">
      <c r="B464" s="2"/>
      <c r="C464" s="3"/>
      <c r="D464" s="3"/>
      <c r="E464" s="3"/>
      <c r="F464" s="3"/>
      <c r="G464" s="11"/>
      <c r="H464" s="11"/>
      <c r="I464" s="11"/>
      <c r="J464" s="11"/>
      <c r="K464" s="11"/>
      <c r="L464" s="3"/>
    </row>
    <row r="465" spans="1:12" hidden="1" x14ac:dyDescent="0.25">
      <c r="A465" s="19">
        <v>3</v>
      </c>
      <c r="B465" s="8" t="s">
        <v>167</v>
      </c>
      <c r="C465" s="16"/>
      <c r="D465" s="16"/>
      <c r="E465" s="3"/>
      <c r="F465" s="3"/>
      <c r="G465" s="11"/>
      <c r="H465" s="11"/>
      <c r="I465" s="11"/>
      <c r="J465" s="11"/>
      <c r="K465" s="11"/>
      <c r="L465" s="3"/>
    </row>
    <row r="466" spans="1:12" hidden="1" x14ac:dyDescent="0.25">
      <c r="A466" s="19">
        <v>4</v>
      </c>
      <c r="B466" s="2" t="s">
        <v>97</v>
      </c>
      <c r="C466" s="3"/>
      <c r="D466" s="3"/>
      <c r="E466" s="3">
        <v>3314260</v>
      </c>
      <c r="F466" s="3">
        <v>17637437</v>
      </c>
      <c r="G466" s="11">
        <f>F466/E466</f>
        <v>5.3216817630481614</v>
      </c>
      <c r="H466" s="11"/>
      <c r="I466" s="11">
        <f>I463</f>
        <v>5.3079000000000001</v>
      </c>
      <c r="J466" s="11">
        <f>I466-G466</f>
        <v>-1.3781763048161366E-2</v>
      </c>
      <c r="K466" s="11"/>
      <c r="L466" s="3">
        <f>E466*J466</f>
        <v>-45676.345999999292</v>
      </c>
    </row>
    <row r="467" spans="1:12" hidden="1" x14ac:dyDescent="0.25">
      <c r="A467" s="19">
        <v>5</v>
      </c>
      <c r="B467" s="2" t="s">
        <v>98</v>
      </c>
      <c r="C467" s="3"/>
      <c r="D467" s="3"/>
      <c r="E467" s="3"/>
      <c r="F467" s="3">
        <v>158469</v>
      </c>
      <c r="G467" s="11"/>
      <c r="H467" s="11"/>
      <c r="I467" s="11"/>
      <c r="J467" s="11"/>
      <c r="K467" s="11"/>
      <c r="L467" s="3">
        <f>-F467</f>
        <v>-158469</v>
      </c>
    </row>
    <row r="468" spans="1:12" hidden="1" x14ac:dyDescent="0.25">
      <c r="A468" s="19">
        <v>6</v>
      </c>
      <c r="B468" s="2" t="s">
        <v>0</v>
      </c>
      <c r="C468" s="3"/>
      <c r="D468" s="3"/>
      <c r="E468" s="3">
        <v>-1643283</v>
      </c>
      <c r="F468" s="3">
        <v>-7460068</v>
      </c>
      <c r="G468" s="11">
        <f>F468/E468</f>
        <v>4.5397341784707805</v>
      </c>
      <c r="H468" s="11"/>
      <c r="I468" s="11">
        <f>I463</f>
        <v>5.3079000000000001</v>
      </c>
      <c r="J468" s="11">
        <f>I468-G468</f>
        <v>0.76816582152921953</v>
      </c>
      <c r="K468" s="11"/>
      <c r="L468" s="3">
        <f>E468*J468</f>
        <v>-1262313.8357000004</v>
      </c>
    </row>
    <row r="469" spans="1:12" hidden="1" x14ac:dyDescent="0.25">
      <c r="A469" s="19">
        <v>7</v>
      </c>
      <c r="B469" s="2" t="s">
        <v>81</v>
      </c>
      <c r="C469" s="1"/>
      <c r="D469" s="1"/>
      <c r="E469" s="1">
        <v>120584</v>
      </c>
      <c r="F469" s="1">
        <v>591586</v>
      </c>
      <c r="G469" s="11">
        <f>F469/E469</f>
        <v>4.906007430504876</v>
      </c>
      <c r="H469" s="11"/>
      <c r="I469" s="11">
        <f>I463</f>
        <v>5.3079000000000001</v>
      </c>
      <c r="J469" s="11">
        <f>I469-G469</f>
        <v>0.40189256949512409</v>
      </c>
      <c r="K469" s="11"/>
      <c r="L469" s="1">
        <f>E469*J469+1</f>
        <v>48462.813600000045</v>
      </c>
    </row>
    <row r="470" spans="1:12" hidden="1" x14ac:dyDescent="0.25">
      <c r="A470" s="19">
        <v>8</v>
      </c>
      <c r="B470" s="2" t="s">
        <v>168</v>
      </c>
      <c r="C470" s="3">
        <f>D470+E470</f>
        <v>2206611</v>
      </c>
      <c r="D470" s="3">
        <v>415050</v>
      </c>
      <c r="E470" s="3">
        <f>SUM(E466:E469)</f>
        <v>1791561</v>
      </c>
      <c r="F470" s="3">
        <f>SUM(F466:F469)</f>
        <v>10927424</v>
      </c>
      <c r="G470" s="11"/>
      <c r="H470" s="11"/>
      <c r="I470" s="11"/>
      <c r="J470" s="11"/>
      <c r="K470" s="11"/>
      <c r="L470" s="3">
        <f>SUM(L466:L469)</f>
        <v>-1417996.3680999996</v>
      </c>
    </row>
    <row r="471" spans="1:12" hidden="1" x14ac:dyDescent="0.25"/>
    <row r="472" spans="1:12" hidden="1" x14ac:dyDescent="0.25">
      <c r="A472" s="19">
        <v>9</v>
      </c>
      <c r="B472" s="13" t="s">
        <v>169</v>
      </c>
      <c r="C472" s="14">
        <f>C461+C470</f>
        <v>6602086</v>
      </c>
      <c r="D472" s="14">
        <f>D461+D470</f>
        <v>-2978772</v>
      </c>
      <c r="E472" s="14">
        <f>E461+E470</f>
        <v>9580858</v>
      </c>
      <c r="F472" s="40"/>
      <c r="G472" s="15"/>
      <c r="H472" s="15"/>
      <c r="I472" s="15"/>
      <c r="J472" s="15"/>
      <c r="K472" s="15"/>
      <c r="L472" s="31">
        <f>L461+L463+L470</f>
        <v>45759069.357400015</v>
      </c>
    </row>
    <row r="473" spans="1:12" hidden="1" x14ac:dyDescent="0.25"/>
    <row r="474" spans="1:12" hidden="1" x14ac:dyDescent="0.25">
      <c r="B474" s="36" t="s">
        <v>74</v>
      </c>
    </row>
    <row r="475" spans="1:12" hidden="1" x14ac:dyDescent="0.25"/>
    <row r="476" spans="1:12" hidden="1" x14ac:dyDescent="0.25">
      <c r="B476" s="38" t="s">
        <v>170</v>
      </c>
      <c r="C476" s="3"/>
      <c r="D476" s="3"/>
      <c r="E476" s="3"/>
      <c r="F476" s="3"/>
      <c r="G476" s="11"/>
      <c r="H476" s="11"/>
      <c r="I476" s="11"/>
      <c r="J476" s="11"/>
      <c r="K476" s="11"/>
      <c r="L476" s="35"/>
    </row>
    <row r="477" spans="1:12" hidden="1" x14ac:dyDescent="0.25">
      <c r="B477" s="38"/>
      <c r="C477" s="3"/>
      <c r="D477" s="3"/>
      <c r="E477" s="3"/>
      <c r="F477" s="3"/>
      <c r="G477" s="11"/>
      <c r="H477" s="11"/>
      <c r="I477" s="11"/>
      <c r="J477" s="11"/>
      <c r="K477" s="11"/>
      <c r="L477" s="35"/>
    </row>
    <row r="478" spans="1:12" hidden="1" x14ac:dyDescent="0.25">
      <c r="A478" s="19">
        <v>1</v>
      </c>
      <c r="B478" s="13" t="str">
        <f>B472</f>
        <v>11/00 Balance Per Books:</v>
      </c>
      <c r="C478" s="14">
        <f>C472</f>
        <v>6602086</v>
      </c>
      <c r="D478" s="14">
        <f>D472</f>
        <v>-2978772</v>
      </c>
      <c r="E478" s="14">
        <f>E472</f>
        <v>9580858</v>
      </c>
      <c r="F478" s="40"/>
      <c r="G478" s="15"/>
      <c r="H478" s="15"/>
      <c r="I478" s="15"/>
      <c r="J478" s="15"/>
      <c r="K478" s="15"/>
      <c r="L478" s="31">
        <f>L472</f>
        <v>45759069.357400015</v>
      </c>
    </row>
    <row r="479" spans="1:12" hidden="1" x14ac:dyDescent="0.25">
      <c r="B479" s="8"/>
      <c r="C479" s="16"/>
      <c r="D479" s="16"/>
      <c r="E479" s="3"/>
      <c r="F479" s="3"/>
      <c r="G479" s="11"/>
      <c r="H479" s="11"/>
      <c r="I479" s="11"/>
      <c r="J479" s="11"/>
      <c r="K479" s="11"/>
      <c r="L479" s="3"/>
    </row>
    <row r="480" spans="1:12" hidden="1" x14ac:dyDescent="0.25">
      <c r="A480" s="19">
        <v>2</v>
      </c>
      <c r="B480" s="8" t="s">
        <v>171</v>
      </c>
      <c r="C480" s="16"/>
      <c r="D480" s="16"/>
      <c r="E480" s="3">
        <f>E478</f>
        <v>9580858</v>
      </c>
      <c r="F480" s="3"/>
      <c r="G480" s="11">
        <v>5.3079000000000001</v>
      </c>
      <c r="H480" s="11" t="s">
        <v>73</v>
      </c>
      <c r="I480" s="11">
        <v>8.9849999999999994</v>
      </c>
      <c r="J480" s="11">
        <f>I480-G480</f>
        <v>3.6770999999999994</v>
      </c>
      <c r="K480" s="11"/>
      <c r="L480" s="3">
        <f>E480*J480</f>
        <v>35229772.951799996</v>
      </c>
    </row>
    <row r="481" spans="1:17" hidden="1" x14ac:dyDescent="0.25">
      <c r="B481" s="2"/>
      <c r="C481" s="3"/>
      <c r="D481" s="3"/>
      <c r="E481" s="3"/>
      <c r="F481" s="3"/>
      <c r="G481" s="11"/>
      <c r="H481" s="11"/>
      <c r="I481" s="11"/>
      <c r="J481" s="11"/>
      <c r="K481" s="11"/>
      <c r="L481" s="3"/>
    </row>
    <row r="482" spans="1:17" hidden="1" x14ac:dyDescent="0.25">
      <c r="A482" s="19">
        <v>3</v>
      </c>
      <c r="B482" s="8" t="s">
        <v>172</v>
      </c>
      <c r="C482" s="16"/>
      <c r="D482" s="16"/>
      <c r="E482" s="3"/>
      <c r="F482" s="3"/>
      <c r="G482" s="11"/>
      <c r="H482" s="11"/>
      <c r="I482" s="11"/>
      <c r="J482" s="11"/>
      <c r="K482" s="11"/>
      <c r="L482" s="3"/>
    </row>
    <row r="483" spans="1:17" hidden="1" x14ac:dyDescent="0.25">
      <c r="A483" s="19">
        <v>4</v>
      </c>
      <c r="B483" s="2" t="s">
        <v>97</v>
      </c>
      <c r="C483" s="3"/>
      <c r="D483" s="3"/>
      <c r="E483" s="3">
        <v>885462</v>
      </c>
      <c r="F483" s="3">
        <v>12898836</v>
      </c>
      <c r="G483" s="11">
        <f>F483/E483</f>
        <v>14.567351281026177</v>
      </c>
      <c r="H483" s="11"/>
      <c r="I483" s="11">
        <f>I480</f>
        <v>8.9849999999999994</v>
      </c>
      <c r="J483" s="11">
        <f>I483-G483</f>
        <v>-5.5823512810261775</v>
      </c>
      <c r="K483" s="11"/>
      <c r="L483" s="3">
        <f>E483*J483</f>
        <v>-4942959.9300000016</v>
      </c>
    </row>
    <row r="484" spans="1:17" hidden="1" x14ac:dyDescent="0.25">
      <c r="A484" s="19">
        <v>5</v>
      </c>
      <c r="B484" s="2" t="s">
        <v>98</v>
      </c>
      <c r="C484" s="3"/>
      <c r="D484" s="3"/>
      <c r="E484" s="3"/>
      <c r="F484" s="3">
        <v>193120</v>
      </c>
      <c r="G484" s="11"/>
      <c r="H484" s="11"/>
      <c r="I484" s="11"/>
      <c r="J484" s="11"/>
      <c r="K484" s="11"/>
      <c r="L484" s="3">
        <f>-F484</f>
        <v>-193120</v>
      </c>
    </row>
    <row r="485" spans="1:17" hidden="1" x14ac:dyDescent="0.25">
      <c r="A485" s="19">
        <v>6</v>
      </c>
      <c r="B485" s="2" t="s">
        <v>0</v>
      </c>
      <c r="C485" s="3"/>
      <c r="D485" s="3"/>
      <c r="E485" s="3">
        <v>-3095551</v>
      </c>
      <c r="F485" s="3">
        <v>-18632704</v>
      </c>
      <c r="G485" s="11">
        <f>F485/E485</f>
        <v>6.0191881832991934</v>
      </c>
      <c r="H485" s="11"/>
      <c r="I485" s="11">
        <f>I480</f>
        <v>8.9849999999999994</v>
      </c>
      <c r="J485" s="11">
        <f>I485-G485</f>
        <v>2.9658118167008061</v>
      </c>
      <c r="K485" s="11"/>
      <c r="L485" s="3">
        <f>E485*J485</f>
        <v>-9180821.7349999975</v>
      </c>
    </row>
    <row r="486" spans="1:17" hidden="1" x14ac:dyDescent="0.25">
      <c r="A486" s="19">
        <v>7</v>
      </c>
      <c r="B486" s="2" t="s">
        <v>81</v>
      </c>
      <c r="C486" s="1"/>
      <c r="D486" s="1"/>
      <c r="E486" s="1">
        <v>102122</v>
      </c>
      <c r="F486" s="1">
        <v>533572</v>
      </c>
      <c r="G486" s="11">
        <f>F486/E486</f>
        <v>5.2248487103660324</v>
      </c>
      <c r="H486" s="11"/>
      <c r="I486" s="11">
        <f>I480</f>
        <v>8.9849999999999994</v>
      </c>
      <c r="J486" s="11">
        <f>I486-G486</f>
        <v>3.7601512896339671</v>
      </c>
      <c r="K486" s="11"/>
      <c r="L486" s="1">
        <f>E486*J486</f>
        <v>383994.17</v>
      </c>
    </row>
    <row r="487" spans="1:17" hidden="1" x14ac:dyDescent="0.25">
      <c r="A487" s="19">
        <v>8</v>
      </c>
      <c r="B487" s="2" t="s">
        <v>173</v>
      </c>
      <c r="C487" s="3">
        <f>D487+E487</f>
        <v>-1972841</v>
      </c>
      <c r="D487" s="3">
        <v>135126</v>
      </c>
      <c r="E487" s="3">
        <f>SUM(E483:E486)</f>
        <v>-2107967</v>
      </c>
      <c r="F487" s="3">
        <f>SUM(F483:F486)</f>
        <v>-5007176</v>
      </c>
      <c r="G487" s="11"/>
      <c r="H487" s="11"/>
      <c r="I487" s="11"/>
      <c r="J487" s="11"/>
      <c r="K487" s="11"/>
      <c r="L487" s="3">
        <f>SUM(L483:L486)</f>
        <v>-13932907.494999999</v>
      </c>
    </row>
    <row r="488" spans="1:17" hidden="1" x14ac:dyDescent="0.25"/>
    <row r="489" spans="1:17" hidden="1" x14ac:dyDescent="0.25">
      <c r="A489" s="19">
        <v>9</v>
      </c>
      <c r="B489" s="13" t="s">
        <v>174</v>
      </c>
      <c r="C489" s="14">
        <f>C478+C487</f>
        <v>4629245</v>
      </c>
      <c r="D489" s="14">
        <f>D478+D487</f>
        <v>-2843646</v>
      </c>
      <c r="E489" s="14">
        <f>E478+E487</f>
        <v>7472891</v>
      </c>
      <c r="F489" s="40"/>
      <c r="G489" s="15"/>
      <c r="H489" s="15"/>
      <c r="I489" s="15"/>
      <c r="J489" s="15"/>
      <c r="K489" s="15"/>
      <c r="L489" s="31">
        <f>L478+L480+L487</f>
        <v>67055934.814200021</v>
      </c>
    </row>
    <row r="490" spans="1:17" hidden="1" x14ac:dyDescent="0.25"/>
    <row r="491" spans="1:17" hidden="1" x14ac:dyDescent="0.25">
      <c r="B491" s="36" t="s">
        <v>74</v>
      </c>
    </row>
    <row r="492" spans="1:17" hidden="1" x14ac:dyDescent="0.25"/>
    <row r="493" spans="1:17" x14ac:dyDescent="0.25">
      <c r="B493" s="38" t="s">
        <v>180</v>
      </c>
      <c r="C493" s="3"/>
      <c r="D493" s="3"/>
      <c r="E493" s="3"/>
      <c r="F493" s="3"/>
      <c r="G493" s="11"/>
      <c r="H493" s="11"/>
      <c r="I493" s="11"/>
      <c r="J493" s="11"/>
      <c r="K493" s="11"/>
      <c r="L493" s="35"/>
      <c r="N493" s="51"/>
      <c r="O493" s="51"/>
      <c r="P493" s="51"/>
    </row>
    <row r="494" spans="1:17" x14ac:dyDescent="0.25">
      <c r="B494" s="38"/>
      <c r="C494" s="3"/>
      <c r="D494" s="3"/>
      <c r="E494" s="3"/>
      <c r="F494" s="3"/>
      <c r="G494" s="11"/>
      <c r="H494" s="11"/>
      <c r="I494" s="11"/>
      <c r="J494" s="11"/>
      <c r="K494" s="11"/>
      <c r="L494" s="35"/>
      <c r="N494" s="51"/>
      <c r="O494" s="51"/>
      <c r="P494" s="51"/>
    </row>
    <row r="495" spans="1:17" x14ac:dyDescent="0.25">
      <c r="A495" s="19">
        <v>1</v>
      </c>
      <c r="B495" s="13" t="str">
        <f>B489</f>
        <v>12/00 Balance Per Books:</v>
      </c>
      <c r="C495" s="14">
        <f>C489</f>
        <v>4629245</v>
      </c>
      <c r="D495" s="14">
        <f>D489</f>
        <v>-2843646</v>
      </c>
      <c r="E495" s="14">
        <f>E489</f>
        <v>7472891</v>
      </c>
      <c r="F495" s="45">
        <v>87992</v>
      </c>
      <c r="G495" s="15"/>
      <c r="H495" s="15"/>
      <c r="I495" s="53">
        <v>8.9849999999999994</v>
      </c>
      <c r="J495" s="15"/>
      <c r="K495" s="15"/>
      <c r="L495" s="31">
        <f>L489</f>
        <v>67055934.814200021</v>
      </c>
      <c r="N495" s="52">
        <v>-87992</v>
      </c>
      <c r="O495" s="51"/>
      <c r="P495" s="52">
        <f>E495*I495</f>
        <v>67143925.63499999</v>
      </c>
      <c r="Q495" s="43"/>
    </row>
    <row r="496" spans="1:17" x14ac:dyDescent="0.25">
      <c r="B496" s="8"/>
      <c r="C496" s="16"/>
      <c r="D496" s="16"/>
      <c r="E496" s="3"/>
      <c r="F496" s="3"/>
      <c r="G496" s="11"/>
      <c r="H496" s="11"/>
      <c r="I496" s="11"/>
      <c r="J496" s="11"/>
      <c r="K496" s="11"/>
      <c r="L496" s="3"/>
      <c r="N496" s="51"/>
      <c r="O496" s="51"/>
      <c r="P496" s="51"/>
    </row>
    <row r="497" spans="1:17" x14ac:dyDescent="0.25">
      <c r="A497" s="19">
        <v>2</v>
      </c>
      <c r="B497" s="8" t="s">
        <v>181</v>
      </c>
      <c r="C497" s="16"/>
      <c r="D497" s="16"/>
      <c r="E497" s="3">
        <f>E495</f>
        <v>7472891</v>
      </c>
      <c r="F497" s="3"/>
      <c r="G497" s="11">
        <v>8.9849999999999994</v>
      </c>
      <c r="H497" s="11" t="s">
        <v>73</v>
      </c>
      <c r="I497" s="11">
        <v>8.24</v>
      </c>
      <c r="J497" s="11">
        <f>I497-G497</f>
        <v>-0.74499999999999922</v>
      </c>
      <c r="K497" s="11"/>
      <c r="L497" s="3">
        <f>E497*J497</f>
        <v>-5567303.7949999943</v>
      </c>
      <c r="N497" s="51"/>
      <c r="O497" s="51"/>
      <c r="P497" s="51"/>
    </row>
    <row r="498" spans="1:17" x14ac:dyDescent="0.25">
      <c r="B498" s="2"/>
      <c r="C498" s="3"/>
      <c r="D498" s="3"/>
      <c r="E498" s="3"/>
      <c r="F498" s="3"/>
      <c r="G498" s="11"/>
      <c r="H498" s="11"/>
      <c r="I498" s="11"/>
      <c r="J498" s="11"/>
      <c r="K498" s="11"/>
      <c r="L498" s="3"/>
      <c r="N498" s="51"/>
      <c r="O498" s="51"/>
      <c r="P498" s="51"/>
    </row>
    <row r="499" spans="1:17" x14ac:dyDescent="0.25">
      <c r="A499" s="19">
        <v>3</v>
      </c>
      <c r="B499" s="8" t="s">
        <v>182</v>
      </c>
      <c r="C499" s="16"/>
      <c r="D499" s="16"/>
      <c r="E499" s="3"/>
      <c r="F499" s="3"/>
      <c r="G499" s="11"/>
      <c r="H499" s="11"/>
      <c r="I499" s="11"/>
      <c r="J499" s="11"/>
      <c r="K499" s="11"/>
      <c r="L499" s="3"/>
      <c r="N499" s="51"/>
      <c r="O499" s="51"/>
      <c r="P499" s="51"/>
    </row>
    <row r="500" spans="1:17" x14ac:dyDescent="0.25">
      <c r="A500" s="19">
        <v>4</v>
      </c>
      <c r="B500" s="2" t="s">
        <v>97</v>
      </c>
      <c r="C500" s="3"/>
      <c r="D500" s="3"/>
      <c r="E500" s="3">
        <v>-1720377</v>
      </c>
      <c r="F500" s="3">
        <v>-14150414</v>
      </c>
      <c r="G500" s="11">
        <f>F500/E500</f>
        <v>8.2251820385880539</v>
      </c>
      <c r="H500" s="11"/>
      <c r="I500" s="11">
        <f>I497</f>
        <v>8.24</v>
      </c>
      <c r="J500" s="11">
        <f>I500-G500</f>
        <v>1.4817961411946357E-2</v>
      </c>
      <c r="K500" s="11"/>
      <c r="L500" s="3">
        <f>E500*J500</f>
        <v>-25492.480000000036</v>
      </c>
      <c r="N500" s="51"/>
      <c r="O500" s="51"/>
      <c r="P500" s="51"/>
    </row>
    <row r="501" spans="1:17" x14ac:dyDescent="0.25">
      <c r="A501" s="19">
        <v>5</v>
      </c>
      <c r="B501" s="2" t="s">
        <v>98</v>
      </c>
      <c r="C501" s="3"/>
      <c r="D501" s="3"/>
      <c r="E501" s="3"/>
      <c r="F501" s="3">
        <v>389236</v>
      </c>
      <c r="G501" s="11"/>
      <c r="H501" s="11"/>
      <c r="I501" s="11"/>
      <c r="J501" s="11"/>
      <c r="K501" s="11"/>
      <c r="L501" s="3">
        <f>-F501</f>
        <v>-389236</v>
      </c>
      <c r="N501" s="51"/>
      <c r="O501" s="51"/>
      <c r="P501" s="51"/>
    </row>
    <row r="502" spans="1:17" x14ac:dyDescent="0.25">
      <c r="A502" s="19">
        <v>6</v>
      </c>
      <c r="B502" s="2" t="s">
        <v>0</v>
      </c>
      <c r="C502" s="3"/>
      <c r="D502" s="3"/>
      <c r="E502" s="3">
        <v>-3741357</v>
      </c>
      <c r="F502" s="3">
        <v>-39738750</v>
      </c>
      <c r="G502" s="11">
        <f>F502/E502</f>
        <v>10.621480387998258</v>
      </c>
      <c r="H502" s="11"/>
      <c r="I502" s="11">
        <f>I497</f>
        <v>8.24</v>
      </c>
      <c r="J502" s="11">
        <f>I502-G502</f>
        <v>-2.3814803879982573</v>
      </c>
      <c r="K502" s="11"/>
      <c r="L502" s="3">
        <f>E502*J502</f>
        <v>8909968.3199999966</v>
      </c>
      <c r="N502" s="51"/>
      <c r="O502" s="51"/>
      <c r="P502" s="51"/>
    </row>
    <row r="503" spans="1:17" x14ac:dyDescent="0.25">
      <c r="A503" s="19">
        <v>7</v>
      </c>
      <c r="B503" s="2" t="s">
        <v>81</v>
      </c>
      <c r="C503" s="1"/>
      <c r="D503" s="1"/>
      <c r="E503" s="1">
        <v>119143</v>
      </c>
      <c r="F503" s="1">
        <v>1041221</v>
      </c>
      <c r="G503" s="11">
        <f>F503/E503</f>
        <v>8.739254509287159</v>
      </c>
      <c r="H503" s="11"/>
      <c r="I503" s="11">
        <f>I497</f>
        <v>8.24</v>
      </c>
      <c r="J503" s="11">
        <f>I503-G503</f>
        <v>-0.49925450928715875</v>
      </c>
      <c r="K503" s="11"/>
      <c r="L503" s="1">
        <f>E503*J503</f>
        <v>-59482.679999999957</v>
      </c>
      <c r="N503" s="51"/>
      <c r="O503" s="51"/>
      <c r="P503" s="51"/>
    </row>
    <row r="504" spans="1:17" x14ac:dyDescent="0.25">
      <c r="A504" s="19">
        <v>8</v>
      </c>
      <c r="B504" s="2" t="s">
        <v>185</v>
      </c>
      <c r="C504" s="3">
        <f>D504+E504</f>
        <v>-5141526</v>
      </c>
      <c r="D504" s="3">
        <v>201065</v>
      </c>
      <c r="E504" s="3">
        <f>SUM(E500:E503)</f>
        <v>-5342591</v>
      </c>
      <c r="F504" s="3">
        <f>SUM(F500:F503)</f>
        <v>-52458707</v>
      </c>
      <c r="G504" s="11"/>
      <c r="H504" s="11"/>
      <c r="I504" s="11"/>
      <c r="J504" s="11"/>
      <c r="K504" s="11"/>
      <c r="L504" s="3">
        <f>SUM(L500:L503)</f>
        <v>8435757.1599999964</v>
      </c>
      <c r="N504" s="51">
        <f>F504*-1</f>
        <v>52458707</v>
      </c>
      <c r="O504" s="51"/>
      <c r="P504" s="51"/>
    </row>
    <row r="505" spans="1:17" x14ac:dyDescent="0.25">
      <c r="N505" s="51"/>
      <c r="O505" s="51"/>
      <c r="P505" s="51"/>
    </row>
    <row r="506" spans="1:17" x14ac:dyDescent="0.25">
      <c r="A506" s="19">
        <v>9</v>
      </c>
      <c r="B506" s="13" t="s">
        <v>186</v>
      </c>
      <c r="C506" s="14">
        <f>C495+C504</f>
        <v>-512281</v>
      </c>
      <c r="D506" s="14">
        <f>D495+D504</f>
        <v>-2642581</v>
      </c>
      <c r="E506" s="14">
        <f>E495+E504</f>
        <v>2130300</v>
      </c>
      <c r="F506" s="45">
        <f>F495+F504</f>
        <v>-52370715</v>
      </c>
      <c r="G506" s="15"/>
      <c r="H506" s="15"/>
      <c r="I506" s="53">
        <v>8.24</v>
      </c>
      <c r="J506" s="15"/>
      <c r="K506" s="15"/>
      <c r="L506" s="31">
        <f>L495+L497+L504</f>
        <v>69924388.179200023</v>
      </c>
      <c r="N506" s="52">
        <f>N495+N504</f>
        <v>52370715</v>
      </c>
      <c r="O506" s="51"/>
      <c r="P506" s="52">
        <f>E506*I506</f>
        <v>17553672</v>
      </c>
      <c r="Q506" s="43"/>
    </row>
    <row r="507" spans="1:17" x14ac:dyDescent="0.25">
      <c r="N507" s="51"/>
      <c r="O507" s="51"/>
      <c r="P507" s="51"/>
    </row>
    <row r="508" spans="1:17" x14ac:dyDescent="0.25">
      <c r="B508" s="36" t="s">
        <v>74</v>
      </c>
      <c r="N508" s="51"/>
      <c r="O508" s="51"/>
      <c r="P508" s="51"/>
    </row>
    <row r="509" spans="1:17" x14ac:dyDescent="0.25">
      <c r="N509" s="51"/>
      <c r="O509" s="51"/>
      <c r="P509" s="51"/>
    </row>
    <row r="510" spans="1:17" x14ac:dyDescent="0.25">
      <c r="B510" s="38" t="s">
        <v>199</v>
      </c>
      <c r="C510" s="3"/>
      <c r="D510" s="3"/>
      <c r="E510" s="3"/>
      <c r="F510" s="3"/>
      <c r="G510" s="11"/>
      <c r="H510" s="11"/>
      <c r="I510" s="11"/>
      <c r="J510" s="11"/>
      <c r="K510" s="11"/>
      <c r="L510" s="35"/>
      <c r="N510" s="51"/>
      <c r="O510" s="51"/>
      <c r="P510" s="51"/>
    </row>
    <row r="511" spans="1:17" x14ac:dyDescent="0.25">
      <c r="B511" s="38"/>
      <c r="C511" s="3"/>
      <c r="D511" s="3"/>
      <c r="E511" s="3"/>
      <c r="F511" s="3"/>
      <c r="G511" s="11"/>
      <c r="H511" s="11"/>
      <c r="I511" s="11"/>
      <c r="J511" s="11"/>
      <c r="K511" s="11"/>
      <c r="L511" s="35"/>
      <c r="N511" s="51"/>
      <c r="O511" s="51"/>
      <c r="P511" s="51"/>
    </row>
    <row r="512" spans="1:17" x14ac:dyDescent="0.25">
      <c r="A512" s="19">
        <v>1</v>
      </c>
      <c r="B512" s="13" t="str">
        <f>B506</f>
        <v>01/01 Balance Per Books:</v>
      </c>
      <c r="C512" s="14">
        <f>C506</f>
        <v>-512281</v>
      </c>
      <c r="D512" s="14">
        <f>D506</f>
        <v>-2642581</v>
      </c>
      <c r="E512" s="14">
        <f>E506</f>
        <v>2130300</v>
      </c>
      <c r="F512" s="45">
        <f>F506</f>
        <v>-52370715</v>
      </c>
      <c r="G512" s="15"/>
      <c r="H512" s="15"/>
      <c r="I512" s="53">
        <v>8.24</v>
      </c>
      <c r="J512" s="15"/>
      <c r="K512" s="15"/>
      <c r="L512" s="31">
        <f>L506</f>
        <v>69924388.179200023</v>
      </c>
      <c r="N512" s="52">
        <f>N506</f>
        <v>52370715</v>
      </c>
      <c r="O512" s="51"/>
      <c r="P512" s="52">
        <f>E512*I512</f>
        <v>17553672</v>
      </c>
      <c r="Q512" s="43"/>
    </row>
    <row r="513" spans="1:17" x14ac:dyDescent="0.25">
      <c r="B513" s="8"/>
      <c r="C513" s="16"/>
      <c r="D513" s="16"/>
      <c r="E513" s="3"/>
      <c r="F513" s="3"/>
      <c r="G513" s="11"/>
      <c r="H513" s="11"/>
      <c r="I513" s="11"/>
      <c r="J513" s="11"/>
      <c r="K513" s="11"/>
      <c r="L513" s="3"/>
      <c r="N513" s="51"/>
      <c r="O513" s="51"/>
      <c r="P513" s="51"/>
    </row>
    <row r="514" spans="1:17" x14ac:dyDescent="0.25">
      <c r="A514" s="19">
        <v>2</v>
      </c>
      <c r="B514" s="8" t="s">
        <v>200</v>
      </c>
      <c r="C514" s="16"/>
      <c r="D514" s="16"/>
      <c r="E514" s="3">
        <f>E512</f>
        <v>2130300</v>
      </c>
      <c r="F514" s="3"/>
      <c r="G514" s="11">
        <v>8.24</v>
      </c>
      <c r="H514" s="11" t="s">
        <v>73</v>
      </c>
      <c r="I514" s="11">
        <v>5.6802000000000001</v>
      </c>
      <c r="J514" s="11">
        <f>I514-G514</f>
        <v>-2.5598000000000001</v>
      </c>
      <c r="K514" s="11"/>
      <c r="L514" s="3">
        <f>E514*J514</f>
        <v>-5453141.9400000004</v>
      </c>
      <c r="N514" s="51"/>
      <c r="O514" s="51"/>
      <c r="P514" s="51"/>
    </row>
    <row r="515" spans="1:17" x14ac:dyDescent="0.25">
      <c r="B515" s="2"/>
      <c r="C515" s="3"/>
      <c r="D515" s="3"/>
      <c r="E515" s="3"/>
      <c r="F515" s="3"/>
      <c r="G515" s="11"/>
      <c r="H515" s="11"/>
      <c r="I515" s="11"/>
      <c r="J515" s="11"/>
      <c r="K515" s="11"/>
      <c r="L515" s="3"/>
      <c r="N515" s="51"/>
      <c r="O515" s="51"/>
      <c r="P515" s="51"/>
    </row>
    <row r="516" spans="1:17" x14ac:dyDescent="0.25">
      <c r="A516" s="19">
        <v>3</v>
      </c>
      <c r="B516" s="8" t="s">
        <v>201</v>
      </c>
      <c r="C516" s="16"/>
      <c r="D516" s="16"/>
      <c r="E516" s="3"/>
      <c r="F516" s="3"/>
      <c r="G516" s="11"/>
      <c r="H516" s="11"/>
      <c r="I516" s="11"/>
      <c r="J516" s="11"/>
      <c r="K516" s="11"/>
      <c r="L516" s="3"/>
      <c r="N516" s="51"/>
      <c r="O516" s="51"/>
      <c r="P516" s="51"/>
    </row>
    <row r="517" spans="1:17" x14ac:dyDescent="0.25">
      <c r="A517" s="19">
        <v>4</v>
      </c>
      <c r="B517" s="2" t="s">
        <v>97</v>
      </c>
      <c r="C517" s="3"/>
      <c r="D517" s="3"/>
      <c r="E517" s="3">
        <v>-1505362</v>
      </c>
      <c r="F517" s="3">
        <f>-8213093-F518</f>
        <v>-8394473</v>
      </c>
      <c r="G517" s="11">
        <f>F517/E517</f>
        <v>5.5763816278077964</v>
      </c>
      <c r="H517" s="11"/>
      <c r="I517" s="11">
        <f>I514</f>
        <v>5.6802000000000001</v>
      </c>
      <c r="J517" s="11">
        <f>I517-G517</f>
        <v>0.10381837219220369</v>
      </c>
      <c r="K517" s="11"/>
      <c r="L517" s="3">
        <f>E517*J517</f>
        <v>-156284.23240000012</v>
      </c>
      <c r="N517" s="51"/>
      <c r="O517" s="51"/>
      <c r="P517" s="51"/>
    </row>
    <row r="518" spans="1:17" x14ac:dyDescent="0.25">
      <c r="A518" s="19">
        <v>5</v>
      </c>
      <c r="B518" s="2" t="s">
        <v>98</v>
      </c>
      <c r="C518" s="3"/>
      <c r="D518" s="3"/>
      <c r="E518" s="3"/>
      <c r="F518" s="3">
        <v>181380</v>
      </c>
      <c r="G518" s="11"/>
      <c r="H518" s="11"/>
      <c r="I518" s="11"/>
      <c r="J518" s="11"/>
      <c r="K518" s="11"/>
      <c r="L518" s="3">
        <f>-F518</f>
        <v>-181380</v>
      </c>
      <c r="N518" s="51"/>
      <c r="O518" s="51"/>
      <c r="P518" s="51"/>
    </row>
    <row r="519" spans="1:17" x14ac:dyDescent="0.25">
      <c r="A519" s="19">
        <v>6</v>
      </c>
      <c r="B519" s="2" t="s">
        <v>0</v>
      </c>
      <c r="C519" s="3"/>
      <c r="D519" s="3"/>
      <c r="E519" s="3">
        <v>0</v>
      </c>
      <c r="F519" s="3">
        <v>0</v>
      </c>
      <c r="G519" s="11"/>
      <c r="H519" s="11"/>
      <c r="I519" s="11">
        <f>I514</f>
        <v>5.6802000000000001</v>
      </c>
      <c r="J519" s="11">
        <f>I519-G519</f>
        <v>5.6802000000000001</v>
      </c>
      <c r="K519" s="11"/>
      <c r="L519" s="3">
        <f>E519*J519</f>
        <v>0</v>
      </c>
      <c r="N519" s="51"/>
      <c r="O519" s="51"/>
      <c r="P519" s="51"/>
    </row>
    <row r="520" spans="1:17" x14ac:dyDescent="0.25">
      <c r="A520" s="19">
        <v>7</v>
      </c>
      <c r="B520" s="2" t="s">
        <v>81</v>
      </c>
      <c r="C520" s="1"/>
      <c r="D520" s="1"/>
      <c r="E520" s="1">
        <f>84+132054+5909</f>
        <v>138047</v>
      </c>
      <c r="F520" s="1">
        <f>721+1056170+48320-3</f>
        <v>1105208</v>
      </c>
      <c r="G520" s="11">
        <f>F520/E520</f>
        <v>8.0060269328562015</v>
      </c>
      <c r="H520" s="11"/>
      <c r="I520" s="11">
        <f>I514</f>
        <v>5.6802000000000001</v>
      </c>
      <c r="J520" s="11">
        <f>I520-G520</f>
        <v>-2.3258269328562013</v>
      </c>
      <c r="K520" s="11"/>
      <c r="L520" s="1">
        <f>E520*J520-2</f>
        <v>-321075.43060000002</v>
      </c>
      <c r="N520" s="51"/>
      <c r="O520" s="51"/>
      <c r="P520" s="51"/>
    </row>
    <row r="521" spans="1:17" x14ac:dyDescent="0.25">
      <c r="A521" s="19">
        <v>8</v>
      </c>
      <c r="B521" s="2" t="s">
        <v>203</v>
      </c>
      <c r="C521" s="3">
        <f>D521+E521</f>
        <v>-2199773</v>
      </c>
      <c r="D521" s="3">
        <v>-832458</v>
      </c>
      <c r="E521" s="3">
        <f>SUM(E517:E520)</f>
        <v>-1367315</v>
      </c>
      <c r="F521" s="3">
        <f>SUM(F517:F520)</f>
        <v>-7107885</v>
      </c>
      <c r="G521" s="11"/>
      <c r="H521" s="11"/>
      <c r="I521" s="11"/>
      <c r="J521" s="11"/>
      <c r="K521" s="11"/>
      <c r="L521" s="3">
        <f>SUM(L517:L520)</f>
        <v>-658739.66300000018</v>
      </c>
      <c r="N521" s="51">
        <f>F521*-1</f>
        <v>7107885</v>
      </c>
      <c r="O521" s="51"/>
      <c r="P521" s="51"/>
    </row>
    <row r="522" spans="1:17" x14ac:dyDescent="0.25">
      <c r="N522" s="51"/>
      <c r="O522" s="51"/>
      <c r="P522" s="51"/>
    </row>
    <row r="523" spans="1:17" x14ac:dyDescent="0.25">
      <c r="A523" s="19">
        <v>9</v>
      </c>
      <c r="B523" s="13" t="s">
        <v>202</v>
      </c>
      <c r="C523" s="14">
        <f>C512+C521</f>
        <v>-2712054</v>
      </c>
      <c r="D523" s="14">
        <f>D512+D521</f>
        <v>-3475039</v>
      </c>
      <c r="E523" s="14">
        <f>E512+E521</f>
        <v>762985</v>
      </c>
      <c r="F523" s="45">
        <f>F512+F521</f>
        <v>-59478600</v>
      </c>
      <c r="G523" s="15"/>
      <c r="H523" s="15"/>
      <c r="I523" s="53">
        <v>5.6802000000000001</v>
      </c>
      <c r="J523" s="15"/>
      <c r="K523" s="15"/>
      <c r="L523" s="31">
        <f>L512+L514+L521</f>
        <v>63812506.576200023</v>
      </c>
      <c r="N523" s="52">
        <f>N512+N521</f>
        <v>59478600</v>
      </c>
      <c r="O523" s="51"/>
      <c r="P523" s="52">
        <f>E523*I523</f>
        <v>4333907.3969999999</v>
      </c>
      <c r="Q523" s="43"/>
    </row>
    <row r="524" spans="1:17" x14ac:dyDescent="0.25">
      <c r="N524" s="51"/>
      <c r="O524" s="51"/>
      <c r="P524" s="51"/>
    </row>
    <row r="525" spans="1:17" x14ac:dyDescent="0.25">
      <c r="B525" s="36" t="s">
        <v>74</v>
      </c>
      <c r="N525" s="51"/>
      <c r="O525" s="51"/>
      <c r="P525" s="51"/>
    </row>
    <row r="526" spans="1:17" x14ac:dyDescent="0.25">
      <c r="N526" s="51"/>
      <c r="O526" s="51"/>
      <c r="P526" s="51"/>
    </row>
    <row r="527" spans="1:17" x14ac:dyDescent="0.25">
      <c r="B527" s="38" t="s">
        <v>210</v>
      </c>
      <c r="C527" s="3"/>
      <c r="D527" s="3"/>
      <c r="E527" s="3"/>
      <c r="F527" s="3"/>
      <c r="G527" s="11"/>
      <c r="H527" s="11"/>
      <c r="I527" s="11"/>
      <c r="J527" s="11"/>
      <c r="K527" s="11"/>
      <c r="L527" s="35"/>
      <c r="N527" s="51"/>
      <c r="O527" s="51"/>
      <c r="P527" s="51"/>
    </row>
    <row r="528" spans="1:17" x14ac:dyDescent="0.25">
      <c r="B528" s="38"/>
      <c r="C528" s="3"/>
      <c r="D528" s="3"/>
      <c r="E528" s="3"/>
      <c r="F528" s="3"/>
      <c r="G528" s="11"/>
      <c r="H528" s="11"/>
      <c r="I528" s="11"/>
      <c r="J528" s="11"/>
      <c r="K528" s="11"/>
      <c r="L528" s="35"/>
      <c r="N528" s="51"/>
      <c r="O528" s="51"/>
      <c r="P528" s="51"/>
    </row>
    <row r="529" spans="1:17" x14ac:dyDescent="0.25">
      <c r="A529" s="19">
        <v>1</v>
      </c>
      <c r="B529" s="13" t="str">
        <f>B523</f>
        <v>02/01 Balance Per Books:</v>
      </c>
      <c r="C529" s="14">
        <f>C523</f>
        <v>-2712054</v>
      </c>
      <c r="D529" s="14">
        <f>D523</f>
        <v>-3475039</v>
      </c>
      <c r="E529" s="14">
        <f>E523</f>
        <v>762985</v>
      </c>
      <c r="F529" s="45">
        <f>F523</f>
        <v>-59478600</v>
      </c>
      <c r="G529" s="15"/>
      <c r="H529" s="15"/>
      <c r="I529" s="53">
        <f>I523</f>
        <v>5.6802000000000001</v>
      </c>
      <c r="J529" s="15"/>
      <c r="K529" s="15"/>
      <c r="L529" s="31">
        <f>L523</f>
        <v>63812506.576200023</v>
      </c>
      <c r="N529" s="52">
        <f>N523</f>
        <v>59478600</v>
      </c>
      <c r="O529" s="51"/>
      <c r="P529" s="52">
        <f>E529*I529</f>
        <v>4333907.3969999999</v>
      </c>
      <c r="Q529" s="43"/>
    </row>
    <row r="530" spans="1:17" x14ac:dyDescent="0.25">
      <c r="B530" s="8"/>
      <c r="C530" s="16"/>
      <c r="D530" s="16"/>
      <c r="E530" s="3"/>
      <c r="F530" s="3"/>
      <c r="G530" s="11"/>
      <c r="H530" s="11"/>
      <c r="I530" s="11"/>
      <c r="J530" s="11"/>
      <c r="K530" s="11"/>
      <c r="L530" s="3"/>
      <c r="N530" s="51"/>
      <c r="O530" s="51"/>
      <c r="P530" s="51"/>
    </row>
    <row r="531" spans="1:17" x14ac:dyDescent="0.25">
      <c r="A531" s="19">
        <v>2</v>
      </c>
      <c r="B531" s="8" t="s">
        <v>211</v>
      </c>
      <c r="C531" s="16"/>
      <c r="D531" s="16"/>
      <c r="E531" s="3">
        <f>E529</f>
        <v>762985</v>
      </c>
      <c r="F531" s="3"/>
      <c r="G531" s="11">
        <f>I529</f>
        <v>5.6802000000000001</v>
      </c>
      <c r="H531" s="11" t="s">
        <v>73</v>
      </c>
      <c r="I531" s="11">
        <v>5.1093000000000002</v>
      </c>
      <c r="J531" s="11">
        <f>I531-G531</f>
        <v>-0.57089999999999996</v>
      </c>
      <c r="K531" s="11"/>
      <c r="L531" s="3">
        <f>E531*J531</f>
        <v>-435588.13649999996</v>
      </c>
      <c r="N531" s="51"/>
      <c r="O531" s="51"/>
      <c r="P531" s="51"/>
    </row>
    <row r="532" spans="1:17" x14ac:dyDescent="0.25">
      <c r="B532" s="2"/>
      <c r="C532" s="3"/>
      <c r="D532" s="3"/>
      <c r="E532" s="3"/>
      <c r="F532" s="3"/>
      <c r="G532" s="11"/>
      <c r="H532" s="11"/>
      <c r="I532" s="11"/>
      <c r="J532" s="11"/>
      <c r="K532" s="11"/>
      <c r="L532" s="3"/>
      <c r="N532" s="51"/>
      <c r="O532" s="51"/>
      <c r="P532" s="51"/>
    </row>
    <row r="533" spans="1:17" x14ac:dyDescent="0.25">
      <c r="A533" s="19">
        <v>3</v>
      </c>
      <c r="B533" s="8" t="s">
        <v>212</v>
      </c>
      <c r="C533" s="16"/>
      <c r="D533" s="16"/>
      <c r="E533" s="3"/>
      <c r="F533" s="3"/>
      <c r="G533" s="11"/>
      <c r="H533" s="11"/>
      <c r="I533" s="11"/>
      <c r="J533" s="11"/>
      <c r="K533" s="11"/>
      <c r="L533" s="3"/>
      <c r="N533" s="51"/>
      <c r="O533" s="51"/>
      <c r="P533" s="51"/>
    </row>
    <row r="534" spans="1:17" x14ac:dyDescent="0.25">
      <c r="A534" s="19">
        <v>4</v>
      </c>
      <c r="B534" s="2" t="s">
        <v>97</v>
      </c>
      <c r="C534" s="3"/>
      <c r="D534" s="3"/>
      <c r="E534" s="3">
        <v>207686</v>
      </c>
      <c r="F534" s="3">
        <f>412421-F535</f>
        <v>293118</v>
      </c>
      <c r="G534" s="11">
        <f>F534/E534</f>
        <v>1.4113517521643251</v>
      </c>
      <c r="H534" s="11"/>
      <c r="I534" s="11">
        <f>I531</f>
        <v>5.1093000000000002</v>
      </c>
      <c r="J534" s="11">
        <f>I534-G534</f>
        <v>3.6979482478356749</v>
      </c>
      <c r="K534" s="11"/>
      <c r="L534" s="3">
        <f>E534*J534</f>
        <v>768012.07979999995</v>
      </c>
      <c r="N534" s="51"/>
      <c r="O534" s="51"/>
      <c r="P534" s="51"/>
    </row>
    <row r="535" spans="1:17" x14ac:dyDescent="0.25">
      <c r="A535" s="19">
        <v>5</v>
      </c>
      <c r="B535" s="2" t="s">
        <v>98</v>
      </c>
      <c r="C535" s="3"/>
      <c r="D535" s="3"/>
      <c r="E535" s="3"/>
      <c r="F535" s="3">
        <v>119303</v>
      </c>
      <c r="G535" s="11"/>
      <c r="H535" s="11"/>
      <c r="I535" s="11"/>
      <c r="J535" s="11"/>
      <c r="K535" s="11"/>
      <c r="L535" s="3">
        <f>-F535</f>
        <v>-119303</v>
      </c>
      <c r="N535" s="51"/>
      <c r="O535" s="51"/>
      <c r="P535" s="51"/>
    </row>
    <row r="536" spans="1:17" x14ac:dyDescent="0.25">
      <c r="A536" s="19">
        <v>6</v>
      </c>
      <c r="B536" s="2" t="s">
        <v>0</v>
      </c>
      <c r="C536" s="3"/>
      <c r="D536" s="3"/>
      <c r="E536" s="3">
        <v>0</v>
      </c>
      <c r="F536" s="3">
        <v>0</v>
      </c>
      <c r="G536" s="11"/>
      <c r="H536" s="11"/>
      <c r="I536" s="11">
        <f>I531</f>
        <v>5.1093000000000002</v>
      </c>
      <c r="J536" s="11">
        <f>I536-G536</f>
        <v>5.1093000000000002</v>
      </c>
      <c r="K536" s="11"/>
      <c r="L536" s="3">
        <f>E536*J536</f>
        <v>0</v>
      </c>
      <c r="N536" s="51"/>
      <c r="O536" s="51"/>
      <c r="P536" s="51"/>
    </row>
    <row r="537" spans="1:17" x14ac:dyDescent="0.25">
      <c r="A537" s="19">
        <v>7</v>
      </c>
      <c r="B537" s="2" t="s">
        <v>81</v>
      </c>
      <c r="C537" s="1"/>
      <c r="D537" s="1"/>
      <c r="E537" s="1">
        <f>73+115469+5685</f>
        <v>121227</v>
      </c>
      <c r="F537" s="1">
        <f>423+639755+31105</f>
        <v>671283</v>
      </c>
      <c r="G537" s="11">
        <f>F537/E537</f>
        <v>5.5374050335321341</v>
      </c>
      <c r="H537" s="11"/>
      <c r="I537" s="11">
        <f>I531</f>
        <v>5.1093000000000002</v>
      </c>
      <c r="J537" s="11">
        <f>I537-G537</f>
        <v>-0.42810503353213392</v>
      </c>
      <c r="K537" s="11"/>
      <c r="L537" s="1">
        <f>E537*J537+1</f>
        <v>-51896.888899999998</v>
      </c>
      <c r="N537" s="51"/>
      <c r="O537" s="51"/>
      <c r="P537" s="51"/>
    </row>
    <row r="538" spans="1:17" x14ac:dyDescent="0.25">
      <c r="A538" s="19">
        <v>8</v>
      </c>
      <c r="B538" s="2" t="s">
        <v>213</v>
      </c>
      <c r="C538" s="3">
        <f>D538+E538</f>
        <v>-1340</v>
      </c>
      <c r="D538" s="3">
        <v>-330253</v>
      </c>
      <c r="E538" s="3">
        <f>SUM(E534:E537)</f>
        <v>328913</v>
      </c>
      <c r="F538" s="3">
        <f>SUM(F534:F537)</f>
        <v>1083704</v>
      </c>
      <c r="G538" s="11"/>
      <c r="H538" s="11"/>
      <c r="I538" s="11"/>
      <c r="J538" s="11"/>
      <c r="K538" s="11"/>
      <c r="L538" s="3">
        <f>SUM(L534:L537)</f>
        <v>596812.19089999993</v>
      </c>
      <c r="N538" s="51">
        <f>F538*-1</f>
        <v>-1083704</v>
      </c>
      <c r="O538" s="51"/>
      <c r="P538" s="51"/>
    </row>
    <row r="539" spans="1:17" x14ac:dyDescent="0.25">
      <c r="N539" s="51"/>
      <c r="O539" s="51"/>
      <c r="P539" s="51"/>
    </row>
    <row r="540" spans="1:17" x14ac:dyDescent="0.25">
      <c r="A540" s="19">
        <v>9</v>
      </c>
      <c r="B540" s="13" t="s">
        <v>214</v>
      </c>
      <c r="C540" s="14">
        <f>C529+C538</f>
        <v>-2713394</v>
      </c>
      <c r="D540" s="14">
        <f>D529+D538</f>
        <v>-3805292</v>
      </c>
      <c r="E540" s="14">
        <f>E529+E538</f>
        <v>1091898</v>
      </c>
      <c r="F540" s="45">
        <f>F529+F538</f>
        <v>-58394896</v>
      </c>
      <c r="G540" s="15"/>
      <c r="H540" s="15"/>
      <c r="I540" s="53">
        <f>I531</f>
        <v>5.1093000000000002</v>
      </c>
      <c r="J540" s="15"/>
      <c r="K540" s="15"/>
      <c r="L540" s="31">
        <f>L529+L531+L538</f>
        <v>63973730.63060002</v>
      </c>
      <c r="N540" s="52">
        <f>N529+N538</f>
        <v>58394896</v>
      </c>
      <c r="O540" s="51"/>
      <c r="P540" s="52">
        <f>E540*I540+1</f>
        <v>5578835.4514000006</v>
      </c>
      <c r="Q540" s="43"/>
    </row>
    <row r="541" spans="1:17" x14ac:dyDescent="0.25">
      <c r="N541" s="51"/>
      <c r="O541" s="51"/>
      <c r="P541" s="51"/>
    </row>
    <row r="542" spans="1:17" x14ac:dyDescent="0.25">
      <c r="B542" s="36" t="s">
        <v>74</v>
      </c>
      <c r="N542" s="51"/>
      <c r="O542" s="51"/>
      <c r="P542" s="51"/>
    </row>
    <row r="543" spans="1:17" x14ac:dyDescent="0.25">
      <c r="N543" s="51"/>
      <c r="O543" s="51"/>
      <c r="P543" s="51"/>
    </row>
    <row r="544" spans="1:17" x14ac:dyDescent="0.25">
      <c r="B544" s="38" t="s">
        <v>216</v>
      </c>
      <c r="C544" s="3"/>
      <c r="D544" s="3"/>
      <c r="E544" s="3"/>
      <c r="F544" s="3"/>
      <c r="G544" s="11"/>
      <c r="H544" s="11"/>
      <c r="I544" s="11"/>
      <c r="J544" s="11"/>
      <c r="K544" s="11"/>
      <c r="L544" s="35"/>
      <c r="N544" s="51"/>
      <c r="O544" s="51"/>
      <c r="P544" s="51"/>
    </row>
    <row r="545" spans="1:17" x14ac:dyDescent="0.25">
      <c r="B545" s="38"/>
      <c r="C545" s="3"/>
      <c r="D545" s="3"/>
      <c r="E545" s="3"/>
      <c r="F545" s="3"/>
      <c r="G545" s="11"/>
      <c r="H545" s="11"/>
      <c r="I545" s="11"/>
      <c r="J545" s="11"/>
      <c r="K545" s="11"/>
      <c r="L545" s="35"/>
      <c r="N545" s="51"/>
      <c r="O545" s="51"/>
      <c r="P545" s="51"/>
    </row>
    <row r="546" spans="1:17" x14ac:dyDescent="0.25">
      <c r="A546" s="19">
        <v>1</v>
      </c>
      <c r="B546" s="13" t="str">
        <f>B540</f>
        <v>03/01 Balance Per Books:</v>
      </c>
      <c r="C546" s="14">
        <f>C540</f>
        <v>-2713394</v>
      </c>
      <c r="D546" s="14">
        <f>D540</f>
        <v>-3805292</v>
      </c>
      <c r="E546" s="14">
        <f>E540</f>
        <v>1091898</v>
      </c>
      <c r="F546" s="45">
        <f>F540</f>
        <v>-58394896</v>
      </c>
      <c r="G546" s="15"/>
      <c r="H546" s="15"/>
      <c r="I546" s="53">
        <f>I540</f>
        <v>5.1093000000000002</v>
      </c>
      <c r="J546" s="15"/>
      <c r="K546" s="15"/>
      <c r="L546" s="31">
        <f>L540</f>
        <v>63973730.63060002</v>
      </c>
      <c r="N546" s="52">
        <f>N540</f>
        <v>58394896</v>
      </c>
      <c r="O546" s="51"/>
      <c r="P546" s="52">
        <f>E546*I546</f>
        <v>5578834.4514000006</v>
      </c>
      <c r="Q546" s="43"/>
    </row>
    <row r="547" spans="1:17" x14ac:dyDescent="0.25">
      <c r="B547" s="8"/>
      <c r="C547" s="16"/>
      <c r="D547" s="16"/>
      <c r="E547" s="3"/>
      <c r="F547" s="3"/>
      <c r="G547" s="11"/>
      <c r="H547" s="11"/>
      <c r="I547" s="11"/>
      <c r="J547" s="11"/>
      <c r="K547" s="11"/>
      <c r="L547" s="3"/>
      <c r="N547" s="51"/>
      <c r="O547" s="51"/>
      <c r="P547" s="51"/>
    </row>
    <row r="548" spans="1:17" x14ac:dyDescent="0.25">
      <c r="A548" s="19">
        <v>2</v>
      </c>
      <c r="B548" s="8" t="s">
        <v>217</v>
      </c>
      <c r="C548" s="16"/>
      <c r="D548" s="16"/>
      <c r="E548" s="3">
        <f>E546</f>
        <v>1091898</v>
      </c>
      <c r="F548" s="3"/>
      <c r="G548" s="11">
        <f>I546</f>
        <v>5.1093000000000002</v>
      </c>
      <c r="H548" s="11" t="s">
        <v>73</v>
      </c>
      <c r="I548" s="11">
        <v>5.0522</v>
      </c>
      <c r="J548" s="11">
        <f>I548-G548</f>
        <v>-5.7100000000000151E-2</v>
      </c>
      <c r="K548" s="11"/>
      <c r="L548" s="3">
        <f>E548*J548</f>
        <v>-62347.375800000162</v>
      </c>
      <c r="N548" s="51"/>
      <c r="O548" s="51"/>
      <c r="P548" s="51"/>
    </row>
    <row r="549" spans="1:17" x14ac:dyDescent="0.25">
      <c r="B549" s="2"/>
      <c r="C549" s="3"/>
      <c r="D549" s="3"/>
      <c r="E549" s="3"/>
      <c r="F549" s="3"/>
      <c r="G549" s="11"/>
      <c r="H549" s="11"/>
      <c r="I549" s="11"/>
      <c r="J549" s="11"/>
      <c r="K549" s="11"/>
      <c r="L549" s="3"/>
      <c r="N549" s="51"/>
      <c r="O549" s="51"/>
      <c r="P549" s="51"/>
    </row>
    <row r="550" spans="1:17" x14ac:dyDescent="0.25">
      <c r="A550" s="19">
        <v>3</v>
      </c>
      <c r="B550" s="8" t="s">
        <v>218</v>
      </c>
      <c r="C550" s="16"/>
      <c r="D550" s="16"/>
      <c r="E550" s="3"/>
      <c r="F550" s="3"/>
      <c r="G550" s="11"/>
      <c r="H550" s="11"/>
      <c r="I550" s="11"/>
      <c r="J550" s="11"/>
      <c r="K550" s="11"/>
      <c r="L550" s="3"/>
      <c r="N550" s="51"/>
      <c r="O550" s="51"/>
      <c r="P550" s="51"/>
    </row>
    <row r="551" spans="1:17" x14ac:dyDescent="0.25">
      <c r="A551" s="19">
        <v>4</v>
      </c>
      <c r="B551" s="2" t="s">
        <v>97</v>
      </c>
      <c r="C551" s="3"/>
      <c r="D551" s="3"/>
      <c r="E551" s="3">
        <v>-722337</v>
      </c>
      <c r="F551" s="3">
        <f>-3537508-F552</f>
        <v>-3575769</v>
      </c>
      <c r="G551" s="11">
        <f>F551/E551</f>
        <v>4.9502780558105153</v>
      </c>
      <c r="H551" s="11"/>
      <c r="I551" s="11">
        <f>I548</f>
        <v>5.0522</v>
      </c>
      <c r="J551" s="11">
        <f>I551-G551</f>
        <v>0.10192194418948475</v>
      </c>
      <c r="K551" s="11"/>
      <c r="L551" s="3">
        <f>E551*J551</f>
        <v>-73621.991399999839</v>
      </c>
      <c r="N551" s="51"/>
      <c r="O551" s="51"/>
      <c r="P551" s="51"/>
    </row>
    <row r="552" spans="1:17" x14ac:dyDescent="0.25">
      <c r="A552" s="19">
        <v>5</v>
      </c>
      <c r="B552" s="2" t="s">
        <v>98</v>
      </c>
      <c r="C552" s="3"/>
      <c r="D552" s="3"/>
      <c r="E552" s="3"/>
      <c r="F552" s="3">
        <v>38261</v>
      </c>
      <c r="G552" s="11"/>
      <c r="H552" s="11"/>
      <c r="I552" s="11"/>
      <c r="J552" s="11"/>
      <c r="K552" s="11"/>
      <c r="L552" s="3">
        <f>-F552</f>
        <v>-38261</v>
      </c>
      <c r="N552" s="51"/>
      <c r="O552" s="51"/>
      <c r="P552" s="51"/>
    </row>
    <row r="553" spans="1:17" x14ac:dyDescent="0.25">
      <c r="A553" s="19">
        <v>6</v>
      </c>
      <c r="B553" s="2" t="s">
        <v>0</v>
      </c>
      <c r="C553" s="3"/>
      <c r="D553" s="3"/>
      <c r="E553" s="3">
        <v>0</v>
      </c>
      <c r="F553" s="3">
        <v>0</v>
      </c>
      <c r="G553" s="11"/>
      <c r="H553" s="11"/>
      <c r="I553" s="11">
        <f>I548</f>
        <v>5.0522</v>
      </c>
      <c r="J553" s="11">
        <f>I553-G553</f>
        <v>5.0522</v>
      </c>
      <c r="K553" s="11"/>
      <c r="L553" s="3">
        <f>E553*J553</f>
        <v>0</v>
      </c>
      <c r="N553" s="51"/>
      <c r="O553" s="51"/>
      <c r="P553" s="51"/>
    </row>
    <row r="554" spans="1:17" x14ac:dyDescent="0.25">
      <c r="A554" s="19">
        <v>7</v>
      </c>
      <c r="B554" s="2" t="s">
        <v>81</v>
      </c>
      <c r="C554" s="1"/>
      <c r="D554" s="1"/>
      <c r="E554" s="1">
        <f>2400036+146580+4502+7138</f>
        <v>2558256</v>
      </c>
      <c r="F554" s="1">
        <f>12960939+742576+36813+34653</f>
        <v>13774981</v>
      </c>
      <c r="G554" s="11">
        <f>F554/E554</f>
        <v>5.3845201574822852</v>
      </c>
      <c r="H554" s="11"/>
      <c r="I554" s="11">
        <f>I548</f>
        <v>5.0522</v>
      </c>
      <c r="J554" s="11">
        <f>I554-G554</f>
        <v>-0.33232015748228516</v>
      </c>
      <c r="K554" s="11"/>
      <c r="L554" s="1">
        <f>E554*J554</f>
        <v>-850160.03680000093</v>
      </c>
      <c r="N554" s="51"/>
      <c r="O554" s="51"/>
      <c r="P554" s="51"/>
    </row>
    <row r="555" spans="1:17" x14ac:dyDescent="0.25">
      <c r="A555" s="19">
        <v>8</v>
      </c>
      <c r="B555" s="2" t="s">
        <v>219</v>
      </c>
      <c r="C555" s="3">
        <f>D555+E555</f>
        <v>1827580</v>
      </c>
      <c r="D555" s="3">
        <v>-8339</v>
      </c>
      <c r="E555" s="3">
        <f>SUM(E551:E554)</f>
        <v>1835919</v>
      </c>
      <c r="F555" s="3">
        <f>SUM(F551:F554)</f>
        <v>10237473</v>
      </c>
      <c r="G555" s="11"/>
      <c r="H555" s="11"/>
      <c r="I555" s="11"/>
      <c r="J555" s="11"/>
      <c r="K555" s="11"/>
      <c r="L555" s="3">
        <f>SUM(L551:L554)</f>
        <v>-962043.02820000076</v>
      </c>
      <c r="N555" s="51">
        <f>F555*-1</f>
        <v>-10237473</v>
      </c>
      <c r="O555" s="51"/>
      <c r="P555" s="51"/>
    </row>
    <row r="556" spans="1:17" x14ac:dyDescent="0.25">
      <c r="N556" s="51"/>
      <c r="O556" s="51"/>
      <c r="P556" s="51"/>
    </row>
    <row r="557" spans="1:17" x14ac:dyDescent="0.25">
      <c r="A557" s="19">
        <v>9</v>
      </c>
      <c r="B557" s="13" t="s">
        <v>220</v>
      </c>
      <c r="C557" s="14">
        <f>C546+C555</f>
        <v>-885814</v>
      </c>
      <c r="D557" s="14">
        <f>D546+D555</f>
        <v>-3813631</v>
      </c>
      <c r="E557" s="14">
        <f>E546+E555</f>
        <v>2927817</v>
      </c>
      <c r="F557" s="45">
        <f>F546+F555</f>
        <v>-48157423</v>
      </c>
      <c r="G557" s="15"/>
      <c r="H557" s="15"/>
      <c r="I557" s="53">
        <f>I548</f>
        <v>5.0522</v>
      </c>
      <c r="J557" s="15"/>
      <c r="K557" s="15"/>
      <c r="L557" s="31">
        <f>L546+L548+L555</f>
        <v>62949340.226600021</v>
      </c>
      <c r="N557" s="52">
        <f>N546+N555</f>
        <v>48157423</v>
      </c>
      <c r="O557" s="51"/>
      <c r="P557" s="52">
        <f>E557*I557</f>
        <v>14791917.0474</v>
      </c>
      <c r="Q557" s="43"/>
    </row>
    <row r="558" spans="1:17" x14ac:dyDescent="0.25">
      <c r="N558" s="51"/>
      <c r="O558" s="51"/>
      <c r="P558" s="51"/>
    </row>
    <row r="559" spans="1:17" x14ac:dyDescent="0.25">
      <c r="B559" s="36" t="s">
        <v>74</v>
      </c>
      <c r="N559" s="51"/>
      <c r="O559" s="51"/>
      <c r="P559" s="51"/>
    </row>
    <row r="560" spans="1:17" x14ac:dyDescent="0.25">
      <c r="N560" s="51"/>
      <c r="O560" s="51"/>
      <c r="P560" s="51"/>
    </row>
    <row r="561" spans="1:17" x14ac:dyDescent="0.25">
      <c r="B561" s="38" t="s">
        <v>222</v>
      </c>
      <c r="C561" s="3"/>
      <c r="D561" s="3"/>
      <c r="E561" s="3"/>
      <c r="F561" s="3"/>
      <c r="G561" s="11"/>
      <c r="H561" s="11"/>
      <c r="I561" s="11"/>
      <c r="J561" s="11"/>
      <c r="K561" s="11"/>
      <c r="L561" s="35"/>
      <c r="N561" s="51"/>
      <c r="O561" s="51"/>
      <c r="P561" s="51"/>
    </row>
    <row r="562" spans="1:17" x14ac:dyDescent="0.25">
      <c r="B562" s="38"/>
      <c r="C562" s="3"/>
      <c r="D562" s="3"/>
      <c r="E562" s="3"/>
      <c r="F562" s="3"/>
      <c r="G562" s="11"/>
      <c r="H562" s="11"/>
      <c r="I562" s="11"/>
      <c r="J562" s="11"/>
      <c r="K562" s="11"/>
      <c r="L562" s="35"/>
      <c r="N562" s="51"/>
      <c r="O562" s="51"/>
      <c r="P562" s="51"/>
    </row>
    <row r="563" spans="1:17" x14ac:dyDescent="0.25">
      <c r="A563" s="19">
        <v>1</v>
      </c>
      <c r="B563" s="13" t="str">
        <f>B557</f>
        <v>04/01 Balance Per Books:</v>
      </c>
      <c r="C563" s="14">
        <f>C557</f>
        <v>-885814</v>
      </c>
      <c r="D563" s="14">
        <f>D557</f>
        <v>-3813631</v>
      </c>
      <c r="E563" s="14">
        <f>E557</f>
        <v>2927817</v>
      </c>
      <c r="F563" s="45">
        <f>F557</f>
        <v>-48157423</v>
      </c>
      <c r="G563" s="15"/>
      <c r="H563" s="15"/>
      <c r="I563" s="53">
        <f>I557</f>
        <v>5.0522</v>
      </c>
      <c r="J563" s="15"/>
      <c r="K563" s="15"/>
      <c r="L563" s="31">
        <f>L557</f>
        <v>62949340.226600021</v>
      </c>
      <c r="N563" s="52">
        <f>N557</f>
        <v>48157423</v>
      </c>
      <c r="O563" s="51"/>
      <c r="P563" s="52">
        <f>E563*I563</f>
        <v>14791917.0474</v>
      </c>
      <c r="Q563" s="43"/>
    </row>
    <row r="564" spans="1:17" x14ac:dyDescent="0.25">
      <c r="B564" s="8"/>
      <c r="C564" s="16"/>
      <c r="D564" s="16"/>
      <c r="E564" s="3"/>
      <c r="F564" s="3"/>
      <c r="G564" s="11"/>
      <c r="H564" s="11"/>
      <c r="I564" s="11"/>
      <c r="J564" s="11"/>
      <c r="K564" s="11"/>
      <c r="L564" s="3"/>
      <c r="N564" s="51"/>
      <c r="O564" s="51"/>
      <c r="P564" s="51"/>
    </row>
    <row r="565" spans="1:17" x14ac:dyDescent="0.25">
      <c r="A565" s="19">
        <v>2</v>
      </c>
      <c r="B565" s="8" t="s">
        <v>223</v>
      </c>
      <c r="C565" s="16"/>
      <c r="D565" s="16"/>
      <c r="E565" s="3">
        <f>E563</f>
        <v>2927817</v>
      </c>
      <c r="F565" s="3"/>
      <c r="G565" s="11">
        <f>I563</f>
        <v>5.0522</v>
      </c>
      <c r="H565" s="11" t="s">
        <v>73</v>
      </c>
      <c r="I565" s="11">
        <v>4.0551000000000004</v>
      </c>
      <c r="J565" s="11">
        <f>I565-G565</f>
        <v>-0.99709999999999965</v>
      </c>
      <c r="K565" s="11"/>
      <c r="L565" s="3">
        <f>E565*J565</f>
        <v>-2919326.3306999989</v>
      </c>
      <c r="N565" s="51"/>
      <c r="O565" s="51"/>
      <c r="P565" s="51"/>
    </row>
    <row r="566" spans="1:17" x14ac:dyDescent="0.25">
      <c r="B566" s="2"/>
      <c r="C566" s="3"/>
      <c r="D566" s="3"/>
      <c r="E566" s="3"/>
      <c r="F566" s="3"/>
      <c r="G566" s="11"/>
      <c r="H566" s="11"/>
      <c r="I566" s="11"/>
      <c r="J566" s="11"/>
      <c r="K566" s="11"/>
      <c r="L566" s="3"/>
      <c r="N566" s="51"/>
      <c r="O566" s="51"/>
      <c r="P566" s="51"/>
    </row>
    <row r="567" spans="1:17" x14ac:dyDescent="0.25">
      <c r="A567" s="19">
        <v>3</v>
      </c>
      <c r="B567" s="8" t="s">
        <v>224</v>
      </c>
      <c r="C567" s="16"/>
      <c r="D567" s="16"/>
      <c r="E567" s="3"/>
      <c r="F567" s="3"/>
      <c r="G567" s="11"/>
      <c r="H567" s="11"/>
      <c r="I567" s="11"/>
      <c r="J567" s="11"/>
      <c r="K567" s="11"/>
      <c r="L567" s="3"/>
      <c r="N567" s="51"/>
      <c r="O567" s="51"/>
      <c r="P567" s="51"/>
    </row>
    <row r="568" spans="1:17" x14ac:dyDescent="0.25">
      <c r="A568" s="19">
        <v>4</v>
      </c>
      <c r="B568" s="2" t="s">
        <v>97</v>
      </c>
      <c r="C568" s="3"/>
      <c r="D568" s="3"/>
      <c r="E568" s="3">
        <v>-1810647</v>
      </c>
      <c r="F568" s="3">
        <f>-7887254-F569</f>
        <v>-8019228</v>
      </c>
      <c r="G568" s="11">
        <f>F568/E568</f>
        <v>4.4289295483879521</v>
      </c>
      <c r="H568" s="11"/>
      <c r="I568" s="11">
        <f>I565</f>
        <v>4.0551000000000004</v>
      </c>
      <c r="J568" s="11">
        <f>I568-G568</f>
        <v>-0.37382954838795168</v>
      </c>
      <c r="K568" s="11"/>
      <c r="L568" s="3">
        <f>E568*J568</f>
        <v>676873.35029999958</v>
      </c>
      <c r="N568" s="51"/>
      <c r="O568" s="51"/>
      <c r="P568" s="51"/>
    </row>
    <row r="569" spans="1:17" x14ac:dyDescent="0.25">
      <c r="A569" s="19">
        <v>5</v>
      </c>
      <c r="B569" s="2" t="s">
        <v>98</v>
      </c>
      <c r="C569" s="3"/>
      <c r="D569" s="3"/>
      <c r="E569" s="3"/>
      <c r="F569" s="3">
        <v>131974</v>
      </c>
      <c r="G569" s="11"/>
      <c r="H569" s="11"/>
      <c r="I569" s="11"/>
      <c r="J569" s="11"/>
      <c r="K569" s="11"/>
      <c r="L569" s="3">
        <f>-F569</f>
        <v>-131974</v>
      </c>
      <c r="N569" s="51"/>
      <c r="O569" s="51"/>
      <c r="P569" s="51"/>
    </row>
    <row r="570" spans="1:17" x14ac:dyDescent="0.25">
      <c r="A570" s="19">
        <v>6</v>
      </c>
      <c r="B570" s="2" t="s">
        <v>0</v>
      </c>
      <c r="C570" s="3"/>
      <c r="D570" s="3"/>
      <c r="E570" s="3">
        <v>0</v>
      </c>
      <c r="F570" s="3">
        <v>0</v>
      </c>
      <c r="G570" s="11"/>
      <c r="H570" s="11"/>
      <c r="I570" s="11">
        <f>I565</f>
        <v>4.0551000000000004</v>
      </c>
      <c r="J570" s="11">
        <f>I570-G570</f>
        <v>4.0551000000000004</v>
      </c>
      <c r="K570" s="11"/>
      <c r="L570" s="3">
        <f>E570*J570</f>
        <v>0</v>
      </c>
      <c r="N570" s="51"/>
      <c r="O570" s="51"/>
      <c r="P570" s="51"/>
    </row>
    <row r="571" spans="1:17" x14ac:dyDescent="0.25">
      <c r="A571" s="19">
        <v>7</v>
      </c>
      <c r="B571" s="2" t="s">
        <v>81</v>
      </c>
      <c r="C571" s="1"/>
      <c r="D571" s="1"/>
      <c r="E571" s="1">
        <f>1903028+138512+918+8725</f>
        <v>2051183</v>
      </c>
      <c r="F571" s="1">
        <f>9099008+685276+4638+44203+2</f>
        <v>9833127</v>
      </c>
      <c r="G571" s="11">
        <f>F571/E571</f>
        <v>4.7938808970238149</v>
      </c>
      <c r="H571" s="11"/>
      <c r="I571" s="11">
        <f>I565</f>
        <v>4.0551000000000004</v>
      </c>
      <c r="J571" s="11">
        <f>I571-G571</f>
        <v>-0.73878089702381455</v>
      </c>
      <c r="K571" s="11"/>
      <c r="L571" s="1">
        <f>E571*J571</f>
        <v>-1515374.8166999989</v>
      </c>
      <c r="N571" s="51"/>
      <c r="O571" s="51"/>
      <c r="P571" s="51"/>
    </row>
    <row r="572" spans="1:17" x14ac:dyDescent="0.25">
      <c r="A572" s="19">
        <v>8</v>
      </c>
      <c r="B572" s="2" t="s">
        <v>225</v>
      </c>
      <c r="C572" s="3">
        <f>D572+E572</f>
        <v>964337</v>
      </c>
      <c r="D572" s="3">
        <v>723801</v>
      </c>
      <c r="E572" s="3">
        <f>SUM(E568:E571)</f>
        <v>240536</v>
      </c>
      <c r="F572" s="3">
        <f>SUM(F568:F571)</f>
        <v>1945873</v>
      </c>
      <c r="G572" s="11"/>
      <c r="H572" s="11"/>
      <c r="I572" s="11"/>
      <c r="J572" s="11"/>
      <c r="K572" s="11"/>
      <c r="L572" s="3">
        <f>SUM(L568:L571)+1</f>
        <v>-970474.46639999934</v>
      </c>
      <c r="N572" s="51">
        <f>F572*-1</f>
        <v>-1945873</v>
      </c>
      <c r="O572" s="51"/>
      <c r="P572" s="51"/>
    </row>
    <row r="573" spans="1:17" x14ac:dyDescent="0.25">
      <c r="N573" s="51"/>
      <c r="O573" s="51"/>
      <c r="P573" s="51"/>
    </row>
    <row r="574" spans="1:17" x14ac:dyDescent="0.25">
      <c r="A574" s="19">
        <v>9</v>
      </c>
      <c r="B574" s="13" t="s">
        <v>226</v>
      </c>
      <c r="C574" s="14">
        <f>C563+C572</f>
        <v>78523</v>
      </c>
      <c r="D574" s="14">
        <f>D563+D572</f>
        <v>-3089830</v>
      </c>
      <c r="E574" s="14">
        <f>E563+E572</f>
        <v>3168353</v>
      </c>
      <c r="F574" s="45">
        <f>F563+F572</f>
        <v>-46211550</v>
      </c>
      <c r="G574" s="15"/>
      <c r="H574" s="15"/>
      <c r="I574" s="53">
        <f>I565</f>
        <v>4.0551000000000004</v>
      </c>
      <c r="J574" s="15"/>
      <c r="K574" s="15"/>
      <c r="L574" s="31">
        <f>L563+L565+L572</f>
        <v>59059539.429500028</v>
      </c>
      <c r="N574" s="52">
        <f>N563+N572</f>
        <v>46211550</v>
      </c>
      <c r="O574" s="51"/>
      <c r="P574" s="52">
        <f>E574*I574+1</f>
        <v>12847989.250300001</v>
      </c>
      <c r="Q574" s="43"/>
    </row>
    <row r="575" spans="1:17" x14ac:dyDescent="0.25">
      <c r="N575" s="51"/>
      <c r="O575" s="51"/>
      <c r="P575" s="51"/>
    </row>
    <row r="576" spans="1:17" x14ac:dyDescent="0.25">
      <c r="B576" s="36" t="s">
        <v>74</v>
      </c>
      <c r="N576" s="51"/>
      <c r="O576" s="51"/>
      <c r="P576" s="51"/>
    </row>
    <row r="577" spans="1:17" x14ac:dyDescent="0.25">
      <c r="N577" s="51"/>
      <c r="O577" s="51"/>
      <c r="P577" s="51"/>
    </row>
    <row r="578" spans="1:17" x14ac:dyDescent="0.25">
      <c r="B578" s="38" t="s">
        <v>228</v>
      </c>
      <c r="C578" s="3"/>
      <c r="D578" s="3"/>
      <c r="E578" s="3"/>
      <c r="F578" s="3"/>
      <c r="G578" s="11"/>
      <c r="H578" s="11"/>
      <c r="I578" s="11"/>
      <c r="J578" s="11"/>
      <c r="K578" s="11"/>
      <c r="L578" s="35"/>
      <c r="N578" s="51"/>
      <c r="O578" s="51"/>
      <c r="P578" s="51"/>
    </row>
    <row r="579" spans="1:17" x14ac:dyDescent="0.25">
      <c r="B579" s="38"/>
      <c r="C579" s="3"/>
      <c r="D579" s="3"/>
      <c r="E579" s="3"/>
      <c r="F579" s="3"/>
      <c r="G579" s="11"/>
      <c r="H579" s="11"/>
      <c r="I579" s="11"/>
      <c r="J579" s="11"/>
      <c r="K579" s="11"/>
      <c r="L579" s="35"/>
      <c r="N579" s="51"/>
      <c r="O579" s="51"/>
      <c r="P579" s="51"/>
    </row>
    <row r="580" spans="1:17" x14ac:dyDescent="0.25">
      <c r="A580" s="19">
        <v>1</v>
      </c>
      <c r="B580" s="13" t="str">
        <f>B574</f>
        <v>05/01 Balance Per Books:</v>
      </c>
      <c r="C580" s="14">
        <f>C574</f>
        <v>78523</v>
      </c>
      <c r="D580" s="14">
        <f>D574</f>
        <v>-3089830</v>
      </c>
      <c r="E580" s="14">
        <f>E574</f>
        <v>3168353</v>
      </c>
      <c r="F580" s="45">
        <f>F574</f>
        <v>-46211550</v>
      </c>
      <c r="G580" s="15"/>
      <c r="H580" s="15"/>
      <c r="I580" s="53">
        <f>I574</f>
        <v>4.0551000000000004</v>
      </c>
      <c r="J580" s="15"/>
      <c r="K580" s="15"/>
      <c r="L580" s="31">
        <f>L574</f>
        <v>59059539.429500028</v>
      </c>
      <c r="N580" s="52">
        <f>N574</f>
        <v>46211550</v>
      </c>
      <c r="O580" s="51"/>
      <c r="P580" s="52">
        <f>E580*I580+1</f>
        <v>12847989.250300001</v>
      </c>
      <c r="Q580" s="43"/>
    </row>
    <row r="581" spans="1:17" x14ac:dyDescent="0.25">
      <c r="B581" s="8"/>
      <c r="C581" s="16"/>
      <c r="D581" s="16"/>
      <c r="E581" s="3"/>
      <c r="F581" s="3"/>
      <c r="G581" s="11"/>
      <c r="H581" s="11"/>
      <c r="I581" s="11"/>
      <c r="J581" s="11"/>
      <c r="K581" s="11"/>
      <c r="L581" s="3"/>
      <c r="N581" s="51"/>
      <c r="O581" s="51"/>
      <c r="P581" s="51"/>
    </row>
    <row r="582" spans="1:17" x14ac:dyDescent="0.25">
      <c r="A582" s="19">
        <v>2</v>
      </c>
      <c r="B582" s="8" t="s">
        <v>229</v>
      </c>
      <c r="C582" s="16"/>
      <c r="D582" s="16"/>
      <c r="E582" s="3">
        <f>E580</f>
        <v>3168353</v>
      </c>
      <c r="F582" s="3"/>
      <c r="G582" s="11">
        <f>I580</f>
        <v>4.0551000000000004</v>
      </c>
      <c r="H582" s="11" t="s">
        <v>73</v>
      </c>
      <c r="I582" s="11">
        <v>3.4998999999999998</v>
      </c>
      <c r="J582" s="11">
        <f>I582-G582</f>
        <v>-0.55520000000000058</v>
      </c>
      <c r="K582" s="11"/>
      <c r="L582" s="3">
        <f>E582*J582</f>
        <v>-1759069.5856000017</v>
      </c>
      <c r="N582" s="51"/>
      <c r="O582" s="51"/>
      <c r="P582" s="51"/>
    </row>
    <row r="583" spans="1:17" x14ac:dyDescent="0.25">
      <c r="B583" s="2"/>
      <c r="C583" s="3"/>
      <c r="D583" s="3"/>
      <c r="E583" s="3"/>
      <c r="F583" s="3"/>
      <c r="G583" s="11"/>
      <c r="H583" s="11"/>
      <c r="I583" s="11"/>
      <c r="J583" s="11"/>
      <c r="K583" s="11"/>
      <c r="L583" s="3"/>
      <c r="N583" s="51"/>
      <c r="O583" s="51"/>
      <c r="P583" s="51"/>
    </row>
    <row r="584" spans="1:17" x14ac:dyDescent="0.25">
      <c r="A584" s="19">
        <v>3</v>
      </c>
      <c r="B584" s="8" t="s">
        <v>230</v>
      </c>
      <c r="C584" s="16"/>
      <c r="D584" s="16"/>
      <c r="E584" s="3"/>
      <c r="F584" s="3"/>
      <c r="G584" s="11"/>
      <c r="H584" s="11"/>
      <c r="I584" s="11"/>
      <c r="J584" s="11"/>
      <c r="K584" s="11"/>
      <c r="L584" s="3"/>
      <c r="N584" s="51"/>
      <c r="O584" s="51"/>
      <c r="P584" s="51"/>
    </row>
    <row r="585" spans="1:17" x14ac:dyDescent="0.25">
      <c r="A585" s="19">
        <v>4</v>
      </c>
      <c r="B585" s="2" t="s">
        <v>97</v>
      </c>
      <c r="C585" s="3"/>
      <c r="D585" s="3"/>
      <c r="E585" s="3">
        <v>-232665</v>
      </c>
      <c r="F585" s="3">
        <f>117432-F586</f>
        <v>11396</v>
      </c>
      <c r="G585" s="11">
        <f>F585/E585</f>
        <v>-4.8980293555111423E-2</v>
      </c>
      <c r="H585" s="11"/>
      <c r="I585" s="11">
        <f>I582</f>
        <v>3.4998999999999998</v>
      </c>
      <c r="J585" s="11">
        <f>I585-G585</f>
        <v>3.5488802935551114</v>
      </c>
      <c r="K585" s="11"/>
      <c r="L585" s="3">
        <f>E585*J585</f>
        <v>-825700.23349999997</v>
      </c>
      <c r="N585" s="51"/>
      <c r="O585" s="51"/>
      <c r="P585" s="51"/>
    </row>
    <row r="586" spans="1:17" x14ac:dyDescent="0.25">
      <c r="A586" s="19">
        <v>5</v>
      </c>
      <c r="B586" s="2" t="s">
        <v>98</v>
      </c>
      <c r="C586" s="3"/>
      <c r="D586" s="3"/>
      <c r="E586" s="3"/>
      <c r="F586" s="3">
        <v>106036</v>
      </c>
      <c r="G586" s="11"/>
      <c r="H586" s="11"/>
      <c r="I586" s="11"/>
      <c r="J586" s="11"/>
      <c r="K586" s="11"/>
      <c r="L586" s="3">
        <f>-F586</f>
        <v>-106036</v>
      </c>
      <c r="N586" s="51"/>
      <c r="O586" s="51"/>
      <c r="P586" s="51"/>
    </row>
    <row r="587" spans="1:17" x14ac:dyDescent="0.25">
      <c r="A587" s="19">
        <v>6</v>
      </c>
      <c r="B587" s="2" t="s">
        <v>0</v>
      </c>
      <c r="C587" s="3"/>
      <c r="D587" s="3"/>
      <c r="E587" s="3">
        <v>0</v>
      </c>
      <c r="F587" s="3">
        <v>0</v>
      </c>
      <c r="G587" s="11"/>
      <c r="H587" s="11"/>
      <c r="I587" s="11">
        <f>I582</f>
        <v>3.4998999999999998</v>
      </c>
      <c r="J587" s="11">
        <f>I587-G587</f>
        <v>3.4998999999999998</v>
      </c>
      <c r="K587" s="11"/>
      <c r="L587" s="3">
        <f>E587*J587</f>
        <v>0</v>
      </c>
      <c r="N587" s="51"/>
      <c r="O587" s="51"/>
      <c r="P587" s="51"/>
    </row>
    <row r="588" spans="1:17" x14ac:dyDescent="0.25">
      <c r="A588" s="19">
        <v>7</v>
      </c>
      <c r="B588" s="2" t="s">
        <v>81</v>
      </c>
      <c r="C588" s="1"/>
      <c r="D588" s="1"/>
      <c r="E588" s="1">
        <f>1566821+126267+8965</f>
        <v>1702053</v>
      </c>
      <c r="F588" s="1">
        <f>5667443+500737+36355-1</f>
        <v>6204534</v>
      </c>
      <c r="G588" s="11">
        <f>F588/E588</f>
        <v>3.6453236180071946</v>
      </c>
      <c r="H588" s="11"/>
      <c r="I588" s="11">
        <f>I582</f>
        <v>3.4998999999999998</v>
      </c>
      <c r="J588" s="11">
        <f>I588-G588</f>
        <v>-0.14542361800719483</v>
      </c>
      <c r="K588" s="11"/>
      <c r="L588" s="1">
        <f>E588*J588</f>
        <v>-247518.70529999997</v>
      </c>
      <c r="N588" s="51"/>
      <c r="O588" s="51"/>
      <c r="P588" s="51"/>
    </row>
    <row r="589" spans="1:17" x14ac:dyDescent="0.25">
      <c r="A589" s="19">
        <v>8</v>
      </c>
      <c r="B589" s="2" t="s">
        <v>232</v>
      </c>
      <c r="C589" s="3">
        <f>D589+E589</f>
        <v>1175447</v>
      </c>
      <c r="D589" s="3">
        <v>-293941</v>
      </c>
      <c r="E589" s="3">
        <f>SUM(E585:E588)</f>
        <v>1469388</v>
      </c>
      <c r="F589" s="3">
        <f>SUM(F585:F588)</f>
        <v>6321966</v>
      </c>
      <c r="G589" s="11"/>
      <c r="H589" s="11"/>
      <c r="I589" s="11"/>
      <c r="J589" s="11"/>
      <c r="K589" s="11"/>
      <c r="L589" s="3">
        <f>SUM(L585:L588)-1</f>
        <v>-1179255.9387999999</v>
      </c>
      <c r="N589" s="51">
        <f>F589*-1</f>
        <v>-6321966</v>
      </c>
      <c r="O589" s="51"/>
      <c r="P589" s="51"/>
    </row>
    <row r="590" spans="1:17" x14ac:dyDescent="0.25">
      <c r="N590" s="51"/>
      <c r="O590" s="51"/>
      <c r="P590" s="51"/>
    </row>
    <row r="591" spans="1:17" x14ac:dyDescent="0.25">
      <c r="A591" s="19">
        <v>9</v>
      </c>
      <c r="B591" s="13" t="s">
        <v>231</v>
      </c>
      <c r="C591" s="14">
        <f>C580+C589</f>
        <v>1253970</v>
      </c>
      <c r="D591" s="14">
        <f>D580+D589</f>
        <v>-3383771</v>
      </c>
      <c r="E591" s="14">
        <f>E580+E589</f>
        <v>4637741</v>
      </c>
      <c r="F591" s="45">
        <f>F580+F589</f>
        <v>-39889584</v>
      </c>
      <c r="G591" s="15"/>
      <c r="H591" s="15"/>
      <c r="I591" s="53">
        <f>I582</f>
        <v>3.4998999999999998</v>
      </c>
      <c r="J591" s="15"/>
      <c r="K591" s="15"/>
      <c r="L591" s="31">
        <f>L580+L582+L589</f>
        <v>56121213.905100025</v>
      </c>
      <c r="N591" s="52">
        <f>N580+N589</f>
        <v>39889584</v>
      </c>
      <c r="O591" s="51"/>
      <c r="P591" s="52">
        <f>E591*I591</f>
        <v>16231629.725899998</v>
      </c>
      <c r="Q591" s="43"/>
    </row>
    <row r="592" spans="1:17" x14ac:dyDescent="0.25">
      <c r="N592" s="51"/>
      <c r="O592" s="51"/>
      <c r="P592" s="51"/>
    </row>
    <row r="593" spans="1:17" x14ac:dyDescent="0.25">
      <c r="B593" s="36" t="s">
        <v>74</v>
      </c>
      <c r="N593" s="51"/>
      <c r="O593" s="51"/>
      <c r="P593" s="51"/>
    </row>
    <row r="594" spans="1:17" x14ac:dyDescent="0.25">
      <c r="N594" s="51"/>
      <c r="O594" s="51"/>
      <c r="P594" s="51"/>
    </row>
    <row r="595" spans="1:17" x14ac:dyDescent="0.25">
      <c r="B595" s="38" t="s">
        <v>234</v>
      </c>
      <c r="C595" s="3"/>
      <c r="D595" s="3"/>
      <c r="E595" s="3"/>
      <c r="F595" s="3"/>
      <c r="G595" s="11"/>
      <c r="H595" s="11"/>
      <c r="I595" s="11"/>
      <c r="J595" s="11"/>
      <c r="K595" s="11"/>
      <c r="L595" s="35"/>
      <c r="N595" s="51"/>
      <c r="O595" s="51"/>
      <c r="P595" s="51"/>
    </row>
    <row r="596" spans="1:17" x14ac:dyDescent="0.25">
      <c r="B596" s="38"/>
      <c r="C596" s="3"/>
      <c r="D596" s="3"/>
      <c r="E596" s="3"/>
      <c r="F596" s="3"/>
      <c r="G596" s="11"/>
      <c r="H596" s="11"/>
      <c r="I596" s="11"/>
      <c r="J596" s="11"/>
      <c r="K596" s="11"/>
      <c r="L596" s="35"/>
      <c r="N596" s="51"/>
      <c r="O596" s="51"/>
      <c r="P596" s="51"/>
    </row>
    <row r="597" spans="1:17" x14ac:dyDescent="0.25">
      <c r="A597" s="19">
        <v>1</v>
      </c>
      <c r="B597" s="13" t="str">
        <f>B591</f>
        <v>06/01 Balance Per Books:</v>
      </c>
      <c r="C597" s="14">
        <f>C591</f>
        <v>1253970</v>
      </c>
      <c r="D597" s="14">
        <f>D591</f>
        <v>-3383771</v>
      </c>
      <c r="E597" s="14">
        <f>E591</f>
        <v>4637741</v>
      </c>
      <c r="F597" s="45">
        <f>F591</f>
        <v>-39889584</v>
      </c>
      <c r="G597" s="15"/>
      <c r="H597" s="15"/>
      <c r="I597" s="53">
        <f>I591</f>
        <v>3.4998999999999998</v>
      </c>
      <c r="J597" s="15"/>
      <c r="K597" s="15"/>
      <c r="L597" s="31">
        <f>L591</f>
        <v>56121213.905100025</v>
      </c>
      <c r="N597" s="52">
        <f>N591</f>
        <v>39889584</v>
      </c>
      <c r="O597" s="51"/>
      <c r="P597" s="52">
        <f>E597*I597</f>
        <v>16231629.725899998</v>
      </c>
      <c r="Q597" s="43"/>
    </row>
    <row r="598" spans="1:17" x14ac:dyDescent="0.25">
      <c r="B598" s="8"/>
      <c r="C598" s="16"/>
      <c r="D598" s="16"/>
      <c r="E598" s="3"/>
      <c r="F598" s="3"/>
      <c r="G598" s="11"/>
      <c r="H598" s="11"/>
      <c r="I598" s="11"/>
      <c r="J598" s="11"/>
      <c r="K598" s="11"/>
      <c r="L598" s="3"/>
      <c r="N598" s="51"/>
      <c r="O598" s="51"/>
      <c r="P598" s="51"/>
    </row>
    <row r="599" spans="1:17" x14ac:dyDescent="0.25">
      <c r="A599" s="19">
        <v>2</v>
      </c>
      <c r="B599" s="8" t="s">
        <v>235</v>
      </c>
      <c r="C599" s="16"/>
      <c r="D599" s="16"/>
      <c r="E599" s="3">
        <f>E597</f>
        <v>4637741</v>
      </c>
      <c r="F599" s="3"/>
      <c r="G599" s="11">
        <f>I597</f>
        <v>3.4998999999999998</v>
      </c>
      <c r="H599" s="11" t="s">
        <v>73</v>
      </c>
      <c r="I599" s="11">
        <v>2.9321999999999999</v>
      </c>
      <c r="J599" s="11">
        <f>I599-G599</f>
        <v>-0.56769999999999987</v>
      </c>
      <c r="K599" s="11"/>
      <c r="L599" s="3">
        <f>E599*J599</f>
        <v>-2632845.5656999992</v>
      </c>
      <c r="N599" s="51"/>
      <c r="O599" s="51"/>
      <c r="P599" s="51"/>
    </row>
    <row r="600" spans="1:17" x14ac:dyDescent="0.25">
      <c r="B600" s="2"/>
      <c r="C600" s="3"/>
      <c r="D600" s="3"/>
      <c r="E600" s="3"/>
      <c r="F600" s="3"/>
      <c r="G600" s="11"/>
      <c r="H600" s="11"/>
      <c r="I600" s="11"/>
      <c r="J600" s="11"/>
      <c r="K600" s="11"/>
      <c r="L600" s="3"/>
      <c r="N600" s="51"/>
      <c r="O600" s="51"/>
      <c r="P600" s="51"/>
    </row>
    <row r="601" spans="1:17" x14ac:dyDescent="0.25">
      <c r="A601" s="19">
        <v>3</v>
      </c>
      <c r="B601" s="8" t="s">
        <v>236</v>
      </c>
      <c r="C601" s="16"/>
      <c r="D601" s="16"/>
      <c r="E601" s="3"/>
      <c r="F601" s="3"/>
      <c r="G601" s="11"/>
      <c r="H601" s="11"/>
      <c r="I601" s="11"/>
      <c r="J601" s="11"/>
      <c r="K601" s="11"/>
      <c r="L601" s="3"/>
      <c r="N601" s="51"/>
      <c r="O601" s="51"/>
      <c r="P601" s="51"/>
    </row>
    <row r="602" spans="1:17" x14ac:dyDescent="0.25">
      <c r="A602" s="19">
        <v>4</v>
      </c>
      <c r="B602" s="2" t="s">
        <v>97</v>
      </c>
      <c r="C602" s="3"/>
      <c r="D602" s="3"/>
      <c r="E602" s="3">
        <v>-144676</v>
      </c>
      <c r="F602" s="3">
        <f>-236262-F603</f>
        <v>-380164</v>
      </c>
      <c r="G602" s="11">
        <f>F602/E602</f>
        <v>2.6276922226215822</v>
      </c>
      <c r="H602" s="11"/>
      <c r="I602" s="11">
        <f>I599</f>
        <v>2.9321999999999999</v>
      </c>
      <c r="J602" s="11">
        <f>I602-G602</f>
        <v>0.30450777737841772</v>
      </c>
      <c r="K602" s="11"/>
      <c r="L602" s="3">
        <f>E602*J602</f>
        <v>-44054.967199999963</v>
      </c>
      <c r="N602" s="51"/>
      <c r="O602" s="51"/>
      <c r="P602" s="51"/>
    </row>
    <row r="603" spans="1:17" x14ac:dyDescent="0.25">
      <c r="A603" s="19">
        <v>5</v>
      </c>
      <c r="B603" s="2" t="s">
        <v>98</v>
      </c>
      <c r="C603" s="3"/>
      <c r="D603" s="3"/>
      <c r="E603" s="3"/>
      <c r="F603" s="3">
        <v>143902</v>
      </c>
      <c r="G603" s="11"/>
      <c r="H603" s="11"/>
      <c r="I603" s="11"/>
      <c r="J603" s="11"/>
      <c r="K603" s="11"/>
      <c r="L603" s="3">
        <f>-F603</f>
        <v>-143902</v>
      </c>
      <c r="N603" s="51"/>
      <c r="O603" s="51"/>
      <c r="P603" s="51"/>
    </row>
    <row r="604" spans="1:17" x14ac:dyDescent="0.25">
      <c r="A604" s="19">
        <v>6</v>
      </c>
      <c r="B604" s="2" t="s">
        <v>0</v>
      </c>
      <c r="C604" s="3"/>
      <c r="D604" s="3"/>
      <c r="E604" s="3">
        <v>0</v>
      </c>
      <c r="F604" s="3">
        <v>0</v>
      </c>
      <c r="G604" s="11"/>
      <c r="H604" s="11"/>
      <c r="I604" s="11">
        <f>I599</f>
        <v>2.9321999999999999</v>
      </c>
      <c r="J604" s="11">
        <f>I604-G604</f>
        <v>2.9321999999999999</v>
      </c>
      <c r="K604" s="11"/>
      <c r="L604" s="3">
        <f>E604*J604</f>
        <v>0</v>
      </c>
      <c r="N604" s="51"/>
      <c r="O604" s="51"/>
      <c r="P604" s="51"/>
    </row>
    <row r="605" spans="1:17" x14ac:dyDescent="0.25">
      <c r="A605" s="19">
        <v>7</v>
      </c>
      <c r="B605" s="2" t="s">
        <v>81</v>
      </c>
      <c r="C605" s="1"/>
      <c r="D605" s="1"/>
      <c r="E605" s="1">
        <f>46522+148336+51147-1969</f>
        <v>244036</v>
      </c>
      <c r="F605" s="1">
        <f>141440+510507+271352+1491-1</f>
        <v>924789</v>
      </c>
      <c r="G605" s="11">
        <f>F605/E605</f>
        <v>3.7895597370879708</v>
      </c>
      <c r="H605" s="11"/>
      <c r="I605" s="11">
        <f>I599</f>
        <v>2.9321999999999999</v>
      </c>
      <c r="J605" s="11">
        <f>I605-G605</f>
        <v>-0.85735973708797086</v>
      </c>
      <c r="K605" s="11"/>
      <c r="L605" s="1">
        <f>E605*J605</f>
        <v>-209226.64080000005</v>
      </c>
      <c r="N605" s="51"/>
      <c r="O605" s="51"/>
      <c r="P605" s="51"/>
    </row>
    <row r="606" spans="1:17" x14ac:dyDescent="0.25">
      <c r="A606" s="19">
        <v>8</v>
      </c>
      <c r="B606" s="2" t="s">
        <v>237</v>
      </c>
      <c r="C606" s="3">
        <f>D606+E606</f>
        <v>1317156</v>
      </c>
      <c r="D606" s="3">
        <v>1217796</v>
      </c>
      <c r="E606" s="3">
        <f>SUM(E602:E605)</f>
        <v>99360</v>
      </c>
      <c r="F606" s="3">
        <f>SUM(F602:F605)</f>
        <v>688527</v>
      </c>
      <c r="G606" s="11"/>
      <c r="H606" s="11"/>
      <c r="I606" s="11"/>
      <c r="J606" s="11"/>
      <c r="K606" s="11"/>
      <c r="L606" s="3">
        <f>SUM(L602:L605)</f>
        <v>-397183.60800000001</v>
      </c>
      <c r="N606" s="51">
        <f>F606*-1</f>
        <v>-688527</v>
      </c>
      <c r="O606" s="51"/>
      <c r="P606" s="51"/>
    </row>
    <row r="607" spans="1:17" x14ac:dyDescent="0.25">
      <c r="N607" s="51"/>
      <c r="O607" s="51"/>
      <c r="P607" s="51"/>
    </row>
    <row r="608" spans="1:17" x14ac:dyDescent="0.25">
      <c r="A608" s="19">
        <v>9</v>
      </c>
      <c r="B608" s="13" t="s">
        <v>238</v>
      </c>
      <c r="C608" s="14">
        <f>C597+C606</f>
        <v>2571126</v>
      </c>
      <c r="D608" s="14">
        <f>D597+D606</f>
        <v>-2165975</v>
      </c>
      <c r="E608" s="14">
        <f>E597+E606</f>
        <v>4737101</v>
      </c>
      <c r="F608" s="45">
        <f>F597+F606</f>
        <v>-39201057</v>
      </c>
      <c r="G608" s="15"/>
      <c r="H608" s="15"/>
      <c r="I608" s="53">
        <f>I599</f>
        <v>2.9321999999999999</v>
      </c>
      <c r="J608" s="15"/>
      <c r="K608" s="15"/>
      <c r="L608" s="31">
        <f>L597+L599+L606</f>
        <v>53091184.73140002</v>
      </c>
      <c r="N608" s="52">
        <f>N597+N606</f>
        <v>39201057</v>
      </c>
      <c r="O608" s="51"/>
      <c r="P608" s="52">
        <f>E608*I608</f>
        <v>13890127.552199999</v>
      </c>
      <c r="Q608" s="43"/>
    </row>
    <row r="609" spans="1:17" x14ac:dyDescent="0.25">
      <c r="N609" s="51"/>
      <c r="O609" s="51"/>
      <c r="P609" s="51"/>
    </row>
    <row r="610" spans="1:17" x14ac:dyDescent="0.25">
      <c r="B610" s="36" t="s">
        <v>74</v>
      </c>
      <c r="N610" s="51"/>
      <c r="O610" s="51"/>
      <c r="P610" s="51"/>
    </row>
    <row r="611" spans="1:17" x14ac:dyDescent="0.25">
      <c r="N611" s="51"/>
      <c r="O611" s="51"/>
      <c r="P611" s="51"/>
    </row>
    <row r="612" spans="1:17" x14ac:dyDescent="0.25">
      <c r="B612" s="38" t="s">
        <v>241</v>
      </c>
      <c r="C612" s="3"/>
      <c r="D612" s="3"/>
      <c r="E612" s="3"/>
      <c r="F612" s="3"/>
      <c r="G612" s="11"/>
      <c r="H612" s="11"/>
      <c r="I612" s="11"/>
      <c r="J612" s="11"/>
      <c r="K612" s="11"/>
      <c r="L612" s="35"/>
      <c r="N612" s="51"/>
      <c r="O612" s="51"/>
      <c r="P612" s="51"/>
    </row>
    <row r="613" spans="1:17" x14ac:dyDescent="0.25">
      <c r="B613" s="38"/>
      <c r="C613" s="3"/>
      <c r="D613" s="3"/>
      <c r="E613" s="3"/>
      <c r="F613" s="3"/>
      <c r="G613" s="11"/>
      <c r="H613" s="11"/>
      <c r="I613" s="11"/>
      <c r="J613" s="11"/>
      <c r="K613" s="11"/>
      <c r="L613" s="35"/>
      <c r="N613" s="51"/>
      <c r="O613" s="51"/>
      <c r="P613" s="51"/>
    </row>
    <row r="614" spans="1:17" x14ac:dyDescent="0.25">
      <c r="A614" s="19">
        <v>1</v>
      </c>
      <c r="B614" s="13" t="str">
        <f>B608</f>
        <v>07/01 Balance Per Books:</v>
      </c>
      <c r="C614" s="14">
        <f>C608</f>
        <v>2571126</v>
      </c>
      <c r="D614" s="14">
        <f>D608</f>
        <v>-2165975</v>
      </c>
      <c r="E614" s="14">
        <f>E608</f>
        <v>4737101</v>
      </c>
      <c r="F614" s="45">
        <f>F608</f>
        <v>-39201057</v>
      </c>
      <c r="G614" s="15"/>
      <c r="H614" s="15"/>
      <c r="I614" s="53">
        <f>I608</f>
        <v>2.9321999999999999</v>
      </c>
      <c r="J614" s="15"/>
      <c r="K614" s="15"/>
      <c r="L614" s="31">
        <f>L608</f>
        <v>53091184.73140002</v>
      </c>
      <c r="N614" s="52">
        <f>N608</f>
        <v>39201057</v>
      </c>
      <c r="O614" s="51"/>
      <c r="P614" s="52">
        <f>E614*I614</f>
        <v>13890127.552199999</v>
      </c>
      <c r="Q614" s="43"/>
    </row>
    <row r="615" spans="1:17" x14ac:dyDescent="0.25">
      <c r="B615" s="8"/>
      <c r="C615" s="16"/>
      <c r="D615" s="16"/>
      <c r="E615" s="3"/>
      <c r="F615" s="3"/>
      <c r="G615" s="11"/>
      <c r="H615" s="11"/>
      <c r="I615" s="11"/>
      <c r="J615" s="11"/>
      <c r="K615" s="11"/>
      <c r="L615" s="3"/>
      <c r="N615" s="51"/>
      <c r="O615" s="51"/>
      <c r="P615" s="51"/>
    </row>
    <row r="616" spans="1:17" x14ac:dyDescent="0.25">
      <c r="A616" s="19">
        <v>2</v>
      </c>
      <c r="B616" s="8" t="s">
        <v>242</v>
      </c>
      <c r="C616" s="16"/>
      <c r="D616" s="16"/>
      <c r="E616" s="3">
        <f>E614</f>
        <v>4737101</v>
      </c>
      <c r="F616" s="3"/>
      <c r="G616" s="11">
        <f>I614</f>
        <v>2.9321999999999999</v>
      </c>
      <c r="H616" s="11" t="s">
        <v>73</v>
      </c>
      <c r="I616" s="11">
        <v>2.8521999999999998</v>
      </c>
      <c r="J616" s="11">
        <f>I616-G616</f>
        <v>-8.0000000000000071E-2</v>
      </c>
      <c r="K616" s="11"/>
      <c r="L616" s="3">
        <f>E616*J616</f>
        <v>-378968.08000000037</v>
      </c>
      <c r="N616" s="51"/>
      <c r="O616" s="51"/>
      <c r="P616" s="51"/>
    </row>
    <row r="617" spans="1:17" x14ac:dyDescent="0.25">
      <c r="B617" s="2"/>
      <c r="C617" s="3"/>
      <c r="D617" s="3"/>
      <c r="E617" s="3"/>
      <c r="F617" s="3"/>
      <c r="G617" s="11"/>
      <c r="H617" s="11"/>
      <c r="I617" s="11"/>
      <c r="J617" s="11"/>
      <c r="K617" s="11"/>
      <c r="L617" s="3"/>
      <c r="N617" s="51"/>
      <c r="O617" s="51"/>
      <c r="P617" s="51"/>
    </row>
    <row r="618" spans="1:17" x14ac:dyDescent="0.25">
      <c r="A618" s="19">
        <v>3</v>
      </c>
      <c r="B618" s="8" t="s">
        <v>243</v>
      </c>
      <c r="C618" s="16"/>
      <c r="D618" s="16"/>
      <c r="E618" s="3"/>
      <c r="F618" s="3"/>
      <c r="G618" s="11"/>
      <c r="H618" s="11"/>
      <c r="I618" s="11"/>
      <c r="J618" s="11"/>
      <c r="K618" s="11"/>
      <c r="L618" s="3"/>
      <c r="N618" s="51"/>
      <c r="O618" s="51"/>
      <c r="P618" s="51"/>
    </row>
    <row r="619" spans="1:17" x14ac:dyDescent="0.25">
      <c r="A619" s="19">
        <v>4</v>
      </c>
      <c r="B619" s="2" t="s">
        <v>97</v>
      </c>
      <c r="C619" s="3"/>
      <c r="D619" s="3"/>
      <c r="E619" s="3">
        <v>-6496</v>
      </c>
      <c r="F619" s="3">
        <f>-40163-F620</f>
        <v>-112727</v>
      </c>
      <c r="G619" s="11">
        <f>F619/E619</f>
        <v>17.35329433497537</v>
      </c>
      <c r="H619" s="11"/>
      <c r="I619" s="11">
        <f>I616</f>
        <v>2.8521999999999998</v>
      </c>
      <c r="J619" s="11">
        <f>I619-G619</f>
        <v>-14.50109433497537</v>
      </c>
      <c r="K619" s="11"/>
      <c r="L619" s="3">
        <f>E619*J619</f>
        <v>94199.108800000002</v>
      </c>
      <c r="N619" s="51"/>
      <c r="O619" s="51"/>
      <c r="P619" s="51"/>
    </row>
    <row r="620" spans="1:17" x14ac:dyDescent="0.25">
      <c r="A620" s="19">
        <v>5</v>
      </c>
      <c r="B620" s="2" t="s">
        <v>98</v>
      </c>
      <c r="C620" s="3"/>
      <c r="D620" s="3"/>
      <c r="E620" s="3"/>
      <c r="F620" s="3">
        <v>72564</v>
      </c>
      <c r="G620" s="11"/>
      <c r="H620" s="11"/>
      <c r="I620" s="11"/>
      <c r="J620" s="11"/>
      <c r="K620" s="11"/>
      <c r="L620" s="3">
        <f>-F620</f>
        <v>-72564</v>
      </c>
      <c r="N620" s="51"/>
      <c r="O620" s="51"/>
      <c r="P620" s="51"/>
    </row>
    <row r="621" spans="1:17" x14ac:dyDescent="0.25">
      <c r="A621" s="19">
        <v>6</v>
      </c>
      <c r="B621" s="2" t="s">
        <v>0</v>
      </c>
      <c r="C621" s="3"/>
      <c r="D621" s="3"/>
      <c r="E621" s="3">
        <v>0</v>
      </c>
      <c r="F621" s="3">
        <v>0</v>
      </c>
      <c r="G621" s="11"/>
      <c r="H621" s="11"/>
      <c r="I621" s="11">
        <f>I616</f>
        <v>2.8521999999999998</v>
      </c>
      <c r="J621" s="11">
        <f>I621-G621</f>
        <v>2.8521999999999998</v>
      </c>
      <c r="K621" s="11"/>
      <c r="L621" s="3">
        <f>E621*J621</f>
        <v>0</v>
      </c>
      <c r="N621" s="51"/>
      <c r="O621" s="51"/>
      <c r="P621" s="51"/>
    </row>
    <row r="622" spans="1:17" x14ac:dyDescent="0.25">
      <c r="A622" s="19">
        <v>7</v>
      </c>
      <c r="B622" s="2" t="s">
        <v>81</v>
      </c>
      <c r="C622" s="1"/>
      <c r="D622" s="1"/>
      <c r="E622" s="1">
        <f>107802+450+7400</f>
        <v>115652</v>
      </c>
      <c r="F622" s="1">
        <f>309187+1319+21698</f>
        <v>332204</v>
      </c>
      <c r="G622" s="11">
        <f>F622/E622</f>
        <v>2.872444920969806</v>
      </c>
      <c r="H622" s="11"/>
      <c r="I622" s="11">
        <f>I616</f>
        <v>2.8521999999999998</v>
      </c>
      <c r="J622" s="11">
        <f>I622-G622</f>
        <v>-2.0244920969806124E-2</v>
      </c>
      <c r="K622" s="11"/>
      <c r="L622" s="1">
        <f>E622*J622</f>
        <v>-2341.3656000000178</v>
      </c>
      <c r="N622" s="51"/>
      <c r="O622" s="51"/>
      <c r="P622" s="51"/>
    </row>
    <row r="623" spans="1:17" x14ac:dyDescent="0.25">
      <c r="A623" s="19">
        <v>8</v>
      </c>
      <c r="B623" s="2" t="s">
        <v>244</v>
      </c>
      <c r="C623" s="3">
        <f>D623+E623</f>
        <v>780989</v>
      </c>
      <c r="D623" s="3">
        <v>671833</v>
      </c>
      <c r="E623" s="3">
        <f>SUM(E619:E622)</f>
        <v>109156</v>
      </c>
      <c r="F623" s="3">
        <f>SUM(F619:F622)</f>
        <v>292041</v>
      </c>
      <c r="G623" s="11"/>
      <c r="H623" s="11"/>
      <c r="I623" s="11"/>
      <c r="J623" s="11"/>
      <c r="K623" s="11"/>
      <c r="L623" s="3">
        <f>SUM(L619:L622)</f>
        <v>19293.743199999983</v>
      </c>
      <c r="N623" s="51">
        <f>F623*-1</f>
        <v>-292041</v>
      </c>
      <c r="O623" s="51"/>
      <c r="P623" s="51"/>
    </row>
    <row r="624" spans="1:17" x14ac:dyDescent="0.25">
      <c r="N624" s="51"/>
      <c r="O624" s="51"/>
      <c r="P624" s="51"/>
    </row>
    <row r="625" spans="1:17" x14ac:dyDescent="0.25">
      <c r="A625" s="19">
        <v>9</v>
      </c>
      <c r="B625" s="13" t="s">
        <v>245</v>
      </c>
      <c r="C625" s="14">
        <f>C614+C623</f>
        <v>3352115</v>
      </c>
      <c r="D625" s="14">
        <f>D614+D623</f>
        <v>-1494142</v>
      </c>
      <c r="E625" s="14">
        <f>E614+E623</f>
        <v>4846257</v>
      </c>
      <c r="F625" s="45">
        <f>F614+F623</f>
        <v>-38909016</v>
      </c>
      <c r="G625" s="15"/>
      <c r="H625" s="15"/>
      <c r="I625" s="53">
        <f>I616</f>
        <v>2.8521999999999998</v>
      </c>
      <c r="J625" s="15"/>
      <c r="K625" s="15"/>
      <c r="L625" s="31">
        <f>L614+L616+L623</f>
        <v>52731510.394600019</v>
      </c>
      <c r="N625" s="52">
        <f>N614+N623</f>
        <v>38909016</v>
      </c>
      <c r="O625" s="51"/>
      <c r="P625" s="52">
        <f>E625*I625</f>
        <v>13822494.215399999</v>
      </c>
      <c r="Q625" s="43"/>
    </row>
    <row r="626" spans="1:17" x14ac:dyDescent="0.25">
      <c r="N626" s="51"/>
      <c r="O626" s="51"/>
      <c r="P626" s="51"/>
    </row>
    <row r="627" spans="1:17" x14ac:dyDescent="0.25">
      <c r="B627" s="36" t="s">
        <v>74</v>
      </c>
      <c r="N627" s="51"/>
      <c r="O627" s="51"/>
      <c r="P627" s="51"/>
    </row>
  </sheetData>
  <mergeCells count="2">
    <mergeCell ref="L5:P5"/>
    <mergeCell ref="E8:L8"/>
  </mergeCells>
  <phoneticPr fontId="0" type="noConversion"/>
  <pageMargins left="0.5" right="0.5" top="1" bottom="1" header="0.5" footer="0.5"/>
  <pageSetup scale="71" orientation="landscape" horizontalDpi="300" verticalDpi="300" r:id="rId1"/>
  <headerFooter alignWithMargins="0">
    <oddHeader>&amp;RExhibit No. 7
Modified for Internal Use</oddHeader>
    <oddFooter>&amp;A&amp;RPage &amp;P</oddFooter>
  </headerFooter>
  <rowBreaks count="34" manualBreakCount="34">
    <brk id="33" max="16383" man="1"/>
    <brk id="50" max="16383" man="1"/>
    <brk id="67" max="16383" man="1"/>
    <brk id="84" max="16383" man="1"/>
    <brk id="101" max="16383" man="1"/>
    <brk id="118" max="16383" man="1"/>
    <brk id="135" max="16383" man="1"/>
    <brk id="152" max="16383" man="1"/>
    <brk id="169" max="16383" man="1"/>
    <brk id="186" max="16383" man="1"/>
    <brk id="203" max="16383" man="1"/>
    <brk id="220" max="16383" man="1"/>
    <brk id="237" max="16383" man="1"/>
    <brk id="254" max="16383" man="1"/>
    <brk id="271" max="16383" man="1"/>
    <brk id="288" max="16383" man="1"/>
    <brk id="305" max="16383" man="1"/>
    <brk id="322" max="16383" man="1"/>
    <brk id="339" max="16383" man="1"/>
    <brk id="356" max="16383" man="1"/>
    <brk id="373" max="16383" man="1"/>
    <brk id="390" max="16383" man="1"/>
    <brk id="407" max="16383" man="1"/>
    <brk id="424" max="16383" man="1"/>
    <brk id="441" max="16383" man="1"/>
    <brk id="458" max="16383" man="1"/>
    <brk id="475" max="16383" man="1"/>
    <brk id="509" max="16383" man="1"/>
    <brk id="526" max="16383" man="1"/>
    <brk id="543" max="16383" man="1"/>
    <brk id="560" max="16383" man="1"/>
    <brk id="577" max="16383" man="1"/>
    <brk id="594" max="16383" man="1"/>
    <brk id="61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zoomScale="75" workbookViewId="0">
      <selection activeCell="L27" sqref="L27"/>
    </sheetView>
  </sheetViews>
  <sheetFormatPr defaultRowHeight="13.2" x14ac:dyDescent="0.25"/>
  <cols>
    <col min="1" max="1" width="6.6640625" style="19" customWidth="1"/>
    <col min="2" max="2" width="34.6640625" customWidth="1"/>
    <col min="3" max="3" width="14.5546875" style="6" customWidth="1"/>
    <col min="4" max="5" width="11.6640625" style="6" customWidth="1"/>
    <col min="6" max="6" width="13.5546875" style="6" customWidth="1"/>
    <col min="7" max="7" width="12.5546875" style="9" customWidth="1"/>
    <col min="8" max="8" width="3.6640625" style="9" customWidth="1"/>
    <col min="9" max="9" width="9.88671875" style="9" customWidth="1"/>
    <col min="10" max="10" width="12.109375" style="9" customWidth="1"/>
    <col min="11" max="11" width="1.6640625" style="9" customWidth="1"/>
    <col min="12" max="12" width="13.6640625" style="6" customWidth="1"/>
    <col min="13" max="13" width="1.6640625" customWidth="1"/>
    <col min="14" max="14" width="16.109375" style="43" customWidth="1"/>
    <col min="15" max="15" width="1.6640625" style="43" customWidth="1"/>
    <col min="16" max="16" width="12.6640625" style="43" customWidth="1"/>
    <col min="17" max="17" width="17.6640625" customWidth="1"/>
  </cols>
  <sheetData>
    <row r="1" spans="1:16" x14ac:dyDescent="0.25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5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5">
      <c r="B3" s="42" t="s">
        <v>207</v>
      </c>
      <c r="C3" s="7"/>
      <c r="D3" s="7"/>
      <c r="I3" s="10"/>
      <c r="J3" s="10"/>
      <c r="K3" s="10"/>
      <c r="L3" s="34"/>
    </row>
    <row r="4" spans="1:16" x14ac:dyDescent="0.25">
      <c r="B4" s="42"/>
      <c r="C4" s="7"/>
      <c r="D4" s="7"/>
      <c r="I4" s="10"/>
      <c r="J4" s="10"/>
      <c r="K4" s="10"/>
      <c r="L4" s="34"/>
    </row>
    <row r="5" spans="1:16" x14ac:dyDescent="0.25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5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5">
      <c r="C7" s="5" t="s">
        <v>56</v>
      </c>
      <c r="N7" s="48" t="s">
        <v>192</v>
      </c>
      <c r="O7" s="48"/>
      <c r="P7" s="48" t="s">
        <v>188</v>
      </c>
    </row>
    <row r="8" spans="1:16" x14ac:dyDescent="0.25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5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5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5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5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5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5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5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5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5">
      <c r="B17" s="38" t="s">
        <v>180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5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5">
      <c r="A19" s="19">
        <v>1</v>
      </c>
      <c r="B19" s="13" t="s">
        <v>174</v>
      </c>
      <c r="C19" s="14">
        <v>4629245</v>
      </c>
      <c r="D19" s="14">
        <v>-2843646</v>
      </c>
      <c r="E19" s="14">
        <v>7472891</v>
      </c>
      <c r="F19" s="45">
        <v>87992</v>
      </c>
      <c r="G19" s="15"/>
      <c r="H19" s="15"/>
      <c r="I19" s="53">
        <v>8.9849999999999994</v>
      </c>
      <c r="J19" s="15"/>
      <c r="K19" s="15"/>
      <c r="L19" s="31">
        <v>67055935</v>
      </c>
      <c r="N19" s="52">
        <v>-87992</v>
      </c>
      <c r="O19" s="51"/>
      <c r="P19" s="52">
        <f>E19*I19</f>
        <v>67143925.63499999</v>
      </c>
      <c r="Q19" s="43"/>
    </row>
    <row r="20" spans="1:17" x14ac:dyDescent="0.25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5">
      <c r="A21" s="19">
        <v>2</v>
      </c>
      <c r="B21" s="8" t="s">
        <v>181</v>
      </c>
      <c r="C21" s="16"/>
      <c r="D21" s="16"/>
      <c r="E21" s="3">
        <f>E19</f>
        <v>7472891</v>
      </c>
      <c r="F21" s="3"/>
      <c r="G21" s="11">
        <v>8.9849999999999994</v>
      </c>
      <c r="H21" s="11" t="s">
        <v>73</v>
      </c>
      <c r="I21" s="11">
        <v>8.24</v>
      </c>
      <c r="J21" s="11">
        <f>I21-G21</f>
        <v>-0.74499999999999922</v>
      </c>
      <c r="K21" s="11"/>
      <c r="L21" s="3">
        <f>E21*J21</f>
        <v>-5567303.7949999943</v>
      </c>
      <c r="N21" s="51"/>
      <c r="O21" s="51"/>
      <c r="P21" s="51"/>
    </row>
    <row r="22" spans="1:17" x14ac:dyDescent="0.25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5">
      <c r="A23" s="19">
        <v>3</v>
      </c>
      <c r="B23" s="8" t="s">
        <v>182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5">
      <c r="A24" s="19">
        <v>4</v>
      </c>
      <c r="B24" s="2" t="s">
        <v>97</v>
      </c>
      <c r="C24" s="3"/>
      <c r="D24" s="3"/>
      <c r="E24" s="3">
        <v>-1720377</v>
      </c>
      <c r="F24" s="3">
        <v>-14150414</v>
      </c>
      <c r="G24" s="11">
        <f>F24/E24</f>
        <v>8.2251820385880539</v>
      </c>
      <c r="H24" s="11"/>
      <c r="I24" s="11">
        <f>I21</f>
        <v>8.24</v>
      </c>
      <c r="J24" s="11">
        <f>I24-G24</f>
        <v>1.4817961411946357E-2</v>
      </c>
      <c r="K24" s="11"/>
      <c r="L24" s="3">
        <f>E24*J24</f>
        <v>-25492.480000000036</v>
      </c>
      <c r="N24" s="51"/>
      <c r="O24" s="51"/>
      <c r="P24" s="51"/>
    </row>
    <row r="25" spans="1:17" x14ac:dyDescent="0.25">
      <c r="A25" s="19">
        <v>5</v>
      </c>
      <c r="B25" s="2" t="s">
        <v>98</v>
      </c>
      <c r="C25" s="3"/>
      <c r="D25" s="3"/>
      <c r="E25" s="3"/>
      <c r="F25" s="3">
        <v>389236</v>
      </c>
      <c r="G25" s="11"/>
      <c r="H25" s="11"/>
      <c r="I25" s="11"/>
      <c r="J25" s="11"/>
      <c r="K25" s="11"/>
      <c r="L25" s="3">
        <f>-F25</f>
        <v>-389236</v>
      </c>
      <c r="N25" s="51"/>
      <c r="O25" s="51"/>
      <c r="P25" s="51"/>
    </row>
    <row r="26" spans="1:17" x14ac:dyDescent="0.25">
      <c r="A26" s="19">
        <v>6</v>
      </c>
      <c r="B26" s="2" t="s">
        <v>0</v>
      </c>
      <c r="C26" s="3"/>
      <c r="D26" s="3"/>
      <c r="E26" s="3">
        <v>-3741357</v>
      </c>
      <c r="F26" s="3">
        <v>-39738750</v>
      </c>
      <c r="G26" s="11">
        <f>F26/E26</f>
        <v>10.621480387998258</v>
      </c>
      <c r="H26" s="11"/>
      <c r="I26" s="11">
        <f>I21</f>
        <v>8.24</v>
      </c>
      <c r="J26" s="11">
        <f>I26-G26</f>
        <v>-2.3814803879982573</v>
      </c>
      <c r="K26" s="11"/>
      <c r="L26" s="3">
        <f>E26*J26</f>
        <v>8909968.3199999966</v>
      </c>
      <c r="N26" s="51"/>
      <c r="O26" s="51"/>
      <c r="P26" s="51"/>
    </row>
    <row r="27" spans="1:17" x14ac:dyDescent="0.25">
      <c r="A27" s="19">
        <v>7</v>
      </c>
      <c r="B27" s="2" t="s">
        <v>81</v>
      </c>
      <c r="C27" s="1"/>
      <c r="D27" s="1"/>
      <c r="E27" s="1">
        <v>119143</v>
      </c>
      <c r="F27" s="1">
        <v>1041221</v>
      </c>
      <c r="G27" s="11">
        <f>F27/E27</f>
        <v>8.739254509287159</v>
      </c>
      <c r="H27" s="11"/>
      <c r="I27" s="11">
        <f>I21</f>
        <v>8.24</v>
      </c>
      <c r="J27" s="11">
        <f>I27-G27</f>
        <v>-0.49925450928715875</v>
      </c>
      <c r="K27" s="11"/>
      <c r="L27" s="1">
        <f>E27*J27</f>
        <v>-59482.679999999957</v>
      </c>
      <c r="N27" s="51"/>
      <c r="O27" s="51"/>
      <c r="P27" s="51"/>
    </row>
    <row r="28" spans="1:17" x14ac:dyDescent="0.25">
      <c r="A28" s="19">
        <v>8</v>
      </c>
      <c r="B28" s="2" t="s">
        <v>185</v>
      </c>
      <c r="C28" s="3">
        <f>D28+E28</f>
        <v>-5141526</v>
      </c>
      <c r="D28" s="3">
        <v>201065</v>
      </c>
      <c r="E28" s="3">
        <f>SUM(E24:E27)</f>
        <v>-5342591</v>
      </c>
      <c r="F28" s="3">
        <f>SUM(F24:F27)</f>
        <v>-52458707</v>
      </c>
      <c r="G28" s="11"/>
      <c r="H28" s="11"/>
      <c r="I28" s="11"/>
      <c r="J28" s="11"/>
      <c r="K28" s="11"/>
      <c r="L28" s="3">
        <f>SUM(L24:L27)</f>
        <v>8435757.1599999964</v>
      </c>
      <c r="N28" s="51">
        <f>F28*-1</f>
        <v>52458707</v>
      </c>
      <c r="O28" s="51"/>
      <c r="P28" s="51"/>
    </row>
    <row r="29" spans="1:17" x14ac:dyDescent="0.25">
      <c r="N29" s="51"/>
      <c r="O29" s="51"/>
      <c r="P29" s="51"/>
    </row>
    <row r="30" spans="1:17" x14ac:dyDescent="0.25">
      <c r="A30" s="19">
        <v>9</v>
      </c>
      <c r="B30" s="13" t="s">
        <v>186</v>
      </c>
      <c r="C30" s="14">
        <f>C19+C28</f>
        <v>-512281</v>
      </c>
      <c r="D30" s="14">
        <f>D19+D28</f>
        <v>-2642581</v>
      </c>
      <c r="E30" s="14">
        <f>E19+E28</f>
        <v>2130300</v>
      </c>
      <c r="F30" s="45">
        <f>F19+F28</f>
        <v>-52370715</v>
      </c>
      <c r="G30" s="15"/>
      <c r="H30" s="15"/>
      <c r="I30" s="53">
        <v>8.24</v>
      </c>
      <c r="J30" s="15"/>
      <c r="K30" s="15"/>
      <c r="L30" s="31">
        <f>L19+L21+L28</f>
        <v>69924388.36500001</v>
      </c>
      <c r="N30" s="52">
        <f>N19+N28</f>
        <v>52370715</v>
      </c>
      <c r="O30" s="51"/>
      <c r="P30" s="52">
        <f>E30*I30</f>
        <v>17553672</v>
      </c>
      <c r="Q30" s="43"/>
    </row>
    <row r="31" spans="1:17" x14ac:dyDescent="0.25">
      <c r="N31" s="51"/>
      <c r="O31" s="51"/>
      <c r="P31" s="51"/>
    </row>
    <row r="32" spans="1:17" x14ac:dyDescent="0.25">
      <c r="B32" s="36" t="s">
        <v>74</v>
      </c>
      <c r="N32" s="51"/>
      <c r="O32" s="51"/>
      <c r="P32" s="51"/>
    </row>
    <row r="33" spans="14:16" x14ac:dyDescent="0.25">
      <c r="N33" s="64"/>
      <c r="O33" s="64"/>
      <c r="P33" s="64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71" orientation="landscape" horizontalDpi="4294967292" verticalDpi="0" r:id="rId1"/>
  <headerFooter alignWithMargins="0">
    <oddHeader>&amp;RExhibit No. 7 Modified for Internal Use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>
      <selection activeCell="L30" sqref="L30"/>
    </sheetView>
  </sheetViews>
  <sheetFormatPr defaultRowHeight="13.2" x14ac:dyDescent="0.25"/>
  <cols>
    <col min="1" max="1" width="6.6640625" style="19" customWidth="1"/>
    <col min="2" max="2" width="34.6640625" customWidth="1"/>
    <col min="3" max="3" width="14.5546875" style="6" customWidth="1"/>
    <col min="4" max="5" width="11.6640625" style="6" customWidth="1"/>
    <col min="6" max="6" width="13.5546875" style="6" customWidth="1"/>
    <col min="7" max="7" width="12.5546875" style="9" customWidth="1"/>
    <col min="8" max="8" width="3.6640625" style="9" customWidth="1"/>
    <col min="9" max="9" width="9.88671875" style="9" customWidth="1"/>
    <col min="10" max="10" width="12.109375" style="9" customWidth="1"/>
    <col min="11" max="11" width="1.6640625" style="9" customWidth="1"/>
    <col min="12" max="12" width="13.6640625" style="6" customWidth="1"/>
    <col min="13" max="13" width="1.6640625" customWidth="1"/>
    <col min="14" max="14" width="16.109375" style="43" customWidth="1"/>
    <col min="15" max="15" width="1.6640625" style="43" customWidth="1"/>
    <col min="16" max="16" width="12.6640625" style="43" customWidth="1"/>
    <col min="17" max="17" width="17.6640625" customWidth="1"/>
  </cols>
  <sheetData>
    <row r="1" spans="1:16" x14ac:dyDescent="0.25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5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5">
      <c r="B3" s="42" t="s">
        <v>198</v>
      </c>
      <c r="C3" s="7"/>
      <c r="D3" s="7"/>
      <c r="I3" s="10"/>
      <c r="J3" s="10"/>
      <c r="K3" s="10"/>
      <c r="L3" s="34"/>
    </row>
    <row r="4" spans="1:16" x14ac:dyDescent="0.25">
      <c r="B4" s="42"/>
      <c r="C4" s="7"/>
      <c r="D4" s="7"/>
      <c r="I4" s="10"/>
      <c r="J4" s="10"/>
      <c r="K4" s="10"/>
      <c r="L4" s="34"/>
    </row>
    <row r="5" spans="1:16" x14ac:dyDescent="0.25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5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5">
      <c r="C7" s="5" t="s">
        <v>56</v>
      </c>
      <c r="N7" s="48" t="s">
        <v>192</v>
      </c>
      <c r="O7" s="48"/>
      <c r="P7" s="48" t="s">
        <v>188</v>
      </c>
    </row>
    <row r="8" spans="1:16" x14ac:dyDescent="0.25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5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5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5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5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5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5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5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5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5">
      <c r="B17" s="38" t="s">
        <v>199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5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5">
      <c r="A19" s="19">
        <v>1</v>
      </c>
      <c r="B19" s="13" t="s">
        <v>186</v>
      </c>
      <c r="C19" s="14">
        <v>-512281</v>
      </c>
      <c r="D19" s="14">
        <v>-2642581</v>
      </c>
      <c r="E19" s="14">
        <v>2130300</v>
      </c>
      <c r="F19" s="45">
        <v>-52370715</v>
      </c>
      <c r="G19" s="15"/>
      <c r="H19" s="15"/>
      <c r="I19" s="53">
        <v>8.24</v>
      </c>
      <c r="J19" s="15"/>
      <c r="K19" s="15"/>
      <c r="L19" s="31">
        <v>69924388</v>
      </c>
      <c r="N19" s="52">
        <v>52370715</v>
      </c>
      <c r="O19" s="51"/>
      <c r="P19" s="52">
        <f>E19*I19</f>
        <v>17553672</v>
      </c>
      <c r="Q19" s="43"/>
    </row>
    <row r="20" spans="1:17" x14ac:dyDescent="0.25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5">
      <c r="A21" s="19">
        <v>2</v>
      </c>
      <c r="B21" s="8" t="s">
        <v>200</v>
      </c>
      <c r="C21" s="16"/>
      <c r="D21" s="16"/>
      <c r="E21" s="3">
        <f>E19</f>
        <v>2130300</v>
      </c>
      <c r="F21" s="3"/>
      <c r="G21" s="11">
        <v>8.24</v>
      </c>
      <c r="H21" s="11" t="s">
        <v>73</v>
      </c>
      <c r="I21" s="11">
        <v>5.6802000000000001</v>
      </c>
      <c r="J21" s="11">
        <f>I21-G21</f>
        <v>-2.5598000000000001</v>
      </c>
      <c r="K21" s="11"/>
      <c r="L21" s="3">
        <f>E21*J21</f>
        <v>-5453141.9400000004</v>
      </c>
      <c r="N21" s="51"/>
      <c r="O21" s="51"/>
      <c r="P21" s="51"/>
    </row>
    <row r="22" spans="1:17" x14ac:dyDescent="0.25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5">
      <c r="A23" s="19">
        <v>3</v>
      </c>
      <c r="B23" s="8" t="s">
        <v>201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5">
      <c r="A24" s="19">
        <v>4</v>
      </c>
      <c r="B24" s="2" t="s">
        <v>97</v>
      </c>
      <c r="C24" s="3"/>
      <c r="D24" s="3"/>
      <c r="E24" s="3">
        <v>-1505362</v>
      </c>
      <c r="F24" s="3">
        <f>-8213093-F25</f>
        <v>-8394473</v>
      </c>
      <c r="G24" s="11">
        <f>F24/E24</f>
        <v>5.5763816278077964</v>
      </c>
      <c r="H24" s="11"/>
      <c r="I24" s="11">
        <f>I21</f>
        <v>5.6802000000000001</v>
      </c>
      <c r="J24" s="11">
        <f>I24-G24</f>
        <v>0.10381837219220369</v>
      </c>
      <c r="K24" s="11"/>
      <c r="L24" s="3">
        <f>E24*J24</f>
        <v>-156284.23240000012</v>
      </c>
      <c r="N24" s="51"/>
      <c r="O24" s="51"/>
      <c r="P24" s="51"/>
    </row>
    <row r="25" spans="1:17" x14ac:dyDescent="0.25">
      <c r="A25" s="19">
        <v>5</v>
      </c>
      <c r="B25" s="2" t="s">
        <v>98</v>
      </c>
      <c r="C25" s="3"/>
      <c r="D25" s="3"/>
      <c r="E25" s="3"/>
      <c r="F25" s="3">
        <v>181380</v>
      </c>
      <c r="G25" s="11"/>
      <c r="H25" s="11"/>
      <c r="I25" s="11"/>
      <c r="J25" s="11"/>
      <c r="K25" s="11"/>
      <c r="L25" s="3">
        <f>-F25</f>
        <v>-181380</v>
      </c>
      <c r="N25" s="51"/>
      <c r="O25" s="51"/>
      <c r="P25" s="51"/>
    </row>
    <row r="26" spans="1:17" x14ac:dyDescent="0.25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5.6802000000000001</v>
      </c>
      <c r="J26" s="11">
        <f>I26-G26</f>
        <v>5.6802000000000001</v>
      </c>
      <c r="K26" s="11"/>
      <c r="L26" s="3">
        <f>E26*J26</f>
        <v>0</v>
      </c>
      <c r="N26" s="51"/>
      <c r="O26" s="51"/>
      <c r="P26" s="51"/>
    </row>
    <row r="27" spans="1:17" x14ac:dyDescent="0.25">
      <c r="A27" s="19">
        <v>7</v>
      </c>
      <c r="B27" s="2" t="s">
        <v>81</v>
      </c>
      <c r="C27" s="1"/>
      <c r="D27" s="1"/>
      <c r="E27" s="1">
        <f>84+132054+5909</f>
        <v>138047</v>
      </c>
      <c r="F27" s="1">
        <f>721+1056170+48320-3</f>
        <v>1105208</v>
      </c>
      <c r="G27" s="11">
        <f>F27/E27</f>
        <v>8.0060269328562015</v>
      </c>
      <c r="H27" s="11"/>
      <c r="I27" s="11">
        <f>I21</f>
        <v>5.6802000000000001</v>
      </c>
      <c r="J27" s="11">
        <f>I27-G27</f>
        <v>-2.3258269328562013</v>
      </c>
      <c r="K27" s="11"/>
      <c r="L27" s="1">
        <f>E27*J27-2</f>
        <v>-321075.43060000002</v>
      </c>
      <c r="N27" s="51"/>
      <c r="O27" s="51"/>
      <c r="P27" s="51"/>
    </row>
    <row r="28" spans="1:17" x14ac:dyDescent="0.25">
      <c r="A28" s="19">
        <v>8</v>
      </c>
      <c r="B28" s="2" t="s">
        <v>203</v>
      </c>
      <c r="C28" s="3">
        <f>D28+E28</f>
        <v>-2199773</v>
      </c>
      <c r="D28" s="3">
        <v>-832458</v>
      </c>
      <c r="E28" s="3">
        <f>SUM(E24:E27)</f>
        <v>-1367315</v>
      </c>
      <c r="F28" s="3">
        <f>SUM(F24:F27)</f>
        <v>-7107885</v>
      </c>
      <c r="G28" s="11"/>
      <c r="H28" s="11"/>
      <c r="I28" s="11"/>
      <c r="J28" s="11"/>
      <c r="K28" s="11"/>
      <c r="L28" s="3">
        <f>SUM(L24:L27)</f>
        <v>-658739.66300000018</v>
      </c>
      <c r="N28" s="51">
        <f>F28*-1</f>
        <v>7107885</v>
      </c>
      <c r="O28" s="51"/>
      <c r="P28" s="51"/>
    </row>
    <row r="29" spans="1:17" x14ac:dyDescent="0.25">
      <c r="N29" s="51"/>
      <c r="O29" s="51"/>
      <c r="P29" s="51"/>
    </row>
    <row r="30" spans="1:17" x14ac:dyDescent="0.25">
      <c r="A30" s="19">
        <v>9</v>
      </c>
      <c r="B30" s="13" t="s">
        <v>202</v>
      </c>
      <c r="C30" s="14">
        <f>C19+C28</f>
        <v>-2712054</v>
      </c>
      <c r="D30" s="14">
        <f>D19+D28</f>
        <v>-3475039</v>
      </c>
      <c r="E30" s="14">
        <f>E19+E28</f>
        <v>762985</v>
      </c>
      <c r="F30" s="45">
        <f>F19+F28</f>
        <v>-59478600</v>
      </c>
      <c r="G30" s="15"/>
      <c r="H30" s="15"/>
      <c r="I30" s="53">
        <f>I21</f>
        <v>5.6802000000000001</v>
      </c>
      <c r="J30" s="15"/>
      <c r="K30" s="15"/>
      <c r="L30" s="31">
        <f>L19+L21+L28</f>
        <v>63812506.397</v>
      </c>
      <c r="N30" s="52">
        <f>N19+N28</f>
        <v>59478600</v>
      </c>
      <c r="O30" s="51"/>
      <c r="P30" s="52">
        <f>E30*I30</f>
        <v>4333907.3969999999</v>
      </c>
      <c r="Q30" s="43"/>
    </row>
    <row r="31" spans="1:17" x14ac:dyDescent="0.25">
      <c r="N31" s="51"/>
      <c r="O31" s="51"/>
      <c r="P31" s="51"/>
    </row>
    <row r="32" spans="1:17" x14ac:dyDescent="0.25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71" orientation="landscape" horizontalDpi="4294967292" verticalDpi="0" r:id="rId1"/>
  <headerFooter alignWithMargins="0">
    <oddHeader>&amp;RExhibit No. 7 Modified for Internal Use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>
      <selection activeCell="L30" sqref="L30"/>
    </sheetView>
  </sheetViews>
  <sheetFormatPr defaultRowHeight="13.2" x14ac:dyDescent="0.25"/>
  <cols>
    <col min="1" max="1" width="6.6640625" style="19" customWidth="1"/>
    <col min="2" max="2" width="34.6640625" customWidth="1"/>
    <col min="3" max="3" width="14.5546875" style="6" customWidth="1"/>
    <col min="4" max="5" width="11.6640625" style="6" customWidth="1"/>
    <col min="6" max="6" width="13.5546875" style="6" customWidth="1"/>
    <col min="7" max="7" width="12.5546875" style="9" customWidth="1"/>
    <col min="8" max="8" width="3.6640625" style="9" customWidth="1"/>
    <col min="9" max="9" width="9.88671875" style="9" customWidth="1"/>
    <col min="10" max="10" width="12.109375" style="9" customWidth="1"/>
    <col min="11" max="11" width="1.6640625" style="9" customWidth="1"/>
    <col min="12" max="12" width="13.6640625" style="6" customWidth="1"/>
    <col min="13" max="13" width="1.6640625" customWidth="1"/>
    <col min="14" max="14" width="16.109375" style="43" customWidth="1"/>
    <col min="15" max="15" width="1.6640625" style="43" customWidth="1"/>
    <col min="16" max="16" width="12.6640625" style="43" customWidth="1"/>
    <col min="17" max="17" width="17.6640625" customWidth="1"/>
  </cols>
  <sheetData>
    <row r="1" spans="1:16" x14ac:dyDescent="0.25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5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5">
      <c r="B3" s="42" t="s">
        <v>215</v>
      </c>
      <c r="C3" s="7"/>
      <c r="D3" s="7"/>
      <c r="I3" s="10"/>
      <c r="J3" s="10"/>
      <c r="K3" s="10"/>
      <c r="L3" s="34"/>
    </row>
    <row r="4" spans="1:16" x14ac:dyDescent="0.25">
      <c r="B4" s="42"/>
      <c r="C4" s="7"/>
      <c r="D4" s="7"/>
      <c r="I4" s="10"/>
      <c r="J4" s="10"/>
      <c r="K4" s="10"/>
      <c r="L4" s="34"/>
    </row>
    <row r="5" spans="1:16" x14ac:dyDescent="0.25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5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5">
      <c r="C7" s="5" t="s">
        <v>56</v>
      </c>
      <c r="N7" s="48" t="s">
        <v>192</v>
      </c>
      <c r="O7" s="48"/>
      <c r="P7" s="48" t="s">
        <v>188</v>
      </c>
    </row>
    <row r="8" spans="1:16" x14ac:dyDescent="0.25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5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5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5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5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5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5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5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5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5">
      <c r="B17" s="38" t="s">
        <v>210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5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5">
      <c r="A19" s="19">
        <v>1</v>
      </c>
      <c r="B19" s="13" t="s">
        <v>202</v>
      </c>
      <c r="C19" s="14">
        <f>D19+E19</f>
        <v>-2712054</v>
      </c>
      <c r="D19" s="14">
        <v>-3475039</v>
      </c>
      <c r="E19" s="14">
        <v>762985</v>
      </c>
      <c r="F19" s="45">
        <v>-59478600</v>
      </c>
      <c r="G19" s="15"/>
      <c r="H19" s="15"/>
      <c r="I19" s="53">
        <v>5.6802000000000001</v>
      </c>
      <c r="J19" s="15"/>
      <c r="K19" s="15"/>
      <c r="L19" s="31">
        <v>63812507</v>
      </c>
      <c r="N19" s="52">
        <v>59478600</v>
      </c>
      <c r="O19" s="51"/>
      <c r="P19" s="52">
        <f>E19*I19</f>
        <v>4333907.3969999999</v>
      </c>
      <c r="Q19" s="43"/>
    </row>
    <row r="20" spans="1:17" x14ac:dyDescent="0.25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5">
      <c r="A21" s="19">
        <v>2</v>
      </c>
      <c r="B21" s="8" t="s">
        <v>211</v>
      </c>
      <c r="C21" s="16"/>
      <c r="D21" s="16"/>
      <c r="E21" s="3">
        <f>E19</f>
        <v>762985</v>
      </c>
      <c r="F21" s="3"/>
      <c r="G21" s="11">
        <f>I19</f>
        <v>5.6802000000000001</v>
      </c>
      <c r="H21" s="11" t="s">
        <v>73</v>
      </c>
      <c r="I21" s="11">
        <v>5.1093000000000002</v>
      </c>
      <c r="J21" s="11">
        <f>I21-G21</f>
        <v>-0.57089999999999996</v>
      </c>
      <c r="K21" s="11"/>
      <c r="L21" s="3">
        <f>E21*J21</f>
        <v>-435588.13649999996</v>
      </c>
      <c r="N21" s="51"/>
      <c r="O21" s="51"/>
      <c r="P21" s="51"/>
    </row>
    <row r="22" spans="1:17" x14ac:dyDescent="0.25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5">
      <c r="A23" s="19">
        <v>3</v>
      </c>
      <c r="B23" s="8" t="s">
        <v>212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5">
      <c r="A24" s="19">
        <v>4</v>
      </c>
      <c r="B24" s="2" t="s">
        <v>97</v>
      </c>
      <c r="C24" s="3"/>
      <c r="D24" s="3"/>
      <c r="E24" s="3">
        <v>207686</v>
      </c>
      <c r="F24" s="3">
        <f>412421-F25</f>
        <v>293118</v>
      </c>
      <c r="G24" s="11">
        <f>F24/E24</f>
        <v>1.4113517521643251</v>
      </c>
      <c r="H24" s="11"/>
      <c r="I24" s="11">
        <f>I21</f>
        <v>5.1093000000000002</v>
      </c>
      <c r="J24" s="11">
        <f>I24-G24</f>
        <v>3.6979482478356749</v>
      </c>
      <c r="K24" s="11"/>
      <c r="L24" s="3">
        <f>E24*J24</f>
        <v>768012.07979999995</v>
      </c>
      <c r="N24" s="51"/>
      <c r="O24" s="51"/>
      <c r="P24" s="51"/>
    </row>
    <row r="25" spans="1:17" x14ac:dyDescent="0.25">
      <c r="A25" s="19">
        <v>5</v>
      </c>
      <c r="B25" s="2" t="s">
        <v>98</v>
      </c>
      <c r="C25" s="3"/>
      <c r="D25" s="3"/>
      <c r="E25" s="3"/>
      <c r="F25" s="3">
        <v>119303</v>
      </c>
      <c r="G25" s="11"/>
      <c r="H25" s="11"/>
      <c r="I25" s="11"/>
      <c r="J25" s="11"/>
      <c r="K25" s="11"/>
      <c r="L25" s="3">
        <f>-F25</f>
        <v>-119303</v>
      </c>
      <c r="N25" s="51"/>
      <c r="O25" s="51"/>
      <c r="P25" s="51"/>
    </row>
    <row r="26" spans="1:17" x14ac:dyDescent="0.25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5.1093000000000002</v>
      </c>
      <c r="J26" s="11">
        <f>I26-G26</f>
        <v>5.1093000000000002</v>
      </c>
      <c r="K26" s="11"/>
      <c r="L26" s="3">
        <f>E26*J26</f>
        <v>0</v>
      </c>
      <c r="N26" s="51"/>
      <c r="O26" s="51"/>
      <c r="P26" s="51"/>
    </row>
    <row r="27" spans="1:17" x14ac:dyDescent="0.25">
      <c r="A27" s="19">
        <v>7</v>
      </c>
      <c r="B27" s="2" t="s">
        <v>81</v>
      </c>
      <c r="C27" s="1"/>
      <c r="D27" s="1"/>
      <c r="E27" s="1">
        <f>73+115469+5685</f>
        <v>121227</v>
      </c>
      <c r="F27" s="1">
        <f>423+639755+31105</f>
        <v>671283</v>
      </c>
      <c r="G27" s="11">
        <f>F27/E27</f>
        <v>5.5374050335321341</v>
      </c>
      <c r="H27" s="11"/>
      <c r="I27" s="11">
        <f>I21</f>
        <v>5.1093000000000002</v>
      </c>
      <c r="J27" s="11">
        <f>I27-G27</f>
        <v>-0.42810503353213392</v>
      </c>
      <c r="K27" s="11"/>
      <c r="L27" s="1">
        <f>E27*J27+1</f>
        <v>-51896.888899999998</v>
      </c>
      <c r="N27" s="51"/>
      <c r="O27" s="51"/>
      <c r="P27" s="51"/>
    </row>
    <row r="28" spans="1:17" x14ac:dyDescent="0.25">
      <c r="A28" s="19">
        <v>8</v>
      </c>
      <c r="B28" s="2" t="s">
        <v>213</v>
      </c>
      <c r="C28" s="3">
        <f>D28+E28</f>
        <v>-1340</v>
      </c>
      <c r="D28" s="3">
        <v>-330253</v>
      </c>
      <c r="E28" s="3">
        <f>SUM(E24:E27)</f>
        <v>328913</v>
      </c>
      <c r="F28" s="3">
        <f>SUM(F24:F27)</f>
        <v>1083704</v>
      </c>
      <c r="G28" s="11"/>
      <c r="H28" s="11"/>
      <c r="I28" s="11"/>
      <c r="J28" s="11"/>
      <c r="K28" s="11"/>
      <c r="L28" s="3">
        <f>SUM(L24:L27)</f>
        <v>596812.19089999993</v>
      </c>
      <c r="N28" s="51">
        <f>F28*-1</f>
        <v>-1083704</v>
      </c>
      <c r="O28" s="51"/>
      <c r="P28" s="51"/>
    </row>
    <row r="29" spans="1:17" x14ac:dyDescent="0.25">
      <c r="N29" s="51"/>
      <c r="O29" s="51"/>
      <c r="P29" s="51"/>
    </row>
    <row r="30" spans="1:17" x14ac:dyDescent="0.25">
      <c r="A30" s="19">
        <v>9</v>
      </c>
      <c r="B30" s="13" t="s">
        <v>214</v>
      </c>
      <c r="C30" s="14">
        <f>C19+C28</f>
        <v>-2713394</v>
      </c>
      <c r="D30" s="14">
        <f>D19+D28</f>
        <v>-3805292</v>
      </c>
      <c r="E30" s="14">
        <f>E19+E28</f>
        <v>1091898</v>
      </c>
      <c r="F30" s="45">
        <f>F19+F28</f>
        <v>-58394896</v>
      </c>
      <c r="G30" s="15"/>
      <c r="H30" s="15"/>
      <c r="I30" s="53">
        <f>I21</f>
        <v>5.1093000000000002</v>
      </c>
      <c r="J30" s="15"/>
      <c r="K30" s="15"/>
      <c r="L30" s="31">
        <f>L19+L21+L28</f>
        <v>63973731.054399997</v>
      </c>
      <c r="N30" s="52">
        <f>N19+N28</f>
        <v>58394896</v>
      </c>
      <c r="O30" s="51"/>
      <c r="P30" s="52">
        <f>E30*I30+1</f>
        <v>5578835.4514000006</v>
      </c>
      <c r="Q30" s="43"/>
    </row>
    <row r="31" spans="1:17" x14ac:dyDescent="0.25">
      <c r="N31" s="51"/>
      <c r="O31" s="51"/>
      <c r="P31" s="51"/>
    </row>
    <row r="32" spans="1:17" x14ac:dyDescent="0.25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71" orientation="landscape" horizontalDpi="4294967292" verticalDpi="0" r:id="rId1"/>
  <headerFooter alignWithMargins="0">
    <oddHeader>&amp;RExhibit No. 7 Modified for Internal Use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/>
  </sheetViews>
  <sheetFormatPr defaultRowHeight="13.2" x14ac:dyDescent="0.25"/>
  <cols>
    <col min="1" max="1" width="6.6640625" style="19" customWidth="1"/>
    <col min="2" max="2" width="34.6640625" customWidth="1"/>
    <col min="3" max="3" width="14.5546875" style="6" customWidth="1"/>
    <col min="4" max="5" width="11.6640625" style="6" customWidth="1"/>
    <col min="6" max="6" width="13.5546875" style="6" customWidth="1"/>
    <col min="7" max="7" width="12.5546875" style="9" customWidth="1"/>
    <col min="8" max="8" width="3.6640625" style="9" customWidth="1"/>
    <col min="9" max="9" width="9.88671875" style="9" customWidth="1"/>
    <col min="10" max="10" width="12.109375" style="9" customWidth="1"/>
    <col min="11" max="11" width="1.6640625" style="9" customWidth="1"/>
    <col min="12" max="12" width="13.6640625" style="6" customWidth="1"/>
    <col min="13" max="13" width="1.6640625" customWidth="1"/>
    <col min="14" max="14" width="16.109375" style="43" customWidth="1"/>
    <col min="15" max="15" width="1.6640625" style="43" customWidth="1"/>
    <col min="16" max="16" width="12.6640625" style="43" customWidth="1"/>
    <col min="17" max="17" width="17.6640625" customWidth="1"/>
  </cols>
  <sheetData>
    <row r="1" spans="1:16" x14ac:dyDescent="0.25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5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5">
      <c r="B3" s="42" t="s">
        <v>221</v>
      </c>
      <c r="C3" s="7"/>
      <c r="D3" s="7"/>
      <c r="I3" s="10"/>
      <c r="J3" s="10"/>
      <c r="K3" s="10"/>
      <c r="L3" s="34"/>
    </row>
    <row r="4" spans="1:16" x14ac:dyDescent="0.25">
      <c r="B4" s="42"/>
      <c r="C4" s="7"/>
      <c r="D4" s="7"/>
      <c r="I4" s="10"/>
      <c r="J4" s="10"/>
      <c r="K4" s="10"/>
      <c r="L4" s="34"/>
    </row>
    <row r="5" spans="1:16" x14ac:dyDescent="0.25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5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5">
      <c r="C7" s="5" t="s">
        <v>56</v>
      </c>
      <c r="N7" s="48" t="s">
        <v>192</v>
      </c>
      <c r="O7" s="48"/>
      <c r="P7" s="48" t="s">
        <v>188</v>
      </c>
    </row>
    <row r="8" spans="1:16" x14ac:dyDescent="0.25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5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5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5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5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5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5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5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5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5">
      <c r="B17" s="38" t="s">
        <v>216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5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5">
      <c r="A19" s="19">
        <v>1</v>
      </c>
      <c r="B19" s="13" t="s">
        <v>214</v>
      </c>
      <c r="C19" s="14">
        <f>D19+E19</f>
        <v>-2713394</v>
      </c>
      <c r="D19" s="14">
        <v>-3805292</v>
      </c>
      <c r="E19" s="14">
        <v>1091898</v>
      </c>
      <c r="F19" s="45">
        <v>-58394896</v>
      </c>
      <c r="G19" s="15"/>
      <c r="H19" s="15"/>
      <c r="I19" s="53">
        <v>5.1093000000000002</v>
      </c>
      <c r="J19" s="15"/>
      <c r="K19" s="15"/>
      <c r="L19" s="31">
        <v>63973731</v>
      </c>
      <c r="N19" s="52">
        <v>58394896</v>
      </c>
      <c r="O19" s="51"/>
      <c r="P19" s="52">
        <f>E19*I19</f>
        <v>5578834.4514000006</v>
      </c>
      <c r="Q19" s="43"/>
    </row>
    <row r="20" spans="1:17" x14ac:dyDescent="0.25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5">
      <c r="A21" s="19">
        <v>2</v>
      </c>
      <c r="B21" s="8" t="s">
        <v>217</v>
      </c>
      <c r="C21" s="16"/>
      <c r="D21" s="16"/>
      <c r="E21" s="3">
        <f>E19</f>
        <v>1091898</v>
      </c>
      <c r="F21" s="3"/>
      <c r="G21" s="11">
        <f>I19</f>
        <v>5.1093000000000002</v>
      </c>
      <c r="H21" s="11" t="s">
        <v>73</v>
      </c>
      <c r="I21" s="11">
        <v>5.0522</v>
      </c>
      <c r="J21" s="11">
        <f>I21-G21</f>
        <v>-5.7100000000000151E-2</v>
      </c>
      <c r="K21" s="11"/>
      <c r="L21" s="3">
        <f>E21*J21</f>
        <v>-62347.375800000162</v>
      </c>
      <c r="N21" s="51"/>
      <c r="O21" s="51"/>
      <c r="P21" s="51"/>
    </row>
    <row r="22" spans="1:17" x14ac:dyDescent="0.25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5">
      <c r="A23" s="19">
        <v>3</v>
      </c>
      <c r="B23" s="8" t="s">
        <v>218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5">
      <c r="A24" s="19">
        <v>4</v>
      </c>
      <c r="B24" s="2" t="s">
        <v>97</v>
      </c>
      <c r="C24" s="3"/>
      <c r="D24" s="3"/>
      <c r="E24" s="3">
        <v>-722337</v>
      </c>
      <c r="F24" s="3">
        <f>-3537508-F25</f>
        <v>-3575769</v>
      </c>
      <c r="G24" s="11">
        <f>F24/E24</f>
        <v>4.9502780558105153</v>
      </c>
      <c r="H24" s="11"/>
      <c r="I24" s="11">
        <f>I21</f>
        <v>5.0522</v>
      </c>
      <c r="J24" s="11">
        <f>I24-G24</f>
        <v>0.10192194418948475</v>
      </c>
      <c r="K24" s="11"/>
      <c r="L24" s="3">
        <f>E24*J24</f>
        <v>-73621.991399999839</v>
      </c>
      <c r="N24" s="51"/>
      <c r="O24" s="51"/>
      <c r="P24" s="51"/>
    </row>
    <row r="25" spans="1:17" x14ac:dyDescent="0.25">
      <c r="A25" s="19">
        <v>5</v>
      </c>
      <c r="B25" s="2" t="s">
        <v>98</v>
      </c>
      <c r="C25" s="3"/>
      <c r="D25" s="3"/>
      <c r="E25" s="3"/>
      <c r="F25" s="3">
        <v>38261</v>
      </c>
      <c r="G25" s="11"/>
      <c r="H25" s="11"/>
      <c r="I25" s="11"/>
      <c r="J25" s="11"/>
      <c r="K25" s="11"/>
      <c r="L25" s="3">
        <f>-F25</f>
        <v>-38261</v>
      </c>
      <c r="N25" s="51"/>
      <c r="O25" s="51"/>
      <c r="P25" s="51"/>
    </row>
    <row r="26" spans="1:17" x14ac:dyDescent="0.25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5.0522</v>
      </c>
      <c r="J26" s="11">
        <f>I26-G26</f>
        <v>5.0522</v>
      </c>
      <c r="K26" s="11"/>
      <c r="L26" s="3">
        <f>E26*J26</f>
        <v>0</v>
      </c>
      <c r="N26" s="51"/>
      <c r="O26" s="51"/>
      <c r="P26" s="51"/>
    </row>
    <row r="27" spans="1:17" x14ac:dyDescent="0.25">
      <c r="A27" s="19">
        <v>7</v>
      </c>
      <c r="B27" s="2" t="s">
        <v>81</v>
      </c>
      <c r="C27" s="1"/>
      <c r="D27" s="1"/>
      <c r="E27" s="1">
        <f>2400036+146580+4502+7138</f>
        <v>2558256</v>
      </c>
      <c r="F27" s="1">
        <f>12960939+742576+36813+34653</f>
        <v>13774981</v>
      </c>
      <c r="G27" s="11">
        <f>F27/E27</f>
        <v>5.3845201574822852</v>
      </c>
      <c r="H27" s="11"/>
      <c r="I27" s="11">
        <f>I21</f>
        <v>5.0522</v>
      </c>
      <c r="J27" s="11">
        <f>I27-G27</f>
        <v>-0.33232015748228516</v>
      </c>
      <c r="K27" s="11"/>
      <c r="L27" s="1">
        <f>E27*J27-1</f>
        <v>-850161.03680000093</v>
      </c>
      <c r="N27" s="51"/>
      <c r="O27" s="51"/>
      <c r="P27" s="51"/>
    </row>
    <row r="28" spans="1:17" x14ac:dyDescent="0.25">
      <c r="A28" s="19">
        <v>8</v>
      </c>
      <c r="B28" s="2" t="s">
        <v>219</v>
      </c>
      <c r="C28" s="3">
        <f>D28+E28</f>
        <v>1827580</v>
      </c>
      <c r="D28" s="3">
        <v>-8339</v>
      </c>
      <c r="E28" s="3">
        <f>SUM(E24:E27)</f>
        <v>1835919</v>
      </c>
      <c r="F28" s="3">
        <f>SUM(F24:F27)</f>
        <v>10237473</v>
      </c>
      <c r="G28" s="11"/>
      <c r="H28" s="11"/>
      <c r="I28" s="11"/>
      <c r="J28" s="11"/>
      <c r="K28" s="11"/>
      <c r="L28" s="3">
        <f>SUM(L24:L27)</f>
        <v>-962044.02820000076</v>
      </c>
      <c r="N28" s="51">
        <f>F28*-1</f>
        <v>-10237473</v>
      </c>
      <c r="O28" s="51"/>
      <c r="P28" s="51"/>
    </row>
    <row r="29" spans="1:17" x14ac:dyDescent="0.25">
      <c r="N29" s="51"/>
      <c r="O29" s="51"/>
      <c r="P29" s="51"/>
    </row>
    <row r="30" spans="1:17" x14ac:dyDescent="0.25">
      <c r="A30" s="19">
        <v>9</v>
      </c>
      <c r="B30" s="13" t="s">
        <v>220</v>
      </c>
      <c r="C30" s="14">
        <f>C19+C28</f>
        <v>-885814</v>
      </c>
      <c r="D30" s="14">
        <f>D19+D28</f>
        <v>-3813631</v>
      </c>
      <c r="E30" s="14">
        <f>E19+E28</f>
        <v>2927817</v>
      </c>
      <c r="F30" s="45">
        <f>F19+F28</f>
        <v>-48157423</v>
      </c>
      <c r="G30" s="15"/>
      <c r="H30" s="15"/>
      <c r="I30" s="53">
        <f>I21</f>
        <v>5.0522</v>
      </c>
      <c r="J30" s="15"/>
      <c r="K30" s="15"/>
      <c r="L30" s="31">
        <f>L19+L21+L28</f>
        <v>62949339.596000001</v>
      </c>
      <c r="N30" s="52">
        <f>N19+N28</f>
        <v>48157423</v>
      </c>
      <c r="O30" s="51"/>
      <c r="P30" s="52">
        <f>E30*I30</f>
        <v>14791917.0474</v>
      </c>
      <c r="Q30" s="43"/>
    </row>
    <row r="31" spans="1:17" x14ac:dyDescent="0.25">
      <c r="N31" s="51"/>
      <c r="O31" s="51"/>
      <c r="P31" s="51"/>
    </row>
    <row r="32" spans="1:17" x14ac:dyDescent="0.25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rintOptions horizontalCentered="1"/>
  <pageMargins left="0.75" right="0.75" top="1" bottom="1" header="0.5" footer="0.5"/>
  <pageSetup scale="71" orientation="landscape" horizontalDpi="4294967292" verticalDpi="0" r:id="rId1"/>
  <headerFooter alignWithMargins="0">
    <oddHeader>&amp;RExhibit No. 7 Modified for  Internal Use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>
      <selection activeCell="D26" sqref="D26"/>
    </sheetView>
  </sheetViews>
  <sheetFormatPr defaultRowHeight="13.2" x14ac:dyDescent="0.25"/>
  <cols>
    <col min="1" max="1" width="6.6640625" style="19" customWidth="1"/>
    <col min="2" max="2" width="34.6640625" customWidth="1"/>
    <col min="3" max="3" width="14.5546875" style="6" customWidth="1"/>
    <col min="4" max="5" width="11.6640625" style="6" customWidth="1"/>
    <col min="6" max="6" width="13.5546875" style="6" customWidth="1"/>
    <col min="7" max="7" width="12.5546875" style="9" customWidth="1"/>
    <col min="8" max="8" width="3.6640625" style="9" customWidth="1"/>
    <col min="9" max="9" width="9.88671875" style="9" customWidth="1"/>
    <col min="10" max="10" width="12.109375" style="9" customWidth="1"/>
    <col min="11" max="11" width="1.6640625" style="9" customWidth="1"/>
    <col min="12" max="12" width="13.6640625" style="6" customWidth="1"/>
    <col min="13" max="13" width="1.6640625" customWidth="1"/>
    <col min="14" max="14" width="16.109375" style="43" customWidth="1"/>
    <col min="15" max="15" width="1.6640625" style="43" customWidth="1"/>
    <col min="16" max="16" width="12.6640625" style="43" customWidth="1"/>
    <col min="17" max="17" width="17.6640625" customWidth="1"/>
  </cols>
  <sheetData>
    <row r="1" spans="1:16" x14ac:dyDescent="0.25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5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5">
      <c r="B3" s="42" t="s">
        <v>227</v>
      </c>
      <c r="C3" s="7"/>
      <c r="D3" s="7"/>
      <c r="I3" s="10"/>
      <c r="J3" s="10"/>
      <c r="K3" s="10"/>
      <c r="L3" s="34"/>
    </row>
    <row r="4" spans="1:16" x14ac:dyDescent="0.25">
      <c r="B4" s="42"/>
      <c r="C4" s="7"/>
      <c r="D4" s="7"/>
      <c r="I4" s="10"/>
      <c r="J4" s="10"/>
      <c r="K4" s="10"/>
      <c r="L4" s="34"/>
    </row>
    <row r="5" spans="1:16" x14ac:dyDescent="0.25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5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5">
      <c r="C7" s="5" t="s">
        <v>56</v>
      </c>
      <c r="N7" s="48" t="s">
        <v>192</v>
      </c>
      <c r="O7" s="48"/>
      <c r="P7" s="48" t="s">
        <v>188</v>
      </c>
    </row>
    <row r="8" spans="1:16" x14ac:dyDescent="0.25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5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5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5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5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5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5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5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5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5">
      <c r="B17" s="38" t="s">
        <v>222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5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5">
      <c r="A19" s="19">
        <v>1</v>
      </c>
      <c r="B19" s="13" t="s">
        <v>220</v>
      </c>
      <c r="C19" s="14">
        <f>D19+E19</f>
        <v>-885814</v>
      </c>
      <c r="D19" s="14">
        <v>-3813631</v>
      </c>
      <c r="E19" s="14">
        <v>2927817</v>
      </c>
      <c r="F19" s="45">
        <v>-48157423</v>
      </c>
      <c r="G19" s="15"/>
      <c r="H19" s="15"/>
      <c r="I19" s="53">
        <v>5.0522</v>
      </c>
      <c r="J19" s="15"/>
      <c r="K19" s="15"/>
      <c r="L19" s="31">
        <v>62949340</v>
      </c>
      <c r="N19" s="52">
        <v>48157423</v>
      </c>
      <c r="O19" s="51"/>
      <c r="P19" s="52">
        <v>14791917</v>
      </c>
      <c r="Q19" s="43"/>
    </row>
    <row r="20" spans="1:17" x14ac:dyDescent="0.25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5">
      <c r="A21" s="19">
        <v>2</v>
      </c>
      <c r="B21" s="8" t="s">
        <v>223</v>
      </c>
      <c r="C21" s="16"/>
      <c r="D21" s="16"/>
      <c r="E21" s="3">
        <f>E19</f>
        <v>2927817</v>
      </c>
      <c r="F21" s="3"/>
      <c r="G21" s="11">
        <f>I19</f>
        <v>5.0522</v>
      </c>
      <c r="H21" s="11" t="s">
        <v>73</v>
      </c>
      <c r="I21" s="11">
        <v>4.0551000000000004</v>
      </c>
      <c r="J21" s="11">
        <f>I21-G21</f>
        <v>-0.99709999999999965</v>
      </c>
      <c r="K21" s="11"/>
      <c r="L21" s="3">
        <f>E21*J21</f>
        <v>-2919326.3306999989</v>
      </c>
      <c r="N21" s="51"/>
      <c r="O21" s="51"/>
      <c r="P21" s="51"/>
    </row>
    <row r="22" spans="1:17" x14ac:dyDescent="0.25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5">
      <c r="A23" s="19">
        <v>3</v>
      </c>
      <c r="B23" s="8" t="s">
        <v>224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5">
      <c r="A24" s="19">
        <v>4</v>
      </c>
      <c r="B24" s="2" t="s">
        <v>97</v>
      </c>
      <c r="C24" s="3"/>
      <c r="D24" s="3"/>
      <c r="E24" s="3">
        <v>-1810647</v>
      </c>
      <c r="F24" s="3">
        <f>-7887254-F25</f>
        <v>-8019228</v>
      </c>
      <c r="G24" s="11">
        <f>F24/E24</f>
        <v>4.4289295483879521</v>
      </c>
      <c r="H24" s="11"/>
      <c r="I24" s="11">
        <f>I21</f>
        <v>4.0551000000000004</v>
      </c>
      <c r="J24" s="11">
        <f>I24-G24</f>
        <v>-0.37382954838795168</v>
      </c>
      <c r="K24" s="11"/>
      <c r="L24" s="3">
        <f>E24*J24</f>
        <v>676873.35029999958</v>
      </c>
      <c r="N24" s="51"/>
      <c r="O24" s="51"/>
      <c r="P24" s="51"/>
    </row>
    <row r="25" spans="1:17" x14ac:dyDescent="0.25">
      <c r="A25" s="19">
        <v>5</v>
      </c>
      <c r="B25" s="2" t="s">
        <v>98</v>
      </c>
      <c r="C25" s="3"/>
      <c r="D25" s="3"/>
      <c r="E25" s="3"/>
      <c r="F25" s="3">
        <v>131974</v>
      </c>
      <c r="G25" s="11"/>
      <c r="H25" s="11"/>
      <c r="I25" s="11"/>
      <c r="J25" s="11"/>
      <c r="K25" s="11"/>
      <c r="L25" s="3">
        <f>-F25</f>
        <v>-131974</v>
      </c>
      <c r="N25" s="51"/>
      <c r="O25" s="51"/>
      <c r="P25" s="51"/>
    </row>
    <row r="26" spans="1:17" x14ac:dyDescent="0.25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4.0551000000000004</v>
      </c>
      <c r="J26" s="11">
        <f>I26-G26</f>
        <v>4.0551000000000004</v>
      </c>
      <c r="K26" s="11"/>
      <c r="L26" s="3">
        <f>E26*J26</f>
        <v>0</v>
      </c>
      <c r="N26" s="51"/>
      <c r="O26" s="51"/>
      <c r="P26" s="51"/>
    </row>
    <row r="27" spans="1:17" x14ac:dyDescent="0.25">
      <c r="A27" s="19">
        <v>7</v>
      </c>
      <c r="B27" s="2" t="s">
        <v>81</v>
      </c>
      <c r="C27" s="1"/>
      <c r="D27" s="1"/>
      <c r="E27" s="1">
        <f>1903028+138512+918+8725</f>
        <v>2051183</v>
      </c>
      <c r="F27" s="1">
        <f>9099008+685276+4638+44203+2</f>
        <v>9833127</v>
      </c>
      <c r="G27" s="11">
        <f>F27/E27</f>
        <v>4.7938808970238149</v>
      </c>
      <c r="H27" s="11"/>
      <c r="I27" s="11">
        <f>I21</f>
        <v>4.0551000000000004</v>
      </c>
      <c r="J27" s="11">
        <f>I27-G27</f>
        <v>-0.73878089702381455</v>
      </c>
      <c r="K27" s="11"/>
      <c r="L27" s="1">
        <f>E27*J27</f>
        <v>-1515374.8166999989</v>
      </c>
      <c r="N27" s="51"/>
      <c r="O27" s="51"/>
      <c r="P27" s="51"/>
    </row>
    <row r="28" spans="1:17" x14ac:dyDescent="0.25">
      <c r="A28" s="19">
        <v>8</v>
      </c>
      <c r="B28" s="2" t="s">
        <v>225</v>
      </c>
      <c r="C28" s="3">
        <f>D28+E28</f>
        <v>964337</v>
      </c>
      <c r="D28" s="3">
        <v>723801</v>
      </c>
      <c r="E28" s="3">
        <f>SUM(E24:E27)</f>
        <v>240536</v>
      </c>
      <c r="F28" s="3">
        <f>SUM(F24:F27)</f>
        <v>1945873</v>
      </c>
      <c r="G28" s="11"/>
      <c r="H28" s="11"/>
      <c r="I28" s="11"/>
      <c r="J28" s="11"/>
      <c r="K28" s="11"/>
      <c r="L28" s="3">
        <f>SUM(L24:L27)+1</f>
        <v>-970474.46639999934</v>
      </c>
      <c r="N28" s="51">
        <f>F28*-1</f>
        <v>-1945873</v>
      </c>
      <c r="O28" s="51"/>
      <c r="P28" s="51"/>
    </row>
    <row r="29" spans="1:17" x14ac:dyDescent="0.25">
      <c r="N29" s="51"/>
      <c r="O29" s="51"/>
      <c r="P29" s="51"/>
    </row>
    <row r="30" spans="1:17" x14ac:dyDescent="0.25">
      <c r="A30" s="19">
        <v>9</v>
      </c>
      <c r="B30" s="13" t="s">
        <v>226</v>
      </c>
      <c r="C30" s="14">
        <f>C19+C28</f>
        <v>78523</v>
      </c>
      <c r="D30" s="14">
        <f>D19+D28</f>
        <v>-3089830</v>
      </c>
      <c r="E30" s="14">
        <f>E19+E28</f>
        <v>3168353</v>
      </c>
      <c r="F30" s="45">
        <f>F19+F28</f>
        <v>-46211550</v>
      </c>
      <c r="G30" s="15"/>
      <c r="H30" s="15"/>
      <c r="I30" s="53">
        <f>I21</f>
        <v>4.0551000000000004</v>
      </c>
      <c r="J30" s="15"/>
      <c r="K30" s="15"/>
      <c r="L30" s="31">
        <f>L19+L21+L28</f>
        <v>59059539.202900007</v>
      </c>
      <c r="N30" s="52">
        <f>N19+N28</f>
        <v>46211550</v>
      </c>
      <c r="O30" s="51"/>
      <c r="P30" s="52">
        <f>E30*I30+1</f>
        <v>12847989.250300001</v>
      </c>
      <c r="Q30" s="43"/>
    </row>
    <row r="31" spans="1:17" x14ac:dyDescent="0.25">
      <c r="N31" s="51"/>
      <c r="O31" s="51"/>
      <c r="P31" s="51"/>
    </row>
    <row r="32" spans="1:17" x14ac:dyDescent="0.25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71" orientation="landscape" horizontalDpi="4294967292" verticalDpi="0" r:id="rId1"/>
  <headerFooter alignWithMargins="0">
    <oddHeader>&amp;RExhibit No. 7
Modified for Internal Use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>
      <selection activeCell="C27" sqref="C27"/>
    </sheetView>
  </sheetViews>
  <sheetFormatPr defaultRowHeight="13.2" x14ac:dyDescent="0.25"/>
  <cols>
    <col min="1" max="1" width="6.6640625" style="19" customWidth="1"/>
    <col min="2" max="2" width="34.6640625" customWidth="1"/>
    <col min="3" max="3" width="14.5546875" style="6" customWidth="1"/>
    <col min="4" max="5" width="11.6640625" style="6" customWidth="1"/>
    <col min="6" max="6" width="13.5546875" style="6" customWidth="1"/>
    <col min="7" max="7" width="12.5546875" style="9" customWidth="1"/>
    <col min="8" max="8" width="3.6640625" style="9" customWidth="1"/>
    <col min="9" max="9" width="9.88671875" style="9" customWidth="1"/>
    <col min="10" max="10" width="12.109375" style="9" customWidth="1"/>
    <col min="11" max="11" width="1.6640625" style="9" customWidth="1"/>
    <col min="12" max="12" width="13.6640625" style="6" customWidth="1"/>
    <col min="13" max="13" width="1.6640625" customWidth="1"/>
    <col min="14" max="14" width="16.109375" style="43" customWidth="1"/>
    <col min="15" max="15" width="1.6640625" style="43" customWidth="1"/>
    <col min="16" max="16" width="12.6640625" style="43" customWidth="1"/>
    <col min="17" max="17" width="17.6640625" customWidth="1"/>
  </cols>
  <sheetData>
    <row r="1" spans="1:16" x14ac:dyDescent="0.25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5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5">
      <c r="B3" s="42" t="s">
        <v>233</v>
      </c>
      <c r="C3" s="7"/>
      <c r="D3" s="7"/>
      <c r="I3" s="10"/>
      <c r="J3" s="10"/>
      <c r="K3" s="10"/>
      <c r="L3" s="34"/>
    </row>
    <row r="4" spans="1:16" x14ac:dyDescent="0.25">
      <c r="B4" s="42"/>
      <c r="C4" s="7"/>
      <c r="D4" s="7"/>
      <c r="I4" s="10"/>
      <c r="J4" s="10"/>
      <c r="K4" s="10"/>
      <c r="L4" s="34"/>
    </row>
    <row r="5" spans="1:16" x14ac:dyDescent="0.25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5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5">
      <c r="C7" s="5" t="s">
        <v>56</v>
      </c>
      <c r="N7" s="48" t="s">
        <v>192</v>
      </c>
      <c r="O7" s="48"/>
      <c r="P7" s="48" t="s">
        <v>188</v>
      </c>
    </row>
    <row r="8" spans="1:16" x14ac:dyDescent="0.25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5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5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5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5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5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5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5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5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5">
      <c r="B17" s="38" t="s">
        <v>228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5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5">
      <c r="A19" s="19">
        <v>1</v>
      </c>
      <c r="B19" s="13" t="s">
        <v>226</v>
      </c>
      <c r="C19" s="14">
        <f>D19+E19</f>
        <v>78523</v>
      </c>
      <c r="D19" s="14">
        <v>-3089830</v>
      </c>
      <c r="E19" s="14">
        <v>3168353</v>
      </c>
      <c r="F19" s="45">
        <v>-46211550</v>
      </c>
      <c r="G19" s="15"/>
      <c r="H19" s="15"/>
      <c r="I19" s="53">
        <v>4.0551000000000004</v>
      </c>
      <c r="J19" s="15"/>
      <c r="K19" s="15"/>
      <c r="L19" s="31">
        <v>59059539</v>
      </c>
      <c r="N19" s="52">
        <v>46211550</v>
      </c>
      <c r="O19" s="51"/>
      <c r="P19" s="52">
        <v>12847989</v>
      </c>
      <c r="Q19" s="43"/>
    </row>
    <row r="20" spans="1:17" x14ac:dyDescent="0.25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5">
      <c r="A21" s="19">
        <v>2</v>
      </c>
      <c r="B21" s="8" t="s">
        <v>229</v>
      </c>
      <c r="C21" s="16"/>
      <c r="D21" s="16"/>
      <c r="E21" s="3">
        <f>E19</f>
        <v>3168353</v>
      </c>
      <c r="F21" s="3"/>
      <c r="G21" s="11">
        <f>I19</f>
        <v>4.0551000000000004</v>
      </c>
      <c r="H21" s="11" t="s">
        <v>73</v>
      </c>
      <c r="I21" s="11">
        <v>3.4998999999999998</v>
      </c>
      <c r="J21" s="11">
        <f>I21-G21</f>
        <v>-0.55520000000000058</v>
      </c>
      <c r="K21" s="11"/>
      <c r="L21" s="3">
        <f>E21*J21</f>
        <v>-1759069.5856000017</v>
      </c>
      <c r="N21" s="51"/>
      <c r="O21" s="51"/>
      <c r="P21" s="51"/>
    </row>
    <row r="22" spans="1:17" x14ac:dyDescent="0.25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5">
      <c r="A23" s="19">
        <v>3</v>
      </c>
      <c r="B23" s="8" t="s">
        <v>230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5">
      <c r="A24" s="19">
        <v>4</v>
      </c>
      <c r="B24" s="2" t="s">
        <v>97</v>
      </c>
      <c r="C24" s="3"/>
      <c r="D24" s="3"/>
      <c r="E24" s="3">
        <v>-232665</v>
      </c>
      <c r="F24" s="3">
        <f>117432-F25</f>
        <v>11396</v>
      </c>
      <c r="G24" s="11">
        <f>F24/E24</f>
        <v>-4.8980293555111423E-2</v>
      </c>
      <c r="H24" s="11"/>
      <c r="I24" s="11">
        <f>I21</f>
        <v>3.4998999999999998</v>
      </c>
      <c r="J24" s="11">
        <f>I24-G24</f>
        <v>3.5488802935551114</v>
      </c>
      <c r="K24" s="11"/>
      <c r="L24" s="3">
        <f>E24*J24</f>
        <v>-825700.23349999997</v>
      </c>
      <c r="N24" s="51"/>
      <c r="O24" s="51"/>
      <c r="P24" s="51"/>
    </row>
    <row r="25" spans="1:17" x14ac:dyDescent="0.25">
      <c r="A25" s="19">
        <v>5</v>
      </c>
      <c r="B25" s="2" t="s">
        <v>98</v>
      </c>
      <c r="C25" s="3"/>
      <c r="D25" s="3"/>
      <c r="E25" s="3"/>
      <c r="F25" s="3">
        <v>106036</v>
      </c>
      <c r="G25" s="11"/>
      <c r="H25" s="11"/>
      <c r="I25" s="11"/>
      <c r="J25" s="11"/>
      <c r="K25" s="11"/>
      <c r="L25" s="3">
        <f>-F25</f>
        <v>-106036</v>
      </c>
      <c r="N25" s="51"/>
      <c r="O25" s="51"/>
      <c r="P25" s="51"/>
    </row>
    <row r="26" spans="1:17" x14ac:dyDescent="0.25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3.4998999999999998</v>
      </c>
      <c r="J26" s="11">
        <f>I26-G26</f>
        <v>3.4998999999999998</v>
      </c>
      <c r="K26" s="11"/>
      <c r="L26" s="3">
        <f>E26*J26</f>
        <v>0</v>
      </c>
      <c r="N26" s="51"/>
      <c r="O26" s="51"/>
      <c r="P26" s="51"/>
    </row>
    <row r="27" spans="1:17" x14ac:dyDescent="0.25">
      <c r="A27" s="19">
        <v>7</v>
      </c>
      <c r="B27" s="2" t="s">
        <v>81</v>
      </c>
      <c r="C27" s="1"/>
      <c r="D27" s="1"/>
      <c r="E27" s="1">
        <f>1566821+126267+8965</f>
        <v>1702053</v>
      </c>
      <c r="F27" s="1">
        <f>5667443+500737+36355-1</f>
        <v>6204534</v>
      </c>
      <c r="G27" s="11">
        <f>F27/E27</f>
        <v>3.6453236180071946</v>
      </c>
      <c r="H27" s="11"/>
      <c r="I27" s="11">
        <f>I21</f>
        <v>3.4998999999999998</v>
      </c>
      <c r="J27" s="11">
        <f>I27-G27</f>
        <v>-0.14542361800719483</v>
      </c>
      <c r="K27" s="11"/>
      <c r="L27" s="1">
        <f>E27*J27</f>
        <v>-247518.70529999997</v>
      </c>
      <c r="N27" s="51"/>
      <c r="O27" s="51"/>
      <c r="P27" s="51"/>
    </row>
    <row r="28" spans="1:17" x14ac:dyDescent="0.25">
      <c r="A28" s="19">
        <v>8</v>
      </c>
      <c r="B28" s="2" t="s">
        <v>232</v>
      </c>
      <c r="C28" s="3">
        <f>D28+E28</f>
        <v>1175447</v>
      </c>
      <c r="D28" s="3">
        <v>-293941</v>
      </c>
      <c r="E28" s="3">
        <f>SUM(E24:E27)</f>
        <v>1469388</v>
      </c>
      <c r="F28" s="3">
        <f>SUM(F24:F27)</f>
        <v>6321966</v>
      </c>
      <c r="G28" s="11"/>
      <c r="H28" s="11"/>
      <c r="I28" s="11"/>
      <c r="J28" s="11"/>
      <c r="K28" s="11"/>
      <c r="L28" s="3">
        <f>SUM(L24:L27)-1</f>
        <v>-1179255.9387999999</v>
      </c>
      <c r="N28" s="51">
        <f>F28*-1</f>
        <v>-6321966</v>
      </c>
      <c r="O28" s="51"/>
      <c r="P28" s="51"/>
    </row>
    <row r="29" spans="1:17" x14ac:dyDescent="0.25">
      <c r="N29" s="51"/>
      <c r="O29" s="51"/>
      <c r="P29" s="51"/>
    </row>
    <row r="30" spans="1:17" x14ac:dyDescent="0.25">
      <c r="A30" s="19">
        <v>9</v>
      </c>
      <c r="B30" s="13" t="s">
        <v>231</v>
      </c>
      <c r="C30" s="14">
        <f>C19+C28</f>
        <v>1253970</v>
      </c>
      <c r="D30" s="14">
        <f>D19+D28</f>
        <v>-3383771</v>
      </c>
      <c r="E30" s="14">
        <f>E19+E28</f>
        <v>4637741</v>
      </c>
      <c r="F30" s="45">
        <f>F19+F28</f>
        <v>-39889584</v>
      </c>
      <c r="G30" s="15"/>
      <c r="H30" s="15"/>
      <c r="I30" s="53">
        <f>I21</f>
        <v>3.4998999999999998</v>
      </c>
      <c r="J30" s="15"/>
      <c r="K30" s="15"/>
      <c r="L30" s="31">
        <f>L19+L21+L28+1</f>
        <v>56121214.475599997</v>
      </c>
      <c r="N30" s="52">
        <f>N19+N28</f>
        <v>39889584</v>
      </c>
      <c r="O30" s="51"/>
      <c r="P30" s="52">
        <f>E30*I30</f>
        <v>16231629.725899998</v>
      </c>
      <c r="Q30" s="43"/>
    </row>
    <row r="31" spans="1:17" x14ac:dyDescent="0.25">
      <c r="N31" s="51"/>
      <c r="O31" s="51"/>
      <c r="P31" s="51"/>
    </row>
    <row r="32" spans="1:17" x14ac:dyDescent="0.25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68" orientation="landscape" horizontalDpi="4294967292" verticalDpi="1200" r:id="rId1"/>
  <headerFooter alignWithMargins="0">
    <oddHeader>&amp;RExhibit No. 7
Modified for Internal Use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>
      <selection activeCell="B31" sqref="B31"/>
    </sheetView>
  </sheetViews>
  <sheetFormatPr defaultRowHeight="13.2" x14ac:dyDescent="0.25"/>
  <cols>
    <col min="1" max="1" width="6.6640625" style="19" customWidth="1"/>
    <col min="2" max="2" width="34.6640625" customWidth="1"/>
    <col min="3" max="3" width="14.5546875" style="6" customWidth="1"/>
    <col min="4" max="5" width="11.6640625" style="6" customWidth="1"/>
    <col min="6" max="6" width="13.5546875" style="6" customWidth="1"/>
    <col min="7" max="7" width="12.5546875" style="9" customWidth="1"/>
    <col min="8" max="8" width="3.6640625" style="9" customWidth="1"/>
    <col min="9" max="9" width="9.88671875" style="9" customWidth="1"/>
    <col min="10" max="10" width="12.109375" style="9" customWidth="1"/>
    <col min="11" max="11" width="1.6640625" style="9" customWidth="1"/>
    <col min="12" max="12" width="13.6640625" style="6" customWidth="1"/>
    <col min="13" max="13" width="1.6640625" customWidth="1"/>
    <col min="14" max="14" width="16.109375" style="43" customWidth="1"/>
    <col min="15" max="15" width="1.6640625" style="43" customWidth="1"/>
    <col min="16" max="16" width="12.6640625" style="43" customWidth="1"/>
    <col min="17" max="17" width="17.6640625" customWidth="1"/>
  </cols>
  <sheetData>
    <row r="1" spans="1:16" x14ac:dyDescent="0.25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5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5">
      <c r="B3" s="42" t="s">
        <v>239</v>
      </c>
      <c r="C3" s="7"/>
      <c r="D3" s="7"/>
      <c r="I3" s="10"/>
      <c r="J3" s="10"/>
      <c r="K3" s="10"/>
      <c r="L3" s="34"/>
    </row>
    <row r="4" spans="1:16" x14ac:dyDescent="0.25">
      <c r="B4" s="42"/>
      <c r="C4" s="7"/>
      <c r="D4" s="7"/>
      <c r="I4" s="10"/>
      <c r="J4" s="10"/>
      <c r="K4" s="10"/>
      <c r="L4" s="34"/>
    </row>
    <row r="5" spans="1:16" x14ac:dyDescent="0.25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5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5">
      <c r="C7" s="5" t="s">
        <v>56</v>
      </c>
      <c r="N7" s="48" t="s">
        <v>192</v>
      </c>
      <c r="O7" s="48"/>
      <c r="P7" s="48" t="s">
        <v>188</v>
      </c>
    </row>
    <row r="8" spans="1:16" x14ac:dyDescent="0.25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5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5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5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5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5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5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5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5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5">
      <c r="B17" s="38" t="s">
        <v>234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5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5">
      <c r="A19" s="19">
        <v>1</v>
      </c>
      <c r="B19" s="13" t="s">
        <v>231</v>
      </c>
      <c r="C19" s="14">
        <f>D19+E19</f>
        <v>1253970</v>
      </c>
      <c r="D19" s="14">
        <v>-3383771</v>
      </c>
      <c r="E19" s="14">
        <v>4637741</v>
      </c>
      <c r="F19" s="45">
        <v>-39889584</v>
      </c>
      <c r="G19" s="15"/>
      <c r="H19" s="15"/>
      <c r="I19" s="53">
        <v>3.4998999999999998</v>
      </c>
      <c r="J19" s="15"/>
      <c r="K19" s="15"/>
      <c r="L19" s="31">
        <f>N19+P19</f>
        <v>56121214</v>
      </c>
      <c r="N19" s="52">
        <v>39889584</v>
      </c>
      <c r="O19" s="51"/>
      <c r="P19" s="52">
        <v>16231630</v>
      </c>
      <c r="Q19" s="43"/>
    </row>
    <row r="20" spans="1:17" x14ac:dyDescent="0.25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5">
      <c r="A21" s="19">
        <v>2</v>
      </c>
      <c r="B21" s="8" t="s">
        <v>235</v>
      </c>
      <c r="C21" s="16"/>
      <c r="D21" s="16"/>
      <c r="E21" s="3">
        <f>E19</f>
        <v>4637741</v>
      </c>
      <c r="F21" s="3"/>
      <c r="G21" s="11">
        <f>I19</f>
        <v>3.4998999999999998</v>
      </c>
      <c r="H21" s="11" t="s">
        <v>73</v>
      </c>
      <c r="I21" s="11">
        <v>2.9321999999999999</v>
      </c>
      <c r="J21" s="11">
        <f>I21-G21</f>
        <v>-0.56769999999999987</v>
      </c>
      <c r="K21" s="11"/>
      <c r="L21" s="3">
        <f>E21*J21</f>
        <v>-2632845.5656999992</v>
      </c>
      <c r="N21" s="51"/>
      <c r="O21" s="51"/>
      <c r="P21" s="51"/>
    </row>
    <row r="22" spans="1:17" x14ac:dyDescent="0.25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5">
      <c r="A23" s="19">
        <v>3</v>
      </c>
      <c r="B23" s="8" t="s">
        <v>236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5">
      <c r="A24" s="19">
        <v>4</v>
      </c>
      <c r="B24" s="2" t="s">
        <v>97</v>
      </c>
      <c r="C24" s="3"/>
      <c r="D24" s="3"/>
      <c r="E24" s="3">
        <v>-144676</v>
      </c>
      <c r="F24" s="3">
        <f>-236262-F25</f>
        <v>-380164</v>
      </c>
      <c r="G24" s="11">
        <f>F24/E24</f>
        <v>2.6276922226215822</v>
      </c>
      <c r="H24" s="11"/>
      <c r="I24" s="11">
        <f>I21</f>
        <v>2.9321999999999999</v>
      </c>
      <c r="J24" s="11">
        <f>I24-G24</f>
        <v>0.30450777737841772</v>
      </c>
      <c r="K24" s="11"/>
      <c r="L24" s="3">
        <f>E24*J24</f>
        <v>-44054.967199999963</v>
      </c>
      <c r="N24" s="51"/>
      <c r="O24" s="51"/>
      <c r="P24" s="51"/>
    </row>
    <row r="25" spans="1:17" x14ac:dyDescent="0.25">
      <c r="A25" s="19">
        <v>5</v>
      </c>
      <c r="B25" s="2" t="s">
        <v>98</v>
      </c>
      <c r="C25" s="3"/>
      <c r="D25" s="3"/>
      <c r="E25" s="3"/>
      <c r="F25" s="3">
        <v>143902</v>
      </c>
      <c r="G25" s="11"/>
      <c r="H25" s="11"/>
      <c r="I25" s="11"/>
      <c r="J25" s="11"/>
      <c r="K25" s="11"/>
      <c r="L25" s="3">
        <f>-F25</f>
        <v>-143902</v>
      </c>
      <c r="N25" s="51"/>
      <c r="O25" s="51"/>
      <c r="P25" s="51"/>
    </row>
    <row r="26" spans="1:17" x14ac:dyDescent="0.25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2.9321999999999999</v>
      </c>
      <c r="J26" s="11">
        <f>I26-G26</f>
        <v>2.9321999999999999</v>
      </c>
      <c r="K26" s="11"/>
      <c r="L26" s="3">
        <f>E26*J26</f>
        <v>0</v>
      </c>
      <c r="N26" s="51"/>
      <c r="O26" s="51"/>
      <c r="P26" s="51"/>
    </row>
    <row r="27" spans="1:17" x14ac:dyDescent="0.25">
      <c r="A27" s="19">
        <v>7</v>
      </c>
      <c r="B27" s="2" t="s">
        <v>81</v>
      </c>
      <c r="C27" s="1"/>
      <c r="D27" s="1"/>
      <c r="E27" s="1">
        <f>46522+148336+51147-1969</f>
        <v>244036</v>
      </c>
      <c r="F27" s="1">
        <f>141440+510507+271352+1491-1</f>
        <v>924789</v>
      </c>
      <c r="G27" s="11">
        <f>F27/E27</f>
        <v>3.7895597370879708</v>
      </c>
      <c r="H27" s="11"/>
      <c r="I27" s="11">
        <f>I21</f>
        <v>2.9321999999999999</v>
      </c>
      <c r="J27" s="11">
        <f>I27-G27</f>
        <v>-0.85735973708797086</v>
      </c>
      <c r="K27" s="11"/>
      <c r="L27" s="1">
        <f>E27*J27</f>
        <v>-209226.64080000005</v>
      </c>
      <c r="N27" s="51"/>
      <c r="O27" s="51"/>
      <c r="P27" s="51"/>
    </row>
    <row r="28" spans="1:17" x14ac:dyDescent="0.25">
      <c r="A28" s="19">
        <v>8</v>
      </c>
      <c r="B28" s="2" t="s">
        <v>237</v>
      </c>
      <c r="C28" s="3">
        <f>D28+E28</f>
        <v>1317156</v>
      </c>
      <c r="D28" s="3">
        <v>1217796</v>
      </c>
      <c r="E28" s="3">
        <f>SUM(E24:E27)</f>
        <v>99360</v>
      </c>
      <c r="F28" s="3">
        <f>SUM(F24:F27)</f>
        <v>688527</v>
      </c>
      <c r="G28" s="11"/>
      <c r="H28" s="11"/>
      <c r="I28" s="11"/>
      <c r="J28" s="11"/>
      <c r="K28" s="11"/>
      <c r="L28" s="3">
        <f>SUM(L24:L27)</f>
        <v>-397183.60800000001</v>
      </c>
      <c r="N28" s="51">
        <f>F28*-1</f>
        <v>-688527</v>
      </c>
      <c r="O28" s="51"/>
      <c r="P28" s="51"/>
    </row>
    <row r="29" spans="1:17" x14ac:dyDescent="0.25">
      <c r="N29" s="51"/>
      <c r="O29" s="51"/>
      <c r="P29" s="51"/>
    </row>
    <row r="30" spans="1:17" x14ac:dyDescent="0.25">
      <c r="A30" s="19">
        <v>9</v>
      </c>
      <c r="B30" s="13" t="s">
        <v>238</v>
      </c>
      <c r="C30" s="14">
        <f>C19+C28</f>
        <v>2571126</v>
      </c>
      <c r="D30" s="14">
        <f>D19+D28</f>
        <v>-2165975</v>
      </c>
      <c r="E30" s="14">
        <f>E19+E28</f>
        <v>4737101</v>
      </c>
      <c r="F30" s="45">
        <f>F19+F28</f>
        <v>-39201057</v>
      </c>
      <c r="G30" s="15"/>
      <c r="H30" s="15"/>
      <c r="I30" s="53">
        <f>I21</f>
        <v>2.9321999999999999</v>
      </c>
      <c r="J30" s="15"/>
      <c r="K30" s="15"/>
      <c r="L30" s="31">
        <f>L19+L21+L28</f>
        <v>53091184.826299995</v>
      </c>
      <c r="N30" s="52">
        <f>N19+N28</f>
        <v>39201057</v>
      </c>
      <c r="O30" s="51"/>
      <c r="P30" s="52">
        <f>E30*I30</f>
        <v>13890127.552199999</v>
      </c>
      <c r="Q30" s="43"/>
    </row>
    <row r="31" spans="1:17" x14ac:dyDescent="0.25">
      <c r="N31" s="51"/>
      <c r="O31" s="51"/>
      <c r="P31" s="51"/>
    </row>
    <row r="32" spans="1:17" x14ac:dyDescent="0.25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68" orientation="landscape" horizontalDpi="1200" verticalDpi="1200" r:id="rId1"/>
  <headerFooter alignWithMargins="0">
    <oddHeader>&amp;RExhibit No. 7
Modified for Internal Use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tabSelected="1" zoomScale="75" workbookViewId="0">
      <selection activeCell="L31" sqref="L31"/>
    </sheetView>
  </sheetViews>
  <sheetFormatPr defaultRowHeight="13.2" x14ac:dyDescent="0.25"/>
  <cols>
    <col min="1" max="1" width="6.6640625" style="19" customWidth="1"/>
    <col min="2" max="2" width="34.6640625" customWidth="1"/>
    <col min="3" max="3" width="14.5546875" style="6" customWidth="1"/>
    <col min="4" max="5" width="11.6640625" style="6" customWidth="1"/>
    <col min="6" max="6" width="13.5546875" style="6" customWidth="1"/>
    <col min="7" max="7" width="12.5546875" style="9" customWidth="1"/>
    <col min="8" max="8" width="3.6640625" style="9" customWidth="1"/>
    <col min="9" max="9" width="9.88671875" style="9" customWidth="1"/>
    <col min="10" max="10" width="12.109375" style="9" customWidth="1"/>
    <col min="11" max="11" width="1.6640625" style="9" customWidth="1"/>
    <col min="12" max="12" width="13.6640625" style="6" customWidth="1"/>
    <col min="13" max="13" width="1.6640625" customWidth="1"/>
    <col min="14" max="14" width="16.109375" style="43" customWidth="1"/>
    <col min="15" max="15" width="1.6640625" style="43" customWidth="1"/>
    <col min="16" max="16" width="12.6640625" style="43" customWidth="1"/>
    <col min="17" max="17" width="17.6640625" customWidth="1"/>
  </cols>
  <sheetData>
    <row r="1" spans="1:16" x14ac:dyDescent="0.25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5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5">
      <c r="B3" s="42" t="s">
        <v>246</v>
      </c>
      <c r="C3" s="7"/>
      <c r="D3" s="7"/>
      <c r="I3" s="10"/>
      <c r="J3" s="10"/>
      <c r="K3" s="10"/>
      <c r="L3" s="34"/>
    </row>
    <row r="4" spans="1:16" x14ac:dyDescent="0.25">
      <c r="B4" s="42"/>
      <c r="C4" s="7"/>
      <c r="D4" s="7"/>
      <c r="I4" s="10"/>
      <c r="J4" s="10"/>
      <c r="K4" s="10"/>
      <c r="L4" s="34"/>
    </row>
    <row r="5" spans="1:16" x14ac:dyDescent="0.25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5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5">
      <c r="C7" s="5" t="s">
        <v>56</v>
      </c>
      <c r="N7" s="48" t="s">
        <v>192</v>
      </c>
      <c r="O7" s="48"/>
      <c r="P7" s="48" t="s">
        <v>188</v>
      </c>
    </row>
    <row r="8" spans="1:16" x14ac:dyDescent="0.25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5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5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5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5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5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5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5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5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5">
      <c r="B17" s="38" t="s">
        <v>241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5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5">
      <c r="A19" s="19">
        <v>1</v>
      </c>
      <c r="B19" s="13" t="s">
        <v>238</v>
      </c>
      <c r="C19" s="14">
        <f>D19+E19</f>
        <v>2571126</v>
      </c>
      <c r="D19" s="14">
        <v>-2165975</v>
      </c>
      <c r="E19" s="14">
        <v>4737101</v>
      </c>
      <c r="F19" s="45">
        <v>-39201057</v>
      </c>
      <c r="G19" s="15"/>
      <c r="H19" s="15"/>
      <c r="I19" s="53">
        <v>2.9321999999999999</v>
      </c>
      <c r="J19" s="15"/>
      <c r="K19" s="15"/>
      <c r="L19" s="31">
        <f>N19+P19</f>
        <v>53091185</v>
      </c>
      <c r="N19" s="52">
        <v>39201057</v>
      </c>
      <c r="O19" s="51"/>
      <c r="P19" s="52">
        <v>13890128</v>
      </c>
      <c r="Q19" s="43"/>
    </row>
    <row r="20" spans="1:17" x14ac:dyDescent="0.25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5">
      <c r="A21" s="19">
        <v>2</v>
      </c>
      <c r="B21" s="8" t="s">
        <v>242</v>
      </c>
      <c r="C21" s="16"/>
      <c r="D21" s="16"/>
      <c r="E21" s="3">
        <f>E19</f>
        <v>4737101</v>
      </c>
      <c r="F21" s="3"/>
      <c r="G21" s="11">
        <f>I19</f>
        <v>2.9321999999999999</v>
      </c>
      <c r="H21" s="11" t="s">
        <v>73</v>
      </c>
      <c r="I21" s="11">
        <v>2.8521999999999998</v>
      </c>
      <c r="J21" s="11">
        <f>I21-G21</f>
        <v>-8.0000000000000071E-2</v>
      </c>
      <c r="K21" s="11"/>
      <c r="L21" s="3">
        <f>E21*J21</f>
        <v>-378968.08000000037</v>
      </c>
      <c r="N21" s="51"/>
      <c r="O21" s="51"/>
      <c r="P21" s="51"/>
    </row>
    <row r="22" spans="1:17" x14ac:dyDescent="0.25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5">
      <c r="A23" s="19">
        <v>3</v>
      </c>
      <c r="B23" s="8" t="s">
        <v>243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5">
      <c r="A24" s="19">
        <v>4</v>
      </c>
      <c r="B24" s="2" t="s">
        <v>97</v>
      </c>
      <c r="C24" s="3"/>
      <c r="D24" s="3"/>
      <c r="E24" s="3">
        <v>-6496</v>
      </c>
      <c r="F24" s="3">
        <f>-40163-F25</f>
        <v>-112727</v>
      </c>
      <c r="G24" s="11">
        <f>F24/E24</f>
        <v>17.35329433497537</v>
      </c>
      <c r="H24" s="11"/>
      <c r="I24" s="11">
        <f>I21</f>
        <v>2.8521999999999998</v>
      </c>
      <c r="J24" s="11">
        <f>I24-G24</f>
        <v>-14.50109433497537</v>
      </c>
      <c r="K24" s="11"/>
      <c r="L24" s="3">
        <f>E24*J24</f>
        <v>94199.108800000002</v>
      </c>
      <c r="N24" s="51"/>
      <c r="O24" s="51"/>
      <c r="P24" s="51"/>
    </row>
    <row r="25" spans="1:17" x14ac:dyDescent="0.25">
      <c r="A25" s="19">
        <v>5</v>
      </c>
      <c r="B25" s="2" t="s">
        <v>98</v>
      </c>
      <c r="C25" s="3"/>
      <c r="D25" s="3"/>
      <c r="E25" s="3"/>
      <c r="F25" s="3">
        <v>72564</v>
      </c>
      <c r="G25" s="11"/>
      <c r="H25" s="11"/>
      <c r="I25" s="11"/>
      <c r="J25" s="11"/>
      <c r="K25" s="11"/>
      <c r="L25" s="3">
        <f>-F25</f>
        <v>-72564</v>
      </c>
      <c r="N25" s="51"/>
      <c r="O25" s="51"/>
      <c r="P25" s="51"/>
    </row>
    <row r="26" spans="1:17" x14ac:dyDescent="0.25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2.8521999999999998</v>
      </c>
      <c r="J26" s="11">
        <f>I26-G26</f>
        <v>2.8521999999999998</v>
      </c>
      <c r="K26" s="11"/>
      <c r="L26" s="3">
        <f>E26*J26</f>
        <v>0</v>
      </c>
      <c r="N26" s="51"/>
      <c r="O26" s="51"/>
      <c r="P26" s="51"/>
    </row>
    <row r="27" spans="1:17" x14ac:dyDescent="0.25">
      <c r="A27" s="19">
        <v>7</v>
      </c>
      <c r="B27" s="2" t="s">
        <v>81</v>
      </c>
      <c r="C27" s="1"/>
      <c r="D27" s="1"/>
      <c r="E27" s="1">
        <f>107802+450+7400</f>
        <v>115652</v>
      </c>
      <c r="F27" s="1">
        <f>309187+1319+21698</f>
        <v>332204</v>
      </c>
      <c r="G27" s="11">
        <f>F27/E27</f>
        <v>2.872444920969806</v>
      </c>
      <c r="H27" s="11"/>
      <c r="I27" s="11">
        <f>I21</f>
        <v>2.8521999999999998</v>
      </c>
      <c r="J27" s="11">
        <f>I27-G27</f>
        <v>-2.0244920969806124E-2</v>
      </c>
      <c r="K27" s="11"/>
      <c r="L27" s="1">
        <f>E27*J27</f>
        <v>-2341.3656000000178</v>
      </c>
      <c r="N27" s="51"/>
      <c r="O27" s="51"/>
      <c r="P27" s="51"/>
    </row>
    <row r="28" spans="1:17" x14ac:dyDescent="0.25">
      <c r="A28" s="19">
        <v>8</v>
      </c>
      <c r="B28" s="2" t="s">
        <v>244</v>
      </c>
      <c r="C28" s="3">
        <f>D28+E28</f>
        <v>780989</v>
      </c>
      <c r="D28" s="3">
        <v>671833</v>
      </c>
      <c r="E28" s="3">
        <f>SUM(E24:E27)</f>
        <v>109156</v>
      </c>
      <c r="F28" s="3">
        <f>SUM(F24:F27)</f>
        <v>292041</v>
      </c>
      <c r="G28" s="11"/>
      <c r="H28" s="11"/>
      <c r="I28" s="11"/>
      <c r="J28" s="11"/>
      <c r="K28" s="11"/>
      <c r="L28" s="3">
        <f>SUM(L24:L27)</f>
        <v>19293.743199999983</v>
      </c>
      <c r="N28" s="51">
        <f>F28*-1</f>
        <v>-292041</v>
      </c>
      <c r="O28" s="51"/>
      <c r="P28" s="51"/>
    </row>
    <row r="29" spans="1:17" x14ac:dyDescent="0.25">
      <c r="N29" s="51"/>
      <c r="O29" s="51"/>
      <c r="P29" s="51"/>
    </row>
    <row r="30" spans="1:17" x14ac:dyDescent="0.25">
      <c r="A30" s="19">
        <v>9</v>
      </c>
      <c r="B30" s="13" t="s">
        <v>245</v>
      </c>
      <c r="C30" s="14">
        <f>C19+C28</f>
        <v>3352115</v>
      </c>
      <c r="D30" s="14">
        <f>D19+D28</f>
        <v>-1494142</v>
      </c>
      <c r="E30" s="14">
        <f>E19+E28</f>
        <v>4846257</v>
      </c>
      <c r="F30" s="45">
        <f>F19+F28</f>
        <v>-38909016</v>
      </c>
      <c r="G30" s="15"/>
      <c r="H30" s="15"/>
      <c r="I30" s="53">
        <f>I21</f>
        <v>2.8521999999999998</v>
      </c>
      <c r="J30" s="15"/>
      <c r="K30" s="15"/>
      <c r="L30" s="31">
        <f>L19+L21+L28-1</f>
        <v>52731509.663199998</v>
      </c>
      <c r="N30" s="52">
        <f>N19+N28</f>
        <v>38909016</v>
      </c>
      <c r="O30" s="51"/>
      <c r="P30" s="52">
        <f>E30*I30</f>
        <v>13822494.215399999</v>
      </c>
      <c r="Q30" s="43"/>
    </row>
    <row r="31" spans="1:17" x14ac:dyDescent="0.25">
      <c r="N31" s="51"/>
      <c r="O31" s="51"/>
      <c r="P31" s="51"/>
    </row>
    <row r="32" spans="1:17" x14ac:dyDescent="0.25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68" orientation="landscape" horizontalDpi="4294967292" verticalDpi="1200" r:id="rId1"/>
  <headerFooter alignWithMargins="0">
    <oddHeader>&amp;RExhibit No. 7
Modified for Internal Use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All Inclusive</vt:lpstr>
      <vt:lpstr>January 2001</vt:lpstr>
      <vt:lpstr>February 2001</vt:lpstr>
      <vt:lpstr>March 2001</vt:lpstr>
      <vt:lpstr>April 2001</vt:lpstr>
      <vt:lpstr>May 2001</vt:lpstr>
      <vt:lpstr>June 2001</vt:lpstr>
      <vt:lpstr>July 2001</vt:lpstr>
      <vt:lpstr>August 2001</vt:lpstr>
      <vt:lpstr>'All Inclusive'!Print_Area</vt:lpstr>
      <vt:lpstr>'April 2001'!Print_Area</vt:lpstr>
      <vt:lpstr>'February 2001'!Print_Area</vt:lpstr>
      <vt:lpstr>'January 2001'!Print_Area</vt:lpstr>
      <vt:lpstr>'March 2001'!Print_Area</vt:lpstr>
      <vt:lpstr>'May 2001'!Print_Area</vt:lpstr>
      <vt:lpstr>'All Inclusive'!Print_Titles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2001-09-14T20:11:17Z</cp:lastPrinted>
  <dcterms:created xsi:type="dcterms:W3CDTF">2000-12-01T16:58:08Z</dcterms:created>
  <dcterms:modified xsi:type="dcterms:W3CDTF">2023-09-10T15:41:56Z</dcterms:modified>
</cp:coreProperties>
</file>