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embeddings/oleObject1.bin" ContentType="application/vnd.openxmlformats-officedocument.oleObject"/>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8.xml" ContentType="application/vnd.openxmlformats-officedocument.drawing+xml"/>
  <Override PartName="/xl/drawings/drawing29.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2.xml" ContentType="application/vnd.openxmlformats-officedocument.spreadsheetml.comments+xml"/>
  <Override PartName="/xl/drawings/drawing30.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3.xml" ContentType="application/vnd.openxmlformats-officedocument.spreadsheetml.comments+xml"/>
  <Override PartName="/xl/drawings/drawing31.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72" yWindow="720" windowWidth="11700" windowHeight="7980" tabRatio="599" firstSheet="21"/>
  </bookViews>
  <sheets>
    <sheet name="Cover" sheetId="1" r:id="rId1"/>
    <sheet name="Index" sheetId="2" r:id="rId2"/>
    <sheet name="Gross Margin Summary " sheetId="3" state="hidden" r:id="rId3"/>
    <sheet name="Cost Summary " sheetId="4" r:id="rId4"/>
    <sheet name=" PL Expense Analysis" sheetId="5" r:id="rId5"/>
    <sheet name="Budget 2002 Summary" sheetId="6" r:id="rId6"/>
    <sheet name="Consultancy &amp; Legal" sheetId="7" r:id="rId7"/>
    <sheet name="Headcount Summary" sheetId="8" r:id="rId8"/>
    <sheet name="Org Chart" sheetId="9" state="hidden" r:id="rId9"/>
    <sheet name="Org Chart from Paul" sheetId="10" state="hidden" r:id="rId10"/>
    <sheet name="Org Chart (UK) " sheetId="11" state="hidden" r:id="rId11"/>
    <sheet name="Org Chart (Cont) " sheetId="12" state="hidden" r:id="rId12"/>
    <sheet name="Org Chart (UK)  (2)" sheetId="13" r:id="rId13"/>
    <sheet name="Org Chart (Cont)  (2)" sheetId="14" r:id="rId14"/>
    <sheet name="Allocations " sheetId="15" r:id="rId15"/>
    <sheet name="Allocations %" sheetId="16" r:id="rId16"/>
    <sheet name="Corporate Allocations" sheetId="17" r:id="rId17"/>
    <sheet name="Run Rate Analysis" sheetId="18" r:id="rId18"/>
    <sheet name="Expense Analysis" sheetId="19" r:id="rId19"/>
    <sheet name="Expense Detail" sheetId="20" r:id="rId20"/>
    <sheet name="Expense Detail (2)" sheetId="21" r:id="rId21"/>
    <sheet name="Expense Detail (3)" sheetId="22" r:id="rId22"/>
    <sheet name="Run Rate" sheetId="23" state="hidden" r:id="rId23"/>
    <sheet name="Appendice" sheetId="24" r:id="rId24"/>
    <sheet name="CC Appendices 2002 Plan" sheetId="25" r:id="rId25"/>
    <sheet name="Mnth Appendices 2002 Plan " sheetId="26" r:id="rId26"/>
    <sheet name="Adaytum" sheetId="27" state="hidden" r:id="rId27"/>
    <sheet name="Adaytum  Detail 2002" sheetId="28" state="hidden" r:id="rId28"/>
    <sheet name="Input Data" sheetId="29" state="hidden" r:id="rId29"/>
    <sheet name="Adaytum by CC" sheetId="30" state="hidden" r:id="rId30"/>
    <sheet name="Adaytum by Month" sheetId="31" state="hidden" r:id="rId31"/>
    <sheet name="Adaytum Headcount" sheetId="32" state="hidden" r:id="rId32"/>
  </sheets>
  <externalReferences>
    <externalReference r:id="rId33"/>
    <externalReference r:id="rId34"/>
  </externalReferences>
  <definedNames>
    <definedName name="_Order1" hidden="1">255</definedName>
    <definedName name="aaa" localSheetId="29" hidden="1">{"TOTAL SALES AND MKT",#N/A,FALSE,"NOI";"TOTAL RETAIL",#N/A,FALSE,"NOI";"TOTAL COMMERCIAL",#N/A,FALSE,"NOI"}</definedName>
    <definedName name="aaa" localSheetId="31" hidden="1">{"TOTAL SALES AND MKT",#N/A,FALSE,"NOI";"TOTAL RETAIL",#N/A,FALSE,"NOI";"TOTAL COMMERCIAL",#N/A,FALSE,"NOI"}</definedName>
    <definedName name="aaa" localSheetId="0" hidden="1">{"TOTAL SALES AND MKT",#N/A,FALSE,"NOI";"TOTAL RETAIL",#N/A,FALSE,"NOI";"TOTAL COMMERCIAL",#N/A,FALSE,"NOI"}</definedName>
    <definedName name="aaa" localSheetId="8" hidden="1">{"TOTAL SALES AND MKT",#N/A,FALSE,"NOI";"TOTAL RETAIL",#N/A,FALSE,"NOI";"TOTAL COMMERCIAL",#N/A,FALSE,"NOI"}</definedName>
    <definedName name="aaa" hidden="1">{"TOTAL SALES AND MKT",#N/A,FALSE,"NOI";"TOTAL RETAIL",#N/A,FALSE,"NOI";"TOTAL COMMERCIAL",#N/A,FALSE,"NOI"}</definedName>
    <definedName name="Adaytum"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_col_1" localSheetId="27">'Adaytum  Detail 2002'!$C$13</definedName>
    <definedName name="adaytum_col_1" localSheetId="29">'Adaytum by CC'!$C$14</definedName>
    <definedName name="adaytum_col_1" localSheetId="30">'Adaytum by Month'!$C$46:$O$46</definedName>
    <definedName name="adaytum_col_1" localSheetId="31">'Adaytum Headcount'!$C$15</definedName>
    <definedName name="adaytum_col_2" localSheetId="30">'Adaytum by Month'!$C$30:$O$30</definedName>
    <definedName name="adaytum_col_2" localSheetId="31">'Adaytum Headcount'!$C$24</definedName>
    <definedName name="adaytum_col_3" localSheetId="29">'Adaytum by CC'!$C$31</definedName>
    <definedName name="adaytum_col_3" localSheetId="30">'Adaytum by Month'!$C$14:$O$14</definedName>
    <definedName name="adaytum_col_3">#REF!</definedName>
    <definedName name="adaytum_data_1" localSheetId="27">'Adaytum  Detail 2002'!$C$15:$C$89</definedName>
    <definedName name="adaytum_data_1" localSheetId="30">'Adaytum by Month'!$C$47:$O$56</definedName>
    <definedName name="adaytum_data_2" localSheetId="29">'Adaytum by CC'!$C$15:$C$24</definedName>
    <definedName name="adaytum_data_2" localSheetId="30">'Adaytum by Month'!$C$31:$O$40</definedName>
    <definedName name="adaytum_data_3" localSheetId="29">'Adaytum by CC'!$C$33:$C$42</definedName>
    <definedName name="adaytum_data_3" localSheetId="30">'Adaytum by Month'!$C$15:$O$24</definedName>
    <definedName name="adaytum_page_1" localSheetId="27">'Adaytum  Detail 2002'!$B$11:$E$11</definedName>
    <definedName name="adaytum_page_1" localSheetId="29">'Adaytum by CC'!$B$12:$E$12</definedName>
    <definedName name="adaytum_page_1" localSheetId="30">'Adaytum by Month'!$B$12:$E$12</definedName>
    <definedName name="adaytum_page_1" localSheetId="31">'Adaytum Headcount'!$B$22</definedName>
    <definedName name="adaytum_page_2" localSheetId="30">'Adaytum by Month'!$B$28:$D$28</definedName>
    <definedName name="adaytum_page_3" localSheetId="29">'Adaytum by CC'!$B$29:$D$29</definedName>
    <definedName name="adaytum_page_3" localSheetId="30">'Adaytum by Month'!$B$44:$D$44</definedName>
    <definedName name="adaytum_page_3" localSheetId="31">'Adaytum Headcount'!$B$13:$E$13</definedName>
    <definedName name="adaytum_row_1" localSheetId="27">'Adaytum  Detail 2002'!$B$15:$B$89</definedName>
    <definedName name="adaytum_row_1" localSheetId="29">'Adaytum by CC'!$B$15:$B$24</definedName>
    <definedName name="adaytum_row_1" localSheetId="30">'Adaytum by Month'!$B$15:$B$24</definedName>
    <definedName name="adaytum_row_1" localSheetId="31">'Adaytum Headcount'!$B$16</definedName>
    <definedName name="adaytum_row_2" localSheetId="30">'Adaytum by Month'!$B$31:$B$40</definedName>
    <definedName name="adaytum_row_2" localSheetId="31">'Adaytum Headcount'!$B$25</definedName>
    <definedName name="adaytum_row_3" localSheetId="29">'Adaytum by CC'!$B$33:$B$42</definedName>
    <definedName name="adaytum_row_3" localSheetId="30">'Adaytum by Month'!$B$47:$B$56</definedName>
    <definedName name="adaytum_view_1" localSheetId="30">'Adaytum by Month'!$B$43</definedName>
    <definedName name="adaytum_view_1" localSheetId="31">'Adaytum Headcount'!$B$21</definedName>
    <definedName name="adaytum_view_2" localSheetId="27">'Adaytum  Detail 2002'!$B$10</definedName>
    <definedName name="adaytum_view_2" localSheetId="29">'Adaytum by CC'!$B$28</definedName>
    <definedName name="adaytum_view_2" localSheetId="30">'Adaytum by Month'!$B$27</definedName>
    <definedName name="adaytum_view_3" localSheetId="29">'Adaytum by CC'!$B$11</definedName>
    <definedName name="adaytum_view_3" localSheetId="31">'Adaytum Headcount'!$B$12</definedName>
    <definedName name="adaytum_view_4" localSheetId="30">'Adaytum by Month'!$B$11</definedName>
    <definedName name="dfds" hidden="1">{"UK CONS NOI",#N/A,FALSE,"Cons UK Income";#N/A,#N/A,FALSE,"Key Data";"UK CONS TOTAL BBLS",#N/A,FALSE,"Barrels";"UK CONS BBLS PER DAY",#N/A,FALSE,"Barrels"}</definedName>
    <definedName name="iii" localSheetId="26"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7"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1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5"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_xlnm.Print_Area" localSheetId="4">' PL Expense Analysis'!$A$1:$M$69</definedName>
    <definedName name="_xlnm.Print_Area" localSheetId="27">'Adaytum  Detail 2002'!$A$1:$G$90</definedName>
    <definedName name="_xlnm.Print_Area" localSheetId="29">'Adaytum by CC'!$A$1:$E$43</definedName>
    <definedName name="_xlnm.Print_Area" localSheetId="30">'Adaytum by Month'!$A$1:$O$41</definedName>
    <definedName name="_xlnm.Print_Area" localSheetId="31">'Adaytum Headcount'!$A$1:$E$10</definedName>
    <definedName name="_xlnm.Print_Area" localSheetId="14">'Allocations '!$A$1:$I$52</definedName>
    <definedName name="_xlnm.Print_Area" localSheetId="15">'Allocations %'!$A$1:$AN$84</definedName>
    <definedName name="_xlnm.Print_Area" localSheetId="5">'Budget 2002 Summary'!$A$1:$W$110</definedName>
    <definedName name="_xlnm.Print_Area" localSheetId="24">'CC Appendices 2002 Plan'!$A$1:$J$51</definedName>
    <definedName name="_xlnm.Print_Area" localSheetId="6">'Consultancy &amp; Legal'!$A$1:$AJ$64</definedName>
    <definedName name="_xlnm.Print_Area" localSheetId="3">'Cost Summary '!$A$1:$R$87</definedName>
    <definedName name="_xlnm.Print_Area" localSheetId="19">'Expense Detail'!$A$1:$L$59</definedName>
    <definedName name="_xlnm.Print_Area" localSheetId="20">'Expense Detail (2)'!$A$1:$L$48</definedName>
    <definedName name="_xlnm.Print_Area" localSheetId="21">'Expense Detail (3)'!$A$1:$L$68</definedName>
    <definedName name="_xlnm.Print_Area" localSheetId="2">'Gross Margin Summary '!$A$1:$N$52</definedName>
    <definedName name="_xlnm.Print_Area" localSheetId="7">'Headcount Summary'!$A$1:$O$52</definedName>
    <definedName name="_xlnm.Print_Area" localSheetId="25">'Mnth Appendices 2002 Plan '!$A$1:$O$47</definedName>
    <definedName name="_xlnm.Print_Area" localSheetId="11">'Org Chart (Cont) '!$A$1:$Q$45</definedName>
    <definedName name="_xlnm.Print_Area" localSheetId="13">'Org Chart (Cont)  (2)'!$A$1:$Q$45</definedName>
    <definedName name="_xlnm.Print_Area" localSheetId="10">'Org Chart (UK) '!$A$1:$N$48</definedName>
    <definedName name="_xlnm.Print_Area" localSheetId="12">'Org Chart (UK)  (2)'!$A$1:$N$48</definedName>
    <definedName name="_xlnm.Print_Area" localSheetId="22">'Run Rate'!$A$1:$M$45</definedName>
    <definedName name="_xlnm.Print_Titles" localSheetId="5">'Budget 2002 Summary'!$C:$G,'Budget 2002 Summary'!$2:$4</definedName>
    <definedName name="rs" localSheetId="26" hidden="1">{"TOTAL SALES AND MKT",#N/A,FALSE,"NOI";"TOTAL RETAIL",#N/A,FALSE,"NOI";"TOTAL COMMERCIAL",#N/A,FALSE,"NOI"}</definedName>
    <definedName name="rs" localSheetId="27" hidden="1">{"TOTAL SALES AND MKT",#N/A,FALSE,"NOI";"TOTAL RETAIL",#N/A,FALSE,"NOI";"TOTAL COMMERCIAL",#N/A,FALSE,"NOI"}</definedName>
    <definedName name="rs" localSheetId="29" hidden="1">{"TOTAL SALES AND MKT",#N/A,FALSE,"NOI";"TOTAL RETAIL",#N/A,FALSE,"NOI";"TOTAL COMMERCIAL",#N/A,FALSE,"NOI"}</definedName>
    <definedName name="rs" localSheetId="31" hidden="1">{"TOTAL SALES AND MKT",#N/A,FALSE,"NOI";"TOTAL RETAIL",#N/A,FALSE,"NOI";"TOTAL COMMERCIAL",#N/A,FALSE,"NOI"}</definedName>
    <definedName name="rs" localSheetId="0" hidden="1">{"TOTAL SALES AND MKT",#N/A,FALSE,"NOI";"TOTAL RETAIL",#N/A,FALSE,"NOI";"TOTAL COMMERCIAL",#N/A,FALSE,"NOI"}</definedName>
    <definedName name="rs" localSheetId="19" hidden="1">{"TOTAL SALES AND MKT",#N/A,FALSE,"NOI";"TOTAL RETAIL",#N/A,FALSE,"NOI";"TOTAL COMMERCIAL",#N/A,FALSE,"NOI"}</definedName>
    <definedName name="rs" localSheetId="20" hidden="1">{"TOTAL SALES AND MKT",#N/A,FALSE,"NOI";"TOTAL RETAIL",#N/A,FALSE,"NOI";"TOTAL COMMERCIAL",#N/A,FALSE,"NOI"}</definedName>
    <definedName name="rs" localSheetId="21" hidden="1">{"TOTAL SALES AND MKT",#N/A,FALSE,"NOI";"TOTAL RETAIL",#N/A,FALSE,"NOI";"TOTAL COMMERCIAL",#N/A,FALSE,"NOI"}</definedName>
    <definedName name="rs" localSheetId="25" hidden="1">{"TOTAL SALES AND MKT",#N/A,FALSE,"NOI";"TOTAL RETAIL",#N/A,FALSE,"NOI";"TOTAL COMMERCIAL",#N/A,FALSE,"NOI"}</definedName>
    <definedName name="rs" localSheetId="8" hidden="1">{"TOTAL SALES AND MKT",#N/A,FALSE,"NOI";"TOTAL RETAIL",#N/A,FALSE,"NOI";"TOTAL COMMERCIAL",#N/A,FALSE,"NOI"}</definedName>
    <definedName name="rs" hidden="1">{"TOTAL SALES AND MKT",#N/A,FALSE,"NOI";"TOTAL RETAIL",#N/A,FALSE,"NOI";"TOTAL COMMERCIAL",#N/A,FALSE,"NOI"}</definedName>
    <definedName name="Strategic_Initiatives___Richard_Sage">1.4</definedName>
    <definedName name="USD">1.4</definedName>
    <definedName name="wrn.BFT._.PACK." localSheetId="26" hidden="1">{#N/A,#N/A,TRUE,"Page 12A"}</definedName>
    <definedName name="wrn.BFT._.PACK." localSheetId="27" hidden="1">{#N/A,#N/A,TRUE,"Page 12A"}</definedName>
    <definedName name="wrn.BFT._.PACK." localSheetId="29" hidden="1">{#N/A,#N/A,TRUE,"Page 12A"}</definedName>
    <definedName name="wrn.BFT._.PACK." localSheetId="31" hidden="1">{#N/A,#N/A,TRUE,"Page 12A"}</definedName>
    <definedName name="wrn.BFT._.PACK." localSheetId="0" hidden="1">{#N/A,#N/A,TRUE,"Page 12A"}</definedName>
    <definedName name="wrn.BFT._.PACK." localSheetId="19" hidden="1">{#N/A,#N/A,TRUE,"Page 12A"}</definedName>
    <definedName name="wrn.BFT._.PACK." localSheetId="20" hidden="1">{#N/A,#N/A,TRUE,"Page 12A"}</definedName>
    <definedName name="wrn.BFT._.PACK." localSheetId="21" hidden="1">{#N/A,#N/A,TRUE,"Page 12A"}</definedName>
    <definedName name="wrn.BFT._.PACK." localSheetId="25" hidden="1">{#N/A,#N/A,TRUE,"Page 12A"}</definedName>
    <definedName name="wrn.BFT._.PACK." localSheetId="8" hidden="1">{#N/A,#N/A,TRUE,"Page 12A"}</definedName>
    <definedName name="wrn.BFT._.PACK." hidden="1">{#N/A,#N/A,TRUE,"Page 12A"}</definedName>
    <definedName name="wrn.DATA." localSheetId="26" hidden="1">{"UK CONS NOI",#N/A,FALSE,"Cons UK Income";#N/A,#N/A,FALSE,"Key Data";"UK CONS TOTAL BBLS",#N/A,FALSE,"Barrels";"UK CONS BBLS PER DAY",#N/A,FALSE,"Barrels"}</definedName>
    <definedName name="wrn.DATA." localSheetId="27" hidden="1">{"UK CONS NOI",#N/A,FALSE,"Cons UK Income";#N/A,#N/A,FALSE,"Key Data";"UK CONS TOTAL BBLS",#N/A,FALSE,"Barrels";"UK CONS BBLS PER DAY",#N/A,FALSE,"Barrels"}</definedName>
    <definedName name="wrn.DATA." localSheetId="29" hidden="1">{"UK CONS NOI",#N/A,FALSE,"Cons UK Income";#N/A,#N/A,FALSE,"Key Data";"UK CONS TOTAL BBLS",#N/A,FALSE,"Barrels";"UK CONS BBLS PER DAY",#N/A,FALSE,"Barrels"}</definedName>
    <definedName name="wrn.DATA." localSheetId="31" hidden="1">{"UK CONS NOI",#N/A,FALSE,"Cons UK Income";#N/A,#N/A,FALSE,"Key Data";"UK CONS TOTAL BBLS",#N/A,FALSE,"Barrels";"UK CONS BBLS PER DAY",#N/A,FALSE,"Barrels"}</definedName>
    <definedName name="wrn.DATA." localSheetId="0" hidden="1">{"UK CONS NOI",#N/A,FALSE,"Cons UK Income";#N/A,#N/A,FALSE,"Key Data";"UK CONS TOTAL BBLS",#N/A,FALSE,"Barrels";"UK CONS BBLS PER DAY",#N/A,FALSE,"Barrels"}</definedName>
    <definedName name="wrn.DATA." localSheetId="19" hidden="1">{"UK CONS NOI",#N/A,FALSE,"Cons UK Income";#N/A,#N/A,FALSE,"Key Data";"UK CONS TOTAL BBLS",#N/A,FALSE,"Barrels";"UK CONS BBLS PER DAY",#N/A,FALSE,"Barrels"}</definedName>
    <definedName name="wrn.DATA." localSheetId="20" hidden="1">{"UK CONS NOI",#N/A,FALSE,"Cons UK Income";#N/A,#N/A,FALSE,"Key Data";"UK CONS TOTAL BBLS",#N/A,FALSE,"Barrels";"UK CONS BBLS PER DAY",#N/A,FALSE,"Barrels"}</definedName>
    <definedName name="wrn.DATA." localSheetId="21" hidden="1">{"UK CONS NOI",#N/A,FALSE,"Cons UK Income";#N/A,#N/A,FALSE,"Key Data";"UK CONS TOTAL BBLS",#N/A,FALSE,"Barrels";"UK CONS BBLS PER DAY",#N/A,FALSE,"Barrels"}</definedName>
    <definedName name="wrn.DATA." localSheetId="25" hidden="1">{"UK CONS NOI",#N/A,FALSE,"Cons UK Income";#N/A,#N/A,FALSE,"Key Data";"UK CONS TOTAL BBLS",#N/A,FALSE,"Barrels";"UK CONS BBLS PER DAY",#N/A,FALSE,"Barrels"}</definedName>
    <definedName name="wrn.DATA." localSheetId="8" hidden="1">{"UK CONS NOI",#N/A,FALSE,"Cons UK Income";#N/A,#N/A,FALSE,"Key Data";"UK CONS TOTAL BBLS",#N/A,FALSE,"Barrels";"UK CONS BBLS PER DAY",#N/A,FALSE,"Barrels"}</definedName>
    <definedName name="wrn.DATA." hidden="1">{"UK CONS NOI",#N/A,FALSE,"Cons UK Income";#N/A,#N/A,FALSE,"Key Data";"UK CONS TOTAL BBLS",#N/A,FALSE,"Barrels";"UK CONS BBLS PER DAY",#N/A,FALSE,"Barrels"}</definedName>
    <definedName name="wrn.ECR." localSheetId="26"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7"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9"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31"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0"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19"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0"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1"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5"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8"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Gas." localSheetId="26" hidden="1">{"GAS FRONT",#N/A,TRUE,"FRONT";"NATURAL GAS",#N/A,TRUE,"NOI";"GAS PROD MGN",#N/A,TRUE,"PROD MGN";"NAT GAS COGS",#N/A,TRUE,"COGS";"GAS EXP",#N/A,TRUE,"EXPENSES";"GAS VOLS",#N/A,TRUE,"VOLUME"}</definedName>
    <definedName name="wrn.Gas." localSheetId="27" hidden="1">{"GAS FRONT",#N/A,TRUE,"FRONT";"NATURAL GAS",#N/A,TRUE,"NOI";"GAS PROD MGN",#N/A,TRUE,"PROD MGN";"NAT GAS COGS",#N/A,TRUE,"COGS";"GAS EXP",#N/A,TRUE,"EXPENSES";"GAS VOLS",#N/A,TRUE,"VOLUME"}</definedName>
    <definedName name="wrn.Gas." localSheetId="29" hidden="1">{"GAS FRONT",#N/A,TRUE,"FRONT";"NATURAL GAS",#N/A,TRUE,"NOI";"GAS PROD MGN",#N/A,TRUE,"PROD MGN";"NAT GAS COGS",#N/A,TRUE,"COGS";"GAS EXP",#N/A,TRUE,"EXPENSES";"GAS VOLS",#N/A,TRUE,"VOLUME"}</definedName>
    <definedName name="wrn.Gas." localSheetId="31" hidden="1">{"GAS FRONT",#N/A,TRUE,"FRONT";"NATURAL GAS",#N/A,TRUE,"NOI";"GAS PROD MGN",#N/A,TRUE,"PROD MGN";"NAT GAS COGS",#N/A,TRUE,"COGS";"GAS EXP",#N/A,TRUE,"EXPENSES";"GAS VOLS",#N/A,TRUE,"VOLUME"}</definedName>
    <definedName name="wrn.Gas." localSheetId="0" hidden="1">{"GAS FRONT",#N/A,TRUE,"FRONT";"NATURAL GAS",#N/A,TRUE,"NOI";"GAS PROD MGN",#N/A,TRUE,"PROD MGN";"NAT GAS COGS",#N/A,TRUE,"COGS";"GAS EXP",#N/A,TRUE,"EXPENSES";"GAS VOLS",#N/A,TRUE,"VOLUME"}</definedName>
    <definedName name="wrn.Gas." localSheetId="19" hidden="1">{"GAS FRONT",#N/A,TRUE,"FRONT";"NATURAL GAS",#N/A,TRUE,"NOI";"GAS PROD MGN",#N/A,TRUE,"PROD MGN";"NAT GAS COGS",#N/A,TRUE,"COGS";"GAS EXP",#N/A,TRUE,"EXPENSES";"GAS VOLS",#N/A,TRUE,"VOLUME"}</definedName>
    <definedName name="wrn.Gas." localSheetId="20" hidden="1">{"GAS FRONT",#N/A,TRUE,"FRONT";"NATURAL GAS",#N/A,TRUE,"NOI";"GAS PROD MGN",#N/A,TRUE,"PROD MGN";"NAT GAS COGS",#N/A,TRUE,"COGS";"GAS EXP",#N/A,TRUE,"EXPENSES";"GAS VOLS",#N/A,TRUE,"VOLUME"}</definedName>
    <definedName name="wrn.Gas." localSheetId="21" hidden="1">{"GAS FRONT",#N/A,TRUE,"FRONT";"NATURAL GAS",#N/A,TRUE,"NOI";"GAS PROD MGN",#N/A,TRUE,"PROD MGN";"NAT GAS COGS",#N/A,TRUE,"COGS";"GAS EXP",#N/A,TRUE,"EXPENSES";"GAS VOLS",#N/A,TRUE,"VOLUME"}</definedName>
    <definedName name="wrn.Gas." localSheetId="25" hidden="1">{"GAS FRONT",#N/A,TRUE,"FRONT";"NATURAL GAS",#N/A,TRUE,"NOI";"GAS PROD MGN",#N/A,TRUE,"PROD MGN";"NAT GAS COGS",#N/A,TRUE,"COGS";"GAS EXP",#N/A,TRUE,"EXPENSES";"GAS VOLS",#N/A,TRUE,"VOLUME"}</definedName>
    <definedName name="wrn.Gas." localSheetId="8" hidden="1">{"GAS FRONT",#N/A,TRUE,"FRONT";"NATURAL GAS",#N/A,TRUE,"NOI";"GAS PROD MGN",#N/A,TRUE,"PROD MGN";"NAT GAS COGS",#N/A,TRUE,"COGS";"GAS EXP",#N/A,TRUE,"EXPENSES";"GAS VOLS",#N/A,TRUE,"VOLUME"}</definedName>
    <definedName name="wrn.Gas." hidden="1">{"GAS FRONT",#N/A,TRUE,"FRONT";"NATURAL GAS",#N/A,TRUE,"NOI";"GAS PROD MGN",#N/A,TRUE,"PROD MGN";"NAT GAS COGS",#N/A,TRUE,"COGS";"GAS EXP",#N/A,TRUE,"EXPENSES";"GAS VOLS",#N/A,TRUE,"VOLUME"}</definedName>
    <definedName name="wrn.GRAPHS." localSheetId="26"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7"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1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5"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Lubes." localSheetId="26" hidden="1">{"LUBES FRONT",#N/A,TRUE,"FRONT";"LUBRICANTS INDUSTRIAL",#N/A,TRUE,"NOI";"LUBES INDUSTRIAL PROD MGN",#N/A,TRUE,"PROD MGN";"LUBES IND COGS",#N/A,TRUE,"COGS";"LUBES INDUSTRIAL EXP",#N/A,TRUE,"EXPENSES";"LUBES INDUSTRIAL VOLS",#N/A,TRUE,"VOLUME"}</definedName>
    <definedName name="wrn.Lubes." localSheetId="27" hidden="1">{"LUBES FRONT",#N/A,TRUE,"FRONT";"LUBRICANTS INDUSTRIAL",#N/A,TRUE,"NOI";"LUBES INDUSTRIAL PROD MGN",#N/A,TRUE,"PROD MGN";"LUBES IND COGS",#N/A,TRUE,"COGS";"LUBES INDUSTRIAL EXP",#N/A,TRUE,"EXPENSES";"LUBES INDUSTRIAL VOLS",#N/A,TRUE,"VOLUME"}</definedName>
    <definedName name="wrn.Lubes." localSheetId="29" hidden="1">{"LUBES FRONT",#N/A,TRUE,"FRONT";"LUBRICANTS INDUSTRIAL",#N/A,TRUE,"NOI";"LUBES INDUSTRIAL PROD MGN",#N/A,TRUE,"PROD MGN";"LUBES IND COGS",#N/A,TRUE,"COGS";"LUBES INDUSTRIAL EXP",#N/A,TRUE,"EXPENSES";"LUBES INDUSTRIAL VOLS",#N/A,TRUE,"VOLUME"}</definedName>
    <definedName name="wrn.Lubes." localSheetId="31" hidden="1">{"LUBES FRONT",#N/A,TRUE,"FRONT";"LUBRICANTS INDUSTRIAL",#N/A,TRUE,"NOI";"LUBES INDUSTRIAL PROD MGN",#N/A,TRUE,"PROD MGN";"LUBES IND COGS",#N/A,TRUE,"COGS";"LUBES INDUSTRIAL EXP",#N/A,TRUE,"EXPENSES";"LUBES INDUSTRIAL VOLS",#N/A,TRUE,"VOLUME"}</definedName>
    <definedName name="wrn.Lubes." localSheetId="0" hidden="1">{"LUBES FRONT",#N/A,TRUE,"FRONT";"LUBRICANTS INDUSTRIAL",#N/A,TRUE,"NOI";"LUBES INDUSTRIAL PROD MGN",#N/A,TRUE,"PROD MGN";"LUBES IND COGS",#N/A,TRUE,"COGS";"LUBES INDUSTRIAL EXP",#N/A,TRUE,"EXPENSES";"LUBES INDUSTRIAL VOLS",#N/A,TRUE,"VOLUME"}</definedName>
    <definedName name="wrn.Lubes." localSheetId="19" hidden="1">{"LUBES FRONT",#N/A,TRUE,"FRONT";"LUBRICANTS INDUSTRIAL",#N/A,TRUE,"NOI";"LUBES INDUSTRIAL PROD MGN",#N/A,TRUE,"PROD MGN";"LUBES IND COGS",#N/A,TRUE,"COGS";"LUBES INDUSTRIAL EXP",#N/A,TRUE,"EXPENSES";"LUBES INDUSTRIAL VOLS",#N/A,TRUE,"VOLUME"}</definedName>
    <definedName name="wrn.Lubes." localSheetId="20" hidden="1">{"LUBES FRONT",#N/A,TRUE,"FRONT";"LUBRICANTS INDUSTRIAL",#N/A,TRUE,"NOI";"LUBES INDUSTRIAL PROD MGN",#N/A,TRUE,"PROD MGN";"LUBES IND COGS",#N/A,TRUE,"COGS";"LUBES INDUSTRIAL EXP",#N/A,TRUE,"EXPENSES";"LUBES INDUSTRIAL VOLS",#N/A,TRUE,"VOLUME"}</definedName>
    <definedName name="wrn.Lubes." localSheetId="21" hidden="1">{"LUBES FRONT",#N/A,TRUE,"FRONT";"LUBRICANTS INDUSTRIAL",#N/A,TRUE,"NOI";"LUBES INDUSTRIAL PROD MGN",#N/A,TRUE,"PROD MGN";"LUBES IND COGS",#N/A,TRUE,"COGS";"LUBES INDUSTRIAL EXP",#N/A,TRUE,"EXPENSES";"LUBES INDUSTRIAL VOLS",#N/A,TRUE,"VOLUME"}</definedName>
    <definedName name="wrn.Lubes." localSheetId="25" hidden="1">{"LUBES FRONT",#N/A,TRUE,"FRONT";"LUBRICANTS INDUSTRIAL",#N/A,TRUE,"NOI";"LUBES INDUSTRIAL PROD MGN",#N/A,TRUE,"PROD MGN";"LUBES IND COGS",#N/A,TRUE,"COGS";"LUBES INDUSTRIAL EXP",#N/A,TRUE,"EXPENSES";"LUBES INDUSTRIAL VOLS",#N/A,TRUE,"VOLUME"}</definedName>
    <definedName name="wrn.Lubes." localSheetId="8" hidden="1">{"LUBES FRONT",#N/A,TRUE,"FRONT";"LUBRICANTS INDUSTRIAL",#N/A,TRUE,"NOI";"LUBES INDUSTRIAL PROD MGN",#N/A,TRUE,"PROD MGN";"LUBES IND COGS",#N/A,TRUE,"COGS";"LUBES INDUSTRIAL EXP",#N/A,TRUE,"EXPENSES";"LUBES INDUSTRIAL VOLS",#N/A,TRUE,"VOLUME"}</definedName>
    <definedName name="wrn.Lubes." hidden="1">{"LUBES FRONT",#N/A,TRUE,"FRONT";"LUBRICANTS INDUSTRIAL",#N/A,TRUE,"NOI";"LUBES INDUSTRIAL PROD MGN",#N/A,TRUE,"PROD MGN";"LUBES IND COGS",#N/A,TRUE,"COGS";"LUBES INDUSTRIAL EXP",#N/A,TRUE,"EXPENSES";"LUBES INDUSTRIAL VOLS",#N/A,TRUE,"VOLUME"}</definedName>
    <definedName name="wrn.NOI._.Division._.Heads." localSheetId="26" hidden="1">{"TOTAL SALES AND MKT",#N/A,FALSE,"NOI";"TOTAL RETAIL",#N/A,FALSE,"NOI";"TOTAL COMMERCIAL",#N/A,FALSE,"NOI"}</definedName>
    <definedName name="wrn.NOI._.Division._.Heads." localSheetId="27" hidden="1">{"TOTAL SALES AND MKT",#N/A,FALSE,"NOI";"TOTAL RETAIL",#N/A,FALSE,"NOI";"TOTAL COMMERCIAL",#N/A,FALSE,"NOI"}</definedName>
    <definedName name="wrn.NOI._.Division._.Heads." localSheetId="29" hidden="1">{"TOTAL SALES AND MKT",#N/A,FALSE,"NOI";"TOTAL RETAIL",#N/A,FALSE,"NOI";"TOTAL COMMERCIAL",#N/A,FALSE,"NOI"}</definedName>
    <definedName name="wrn.NOI._.Division._.Heads." localSheetId="31" hidden="1">{"TOTAL SALES AND MKT",#N/A,FALSE,"NOI";"TOTAL RETAIL",#N/A,FALSE,"NOI";"TOTAL COMMERCIAL",#N/A,FALSE,"NOI"}</definedName>
    <definedName name="wrn.NOI._.Division._.Heads." localSheetId="0" hidden="1">{"TOTAL SALES AND MKT",#N/A,FALSE,"NOI";"TOTAL RETAIL",#N/A,FALSE,"NOI";"TOTAL COMMERCIAL",#N/A,FALSE,"NOI"}</definedName>
    <definedName name="wrn.NOI._.Division._.Heads." localSheetId="19" hidden="1">{"TOTAL SALES AND MKT",#N/A,FALSE,"NOI";"TOTAL RETAIL",#N/A,FALSE,"NOI";"TOTAL COMMERCIAL",#N/A,FALSE,"NOI"}</definedName>
    <definedName name="wrn.NOI._.Division._.Heads." localSheetId="20" hidden="1">{"TOTAL SALES AND MKT",#N/A,FALSE,"NOI";"TOTAL RETAIL",#N/A,FALSE,"NOI";"TOTAL COMMERCIAL",#N/A,FALSE,"NOI"}</definedName>
    <definedName name="wrn.NOI._.Division._.Heads." localSheetId="21" hidden="1">{"TOTAL SALES AND MKT",#N/A,FALSE,"NOI";"TOTAL RETAIL",#N/A,FALSE,"NOI";"TOTAL COMMERCIAL",#N/A,FALSE,"NOI"}</definedName>
    <definedName name="wrn.NOI._.Division._.Heads." localSheetId="25" hidden="1">{"TOTAL SALES AND MKT",#N/A,FALSE,"NOI";"TOTAL RETAIL",#N/A,FALSE,"NOI";"TOTAL COMMERCIAL",#N/A,FALSE,"NOI"}</definedName>
    <definedName name="wrn.NOI._.Division._.Heads." localSheetId="8" hidden="1">{"TOTAL SALES AND MKT",#N/A,FALSE,"NOI";"TOTAL RETAIL",#N/A,FALSE,"NOI";"TOTAL COMMERCIAL",#N/A,FALSE,"NOI"}</definedName>
    <definedName name="wrn.NOI._.Division._.Heads." hidden="1">{"TOTAL SALES AND MKT",#N/A,FALSE,"NOI";"TOTAL RETAIL",#N/A,FALSE,"NOI";"TOTAL COMMERCIAL",#N/A,FALSE,"NOI"}</definedName>
    <definedName name="wrn.Retail." localSheetId="26"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7"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9"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31"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0"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19"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0"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1"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5"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8"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Summary." localSheetId="26"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7"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9"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31"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0"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19"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0"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1"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5"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8"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s>
  <calcPr calcId="92512" calcMode="manual" fullCalcOnLoad="1"/>
</workbook>
</file>

<file path=xl/calcChain.xml><?xml version="1.0" encoding="utf-8"?>
<calcChain xmlns="http://schemas.openxmlformats.org/spreadsheetml/2006/main">
  <c r="B11" i="5" l="1"/>
  <c r="C11" i="5"/>
  <c r="G11" i="5"/>
  <c r="I11" i="5"/>
  <c r="B13" i="5"/>
  <c r="C13" i="5"/>
  <c r="G13" i="5"/>
  <c r="I13" i="5"/>
  <c r="J13" i="5"/>
  <c r="B19" i="5"/>
  <c r="C19" i="5"/>
  <c r="G19" i="5"/>
  <c r="I19" i="5"/>
  <c r="J19" i="5"/>
  <c r="B25" i="5"/>
  <c r="C25" i="5"/>
  <c r="G25" i="5"/>
  <c r="I25" i="5"/>
  <c r="J25" i="5"/>
  <c r="B30" i="5"/>
  <c r="C30" i="5"/>
  <c r="I30" i="5"/>
  <c r="J30" i="5"/>
  <c r="G36" i="5"/>
  <c r="I36" i="5"/>
  <c r="J36" i="5"/>
  <c r="B42" i="5"/>
  <c r="C42" i="5"/>
  <c r="G42" i="5"/>
  <c r="I42" i="5"/>
  <c r="J42" i="5"/>
  <c r="B47" i="5"/>
  <c r="C47" i="5"/>
  <c r="G47" i="5"/>
  <c r="I47" i="5"/>
  <c r="J47" i="5"/>
  <c r="B51" i="5"/>
  <c r="C51" i="5"/>
  <c r="G51" i="5"/>
  <c r="I51" i="5"/>
  <c r="J51" i="5"/>
  <c r="B55" i="5"/>
  <c r="C55" i="5"/>
  <c r="G55" i="5"/>
  <c r="I55" i="5"/>
  <c r="B57" i="5"/>
  <c r="C57" i="5"/>
  <c r="G57" i="5"/>
  <c r="I57" i="5"/>
  <c r="J57" i="5"/>
  <c r="B59" i="5"/>
  <c r="C59" i="5"/>
  <c r="G59" i="5"/>
  <c r="I59" i="5"/>
  <c r="B60" i="5"/>
  <c r="C60" i="5"/>
  <c r="G60" i="5"/>
  <c r="B62" i="5"/>
  <c r="C62" i="5"/>
  <c r="G62" i="5"/>
  <c r="I62" i="5"/>
  <c r="J62" i="5"/>
  <c r="B64" i="5"/>
  <c r="C64" i="5"/>
  <c r="G64" i="5"/>
  <c r="I64" i="5"/>
  <c r="J64" i="5"/>
  <c r="B66" i="5"/>
  <c r="C66" i="5"/>
  <c r="G66" i="5"/>
  <c r="I66" i="5"/>
  <c r="J66" i="5"/>
  <c r="E15" i="28"/>
  <c r="C17" i="28"/>
  <c r="E17" i="28"/>
  <c r="E18" i="28"/>
  <c r="E19" i="28"/>
  <c r="E20" i="28"/>
  <c r="E21" i="28"/>
  <c r="E22" i="28"/>
  <c r="E23" i="28"/>
  <c r="E24" i="28"/>
  <c r="E25" i="28"/>
  <c r="C26" i="28"/>
  <c r="E26" i="28"/>
  <c r="C28" i="28"/>
  <c r="E28" i="28"/>
  <c r="C29" i="28"/>
  <c r="E29" i="28"/>
  <c r="E30" i="28"/>
  <c r="C31" i="28"/>
  <c r="E31" i="28"/>
  <c r="E32" i="28"/>
  <c r="C33" i="28"/>
  <c r="E33" i="28"/>
  <c r="E35" i="28"/>
  <c r="E36" i="28"/>
  <c r="E37" i="28"/>
  <c r="E38" i="28"/>
  <c r="E39" i="28"/>
  <c r="E40" i="28"/>
  <c r="E41" i="28"/>
  <c r="E42" i="28"/>
  <c r="E43" i="28"/>
  <c r="E44" i="28"/>
  <c r="E45" i="28"/>
  <c r="C46" i="28"/>
  <c r="E46" i="28"/>
  <c r="E48" i="28"/>
  <c r="E49" i="28"/>
  <c r="E50" i="28"/>
  <c r="E51" i="28"/>
  <c r="E52" i="28"/>
  <c r="E53" i="28"/>
  <c r="E54" i="28"/>
  <c r="E55" i="28"/>
  <c r="E56" i="28"/>
  <c r="E57" i="28"/>
  <c r="E58" i="28"/>
  <c r="E59" i="28"/>
  <c r="C60" i="28"/>
  <c r="E60" i="28"/>
  <c r="E62" i="28"/>
  <c r="E63" i="28"/>
  <c r="E64" i="28"/>
  <c r="E65" i="28"/>
  <c r="E66" i="28"/>
  <c r="E67" i="28"/>
  <c r="C68" i="28"/>
  <c r="E68" i="28"/>
  <c r="E70" i="28"/>
  <c r="E71" i="28"/>
  <c r="E72" i="28"/>
  <c r="E73" i="28"/>
  <c r="E74" i="28"/>
  <c r="C75" i="28"/>
  <c r="E75" i="28"/>
  <c r="E77" i="28"/>
  <c r="E78" i="28"/>
  <c r="E79" i="28"/>
  <c r="E80" i="28"/>
  <c r="E81" i="28"/>
  <c r="E82" i="28"/>
  <c r="C83" i="28"/>
  <c r="E83" i="28"/>
  <c r="E84" i="28"/>
  <c r="C86" i="28"/>
  <c r="E86" i="28"/>
  <c r="E88" i="28"/>
  <c r="C89" i="28"/>
  <c r="E89" i="28"/>
  <c r="C24" i="30"/>
  <c r="C15" i="31"/>
  <c r="D15" i="31"/>
  <c r="E15" i="31"/>
  <c r="F15" i="31"/>
  <c r="G15" i="31"/>
  <c r="H15" i="31"/>
  <c r="I15" i="31"/>
  <c r="J15" i="31"/>
  <c r="K15" i="31"/>
  <c r="L15" i="31"/>
  <c r="M15" i="31"/>
  <c r="N15" i="31"/>
  <c r="O15" i="31"/>
  <c r="C16" i="31"/>
  <c r="D16" i="31"/>
  <c r="E16" i="31"/>
  <c r="F16" i="31"/>
  <c r="G16" i="31"/>
  <c r="H16" i="31"/>
  <c r="I16" i="31"/>
  <c r="J16" i="31"/>
  <c r="K16" i="31"/>
  <c r="L16" i="31"/>
  <c r="M16" i="31"/>
  <c r="N16" i="31"/>
  <c r="O16" i="31"/>
  <c r="C17" i="31"/>
  <c r="D17" i="31"/>
  <c r="E17" i="31"/>
  <c r="F17" i="31"/>
  <c r="G17" i="31"/>
  <c r="H17" i="31"/>
  <c r="I17" i="31"/>
  <c r="J17" i="31"/>
  <c r="K17" i="31"/>
  <c r="L17" i="31"/>
  <c r="M17" i="31"/>
  <c r="N17" i="31"/>
  <c r="O17" i="31"/>
  <c r="C18" i="31"/>
  <c r="D18" i="31"/>
  <c r="E18" i="31"/>
  <c r="F18" i="31"/>
  <c r="G18" i="31"/>
  <c r="H18" i="31"/>
  <c r="I18" i="31"/>
  <c r="J18" i="31"/>
  <c r="K18" i="31"/>
  <c r="L18" i="31"/>
  <c r="M18" i="31"/>
  <c r="N18" i="31"/>
  <c r="O18" i="31"/>
  <c r="C19" i="31"/>
  <c r="D19" i="31"/>
  <c r="E19" i="31"/>
  <c r="F19" i="31"/>
  <c r="G19" i="31"/>
  <c r="H19" i="31"/>
  <c r="I19" i="31"/>
  <c r="J19" i="31"/>
  <c r="K19" i="31"/>
  <c r="L19" i="31"/>
  <c r="M19" i="31"/>
  <c r="N19" i="31"/>
  <c r="O19" i="31"/>
  <c r="C20" i="31"/>
  <c r="D20" i="31"/>
  <c r="E20" i="31"/>
  <c r="F20" i="31"/>
  <c r="G20" i="31"/>
  <c r="H20" i="31"/>
  <c r="I20" i="31"/>
  <c r="J20" i="31"/>
  <c r="K20" i="31"/>
  <c r="L20" i="31"/>
  <c r="M20" i="31"/>
  <c r="N20" i="31"/>
  <c r="O20" i="31"/>
  <c r="C21" i="31"/>
  <c r="D21" i="31"/>
  <c r="E21" i="31"/>
  <c r="F21" i="31"/>
  <c r="G21" i="31"/>
  <c r="H21" i="31"/>
  <c r="I21" i="31"/>
  <c r="J21" i="31"/>
  <c r="K21" i="31"/>
  <c r="L21" i="31"/>
  <c r="M21" i="31"/>
  <c r="N21" i="31"/>
  <c r="O21" i="31"/>
  <c r="C22" i="31"/>
  <c r="D22" i="31"/>
  <c r="E22" i="31"/>
  <c r="F22" i="31"/>
  <c r="G22" i="31"/>
  <c r="H22" i="31"/>
  <c r="I22" i="31"/>
  <c r="J22" i="31"/>
  <c r="K22" i="31"/>
  <c r="L22" i="31"/>
  <c r="M22" i="31"/>
  <c r="N22" i="31"/>
  <c r="O22" i="31"/>
  <c r="C23" i="31"/>
  <c r="C24" i="31"/>
  <c r="D24" i="31"/>
  <c r="E24" i="31"/>
  <c r="F24" i="31"/>
  <c r="G24" i="31"/>
  <c r="H24" i="31"/>
  <c r="I24" i="31"/>
  <c r="J24" i="31"/>
  <c r="K24" i="31"/>
  <c r="L24" i="31"/>
  <c r="M24" i="31"/>
  <c r="N24" i="31"/>
  <c r="O24" i="31"/>
  <c r="P31" i="31"/>
  <c r="Q31" i="31"/>
  <c r="P32" i="31"/>
  <c r="Q32" i="31"/>
  <c r="P33" i="31"/>
  <c r="Q33" i="31"/>
  <c r="P34" i="31"/>
  <c r="Q34" i="31"/>
  <c r="P35" i="31"/>
  <c r="Q35" i="31"/>
  <c r="P36" i="31"/>
  <c r="Q36" i="31"/>
  <c r="P37" i="31"/>
  <c r="Q37" i="31"/>
  <c r="P38" i="31"/>
  <c r="Q38" i="31"/>
  <c r="P39" i="31"/>
  <c r="Q39" i="31"/>
  <c r="P40" i="31"/>
  <c r="Q40" i="31"/>
  <c r="P42" i="31"/>
  <c r="E16" i="32"/>
  <c r="E25" i="32"/>
  <c r="Q31" i="32"/>
  <c r="B20" i="15"/>
  <c r="F20" i="15"/>
  <c r="B21" i="15"/>
  <c r="F21" i="15"/>
  <c r="B22" i="15"/>
  <c r="D22" i="15"/>
  <c r="F22" i="15"/>
  <c r="H22" i="15"/>
  <c r="B23" i="15"/>
  <c r="D23" i="15"/>
  <c r="F23" i="15"/>
  <c r="H23" i="15"/>
  <c r="B24" i="15"/>
  <c r="D24" i="15"/>
  <c r="F24" i="15"/>
  <c r="H24" i="15"/>
  <c r="B25" i="15"/>
  <c r="F25" i="15"/>
  <c r="H25" i="15"/>
  <c r="B26" i="15"/>
  <c r="D26" i="15"/>
  <c r="F26" i="15"/>
  <c r="H26" i="15"/>
  <c r="B27" i="15"/>
  <c r="D27" i="15"/>
  <c r="F27" i="15"/>
  <c r="H27" i="15"/>
  <c r="B28" i="15"/>
  <c r="D28" i="15"/>
  <c r="F28" i="15"/>
  <c r="H28" i="15"/>
  <c r="B29" i="15"/>
  <c r="F29" i="15"/>
  <c r="H29" i="15"/>
  <c r="B30" i="15"/>
  <c r="D30" i="15"/>
  <c r="F30" i="15"/>
  <c r="H30" i="15"/>
  <c r="B31" i="15"/>
  <c r="D31" i="15"/>
  <c r="F31" i="15"/>
  <c r="H31" i="15"/>
  <c r="B32" i="15"/>
  <c r="D32" i="15"/>
  <c r="F32" i="15"/>
  <c r="H32" i="15"/>
  <c r="B33" i="15"/>
  <c r="D33" i="15"/>
  <c r="F33" i="15"/>
  <c r="H33" i="15"/>
  <c r="B34" i="15"/>
  <c r="F34" i="15"/>
  <c r="G34" i="15"/>
  <c r="B37" i="15"/>
  <c r="F37" i="15"/>
  <c r="H37" i="15"/>
  <c r="B38" i="15"/>
  <c r="F38" i="15"/>
  <c r="B39" i="15"/>
  <c r="F39" i="15"/>
  <c r="B40" i="15"/>
  <c r="F40" i="15"/>
  <c r="H40" i="15"/>
  <c r="B41" i="15"/>
  <c r="F41" i="15"/>
  <c r="H41" i="15"/>
  <c r="B42" i="15"/>
  <c r="F42" i="15"/>
  <c r="B44" i="15"/>
  <c r="C44" i="15"/>
  <c r="D44" i="15"/>
  <c r="F44" i="15"/>
  <c r="H44" i="15"/>
  <c r="C11" i="16"/>
  <c r="D11" i="16"/>
  <c r="N11" i="16"/>
  <c r="W11" i="16"/>
  <c r="X11" i="16"/>
  <c r="Z11" i="16"/>
  <c r="AA11" i="16"/>
  <c r="AB11" i="16"/>
  <c r="C12" i="16"/>
  <c r="D12" i="16"/>
  <c r="N12" i="16"/>
  <c r="W12" i="16"/>
  <c r="X12" i="16"/>
  <c r="Z12" i="16"/>
  <c r="AA12" i="16"/>
  <c r="AB12" i="16"/>
  <c r="C13" i="16"/>
  <c r="D13" i="16"/>
  <c r="N13" i="16"/>
  <c r="W13" i="16"/>
  <c r="X13" i="16"/>
  <c r="Z13" i="16"/>
  <c r="AA13" i="16"/>
  <c r="AB13" i="16"/>
  <c r="C14" i="16"/>
  <c r="D14" i="16"/>
  <c r="N14" i="16"/>
  <c r="W14" i="16"/>
  <c r="X14" i="16"/>
  <c r="Z14" i="16"/>
  <c r="AA14" i="16"/>
  <c r="AB14" i="16"/>
  <c r="C15" i="16"/>
  <c r="W15" i="16"/>
  <c r="X15" i="16"/>
  <c r="Z15" i="16"/>
  <c r="AA15" i="16"/>
  <c r="AB15" i="16"/>
  <c r="C16" i="16"/>
  <c r="W16" i="16"/>
  <c r="X16" i="16"/>
  <c r="Z16" i="16"/>
  <c r="AA16" i="16"/>
  <c r="AB16" i="16"/>
  <c r="C17" i="16"/>
  <c r="D17" i="16"/>
  <c r="N17" i="16"/>
  <c r="W17" i="16"/>
  <c r="X17" i="16"/>
  <c r="Z17" i="16"/>
  <c r="AA17" i="16"/>
  <c r="AB17" i="16"/>
  <c r="C18" i="16"/>
  <c r="W18" i="16"/>
  <c r="X18" i="16"/>
  <c r="Z18" i="16"/>
  <c r="AA18" i="16"/>
  <c r="AB18" i="16"/>
  <c r="C19" i="16"/>
  <c r="W19" i="16"/>
  <c r="X19" i="16"/>
  <c r="Z19" i="16"/>
  <c r="AA19" i="16"/>
  <c r="AB19" i="16"/>
  <c r="C20" i="16"/>
  <c r="D20" i="16"/>
  <c r="E20" i="16"/>
  <c r="F20" i="16"/>
  <c r="G20" i="16"/>
  <c r="H20" i="16"/>
  <c r="I20" i="16"/>
  <c r="J20" i="16"/>
  <c r="K20" i="16"/>
  <c r="L20" i="16"/>
  <c r="M20" i="16"/>
  <c r="N20" i="16"/>
  <c r="O20" i="16"/>
  <c r="P20" i="16"/>
  <c r="Q20" i="16"/>
  <c r="R20" i="16"/>
  <c r="S20" i="16"/>
  <c r="T20" i="16"/>
  <c r="U20" i="16"/>
  <c r="V20" i="16"/>
  <c r="W20" i="16"/>
  <c r="X20" i="16"/>
  <c r="Z20" i="16"/>
  <c r="AA20" i="16"/>
  <c r="AB20" i="16"/>
  <c r="C21" i="16"/>
  <c r="D21" i="16"/>
  <c r="N21" i="16"/>
  <c r="W21" i="16"/>
  <c r="X21" i="16"/>
  <c r="Z21" i="16"/>
  <c r="AA21" i="16"/>
  <c r="AB21" i="16"/>
  <c r="C22" i="16"/>
  <c r="D22" i="16"/>
  <c r="N22" i="16"/>
  <c r="W22" i="16"/>
  <c r="X22" i="16"/>
  <c r="Z22" i="16"/>
  <c r="AA22" i="16"/>
  <c r="AB22" i="16"/>
  <c r="C23" i="16"/>
  <c r="D23" i="16"/>
  <c r="N23" i="16"/>
  <c r="W23" i="16"/>
  <c r="X23" i="16"/>
  <c r="Z23" i="16"/>
  <c r="AA23" i="16"/>
  <c r="AB23" i="16"/>
  <c r="C24" i="16"/>
  <c r="W24" i="16"/>
  <c r="X24" i="16"/>
  <c r="Z24" i="16"/>
  <c r="AA24" i="16"/>
  <c r="AB24" i="16"/>
  <c r="C25" i="16"/>
  <c r="W25" i="16"/>
  <c r="X25" i="16"/>
  <c r="Z25" i="16"/>
  <c r="AA25" i="16"/>
  <c r="AB25" i="16"/>
  <c r="C26" i="16"/>
  <c r="W26" i="16"/>
  <c r="X26" i="16"/>
  <c r="Z26" i="16"/>
  <c r="AA26" i="16"/>
  <c r="AB26" i="16"/>
  <c r="C27" i="16"/>
  <c r="W27" i="16"/>
  <c r="X27" i="16"/>
  <c r="Z27" i="16"/>
  <c r="AA27" i="16"/>
  <c r="AB27" i="16"/>
  <c r="C28" i="16"/>
  <c r="D28" i="16"/>
  <c r="N28" i="16"/>
  <c r="W28" i="16"/>
  <c r="X28" i="16"/>
  <c r="Z28" i="16"/>
  <c r="AA28" i="16"/>
  <c r="AB28" i="16"/>
  <c r="C29" i="16"/>
  <c r="D29" i="16"/>
  <c r="N29" i="16"/>
  <c r="W29" i="16"/>
  <c r="X29" i="16"/>
  <c r="Z29" i="16"/>
  <c r="AA29" i="16"/>
  <c r="AB29" i="16"/>
  <c r="C30" i="16"/>
  <c r="W30" i="16"/>
  <c r="X30" i="16"/>
  <c r="Z30" i="16"/>
  <c r="AA30" i="16"/>
  <c r="AB30" i="16"/>
  <c r="C31" i="16"/>
  <c r="D31" i="16"/>
  <c r="E31" i="16"/>
  <c r="F31" i="16"/>
  <c r="G31" i="16"/>
  <c r="H31" i="16"/>
  <c r="I31" i="16"/>
  <c r="J31" i="16"/>
  <c r="K31" i="16"/>
  <c r="L31" i="16"/>
  <c r="M31" i="16"/>
  <c r="N31" i="16"/>
  <c r="O31" i="16"/>
  <c r="P31" i="16"/>
  <c r="Q31" i="16"/>
  <c r="R31" i="16"/>
  <c r="S31" i="16"/>
  <c r="T31" i="16"/>
  <c r="U31" i="16"/>
  <c r="V31" i="16"/>
  <c r="W31" i="16"/>
  <c r="X31" i="16"/>
  <c r="Z31" i="16"/>
  <c r="AA31" i="16"/>
  <c r="AB31" i="16"/>
  <c r="C32" i="16"/>
  <c r="D32" i="16"/>
  <c r="N32" i="16"/>
  <c r="W32" i="16"/>
  <c r="X32" i="16"/>
  <c r="Z32" i="16"/>
  <c r="AA32" i="16"/>
  <c r="AB32" i="16"/>
  <c r="C33" i="16"/>
  <c r="D33" i="16"/>
  <c r="N33" i="16"/>
  <c r="W33" i="16"/>
  <c r="X33" i="16"/>
  <c r="Z33" i="16"/>
  <c r="AA33" i="16"/>
  <c r="AB33" i="16"/>
  <c r="C34" i="16"/>
  <c r="D34" i="16"/>
  <c r="E34" i="16"/>
  <c r="F34" i="16"/>
  <c r="G34" i="16"/>
  <c r="H34" i="16"/>
  <c r="I34" i="16"/>
  <c r="J34" i="16"/>
  <c r="K34" i="16"/>
  <c r="L34" i="16"/>
  <c r="M34" i="16"/>
  <c r="N34" i="16"/>
  <c r="O34" i="16"/>
  <c r="P34" i="16"/>
  <c r="Q34" i="16"/>
  <c r="R34" i="16"/>
  <c r="S34" i="16"/>
  <c r="T34" i="16"/>
  <c r="U34" i="16"/>
  <c r="V34" i="16"/>
  <c r="W34" i="16"/>
  <c r="X34" i="16"/>
  <c r="Z34" i="16"/>
  <c r="AA34" i="16"/>
  <c r="AB34" i="16"/>
  <c r="C35" i="16"/>
  <c r="W35" i="16"/>
  <c r="X35" i="16"/>
  <c r="Z35" i="16"/>
  <c r="AA35" i="16"/>
  <c r="AB35" i="16"/>
  <c r="C36" i="16"/>
  <c r="W36" i="16"/>
  <c r="X36" i="16"/>
  <c r="Z36" i="16"/>
  <c r="AA36" i="16"/>
  <c r="AB36" i="16"/>
  <c r="C37" i="16"/>
  <c r="W37" i="16"/>
  <c r="X37" i="16"/>
  <c r="Z37" i="16"/>
  <c r="AA37" i="16"/>
  <c r="AB37" i="16"/>
  <c r="C38" i="16"/>
  <c r="W38" i="16"/>
  <c r="X38" i="16"/>
  <c r="Z38" i="16"/>
  <c r="AA38" i="16"/>
  <c r="AB38" i="16"/>
  <c r="C39" i="16"/>
  <c r="W39" i="16"/>
  <c r="X39" i="16"/>
  <c r="Z39" i="16"/>
  <c r="AA39" i="16"/>
  <c r="AB39" i="16"/>
  <c r="C40" i="16"/>
  <c r="W40" i="16"/>
  <c r="X40" i="16"/>
  <c r="Z40" i="16"/>
  <c r="AA40" i="16"/>
  <c r="AB40" i="16"/>
  <c r="C41" i="16"/>
  <c r="W41" i="16"/>
  <c r="X41" i="16"/>
  <c r="Z41" i="16"/>
  <c r="AA41" i="16"/>
  <c r="AB41" i="16"/>
  <c r="C42" i="16"/>
  <c r="W42" i="16"/>
  <c r="X42" i="16"/>
  <c r="Z42" i="16"/>
  <c r="AA42" i="16"/>
  <c r="AB42" i="16"/>
  <c r="C43" i="16"/>
  <c r="W43" i="16"/>
  <c r="X43" i="16"/>
  <c r="Z43" i="16"/>
  <c r="AA43" i="16"/>
  <c r="AB43" i="16"/>
  <c r="D44" i="16"/>
  <c r="E44" i="16"/>
  <c r="F44" i="16"/>
  <c r="G44" i="16"/>
  <c r="H44" i="16"/>
  <c r="I44" i="16"/>
  <c r="J44" i="16"/>
  <c r="K44" i="16"/>
  <c r="L44" i="16"/>
  <c r="M44" i="16"/>
  <c r="N44" i="16"/>
  <c r="O44" i="16"/>
  <c r="P44" i="16"/>
  <c r="Q44" i="16"/>
  <c r="R44" i="16"/>
  <c r="S44" i="16"/>
  <c r="T44" i="16"/>
  <c r="U44" i="16"/>
  <c r="V44" i="16"/>
  <c r="W44" i="16"/>
  <c r="X44" i="16"/>
  <c r="Z44" i="16"/>
  <c r="AA44" i="16"/>
  <c r="AB44" i="16"/>
  <c r="C45" i="16"/>
  <c r="W45" i="16"/>
  <c r="X45" i="16"/>
  <c r="Z45" i="16"/>
  <c r="AA45" i="16"/>
  <c r="AB45" i="16"/>
  <c r="C46" i="16"/>
  <c r="W46" i="16"/>
  <c r="X46" i="16"/>
  <c r="Z46" i="16"/>
  <c r="AA46" i="16"/>
  <c r="AB46" i="16"/>
  <c r="C47" i="16"/>
  <c r="W47" i="16"/>
  <c r="X47" i="16"/>
  <c r="Z47" i="16"/>
  <c r="AA47" i="16"/>
  <c r="AB47" i="16"/>
  <c r="C48" i="16"/>
  <c r="W48" i="16"/>
  <c r="X48" i="16"/>
  <c r="Z48" i="16"/>
  <c r="AA48" i="16"/>
  <c r="AB48" i="16"/>
  <c r="C49" i="16"/>
  <c r="W49" i="16"/>
  <c r="X49" i="16"/>
  <c r="Z49" i="16"/>
  <c r="AA49" i="16"/>
  <c r="AB49" i="16"/>
  <c r="D50" i="16"/>
  <c r="E50" i="16"/>
  <c r="F50" i="16"/>
  <c r="G50" i="16"/>
  <c r="H50" i="16"/>
  <c r="I50" i="16"/>
  <c r="J50" i="16"/>
  <c r="K50" i="16"/>
  <c r="L50" i="16"/>
  <c r="M50" i="16"/>
  <c r="N50" i="16"/>
  <c r="O50" i="16"/>
  <c r="P50" i="16"/>
  <c r="Q50" i="16"/>
  <c r="R50" i="16"/>
  <c r="S50" i="16"/>
  <c r="T50" i="16"/>
  <c r="U50" i="16"/>
  <c r="V50" i="16"/>
  <c r="W50" i="16"/>
  <c r="X50" i="16"/>
  <c r="Z50" i="16"/>
  <c r="AA50" i="16"/>
  <c r="AB50" i="16"/>
  <c r="C51" i="16"/>
  <c r="W51" i="16"/>
  <c r="X51" i="16"/>
  <c r="Z51" i="16"/>
  <c r="AA51" i="16"/>
  <c r="AB51" i="16"/>
  <c r="C52" i="16"/>
  <c r="W52" i="16"/>
  <c r="X52" i="16"/>
  <c r="Z52" i="16"/>
  <c r="AA52" i="16"/>
  <c r="AB52" i="16"/>
  <c r="C53" i="16"/>
  <c r="W53" i="16"/>
  <c r="X53" i="16"/>
  <c r="Z53" i="16"/>
  <c r="AA53" i="16"/>
  <c r="AB53" i="16"/>
  <c r="C54" i="16"/>
  <c r="W54" i="16"/>
  <c r="X54" i="16"/>
  <c r="Z54" i="16"/>
  <c r="AA54" i="16"/>
  <c r="AB54" i="16"/>
  <c r="C55" i="16"/>
  <c r="W55" i="16"/>
  <c r="X55" i="16"/>
  <c r="Z55" i="16"/>
  <c r="AA55" i="16"/>
  <c r="AB55" i="16"/>
  <c r="C56" i="16"/>
  <c r="W56" i="16"/>
  <c r="X56" i="16"/>
  <c r="Z56" i="16"/>
  <c r="AA56" i="16"/>
  <c r="AB56" i="16"/>
  <c r="D57" i="16"/>
  <c r="E57" i="16"/>
  <c r="F57" i="16"/>
  <c r="G57" i="16"/>
  <c r="H57" i="16"/>
  <c r="I57" i="16"/>
  <c r="J57" i="16"/>
  <c r="K57" i="16"/>
  <c r="L57" i="16"/>
  <c r="M57" i="16"/>
  <c r="N57" i="16"/>
  <c r="O57" i="16"/>
  <c r="P57" i="16"/>
  <c r="Q57" i="16"/>
  <c r="R57" i="16"/>
  <c r="S57" i="16"/>
  <c r="T57" i="16"/>
  <c r="U57" i="16"/>
  <c r="V57" i="16"/>
  <c r="W57" i="16"/>
  <c r="X57" i="16"/>
  <c r="Z57" i="16"/>
  <c r="AA57" i="16"/>
  <c r="AB57" i="16"/>
  <c r="C58" i="16"/>
  <c r="W58" i="16"/>
  <c r="X58" i="16"/>
  <c r="Z58" i="16"/>
  <c r="AA58" i="16"/>
  <c r="AB58" i="16"/>
  <c r="C59" i="16"/>
  <c r="W59" i="16"/>
  <c r="X59" i="16"/>
  <c r="Z59" i="16"/>
  <c r="AA59" i="16"/>
  <c r="AB59" i="16"/>
  <c r="C60" i="16"/>
  <c r="W60" i="16"/>
  <c r="X60" i="16"/>
  <c r="Z60" i="16"/>
  <c r="AA60" i="16"/>
  <c r="AB60" i="16"/>
  <c r="C61" i="16"/>
  <c r="W61" i="16"/>
  <c r="X61" i="16"/>
  <c r="Z61" i="16"/>
  <c r="AA61" i="16"/>
  <c r="AB61" i="16"/>
  <c r="C62" i="16"/>
  <c r="D62" i="16"/>
  <c r="E62" i="16"/>
  <c r="F62" i="16"/>
  <c r="G62" i="16"/>
  <c r="H62" i="16"/>
  <c r="I62" i="16"/>
  <c r="J62" i="16"/>
  <c r="K62" i="16"/>
  <c r="L62" i="16"/>
  <c r="M62" i="16"/>
  <c r="N62" i="16"/>
  <c r="O62" i="16"/>
  <c r="P62" i="16"/>
  <c r="Q62" i="16"/>
  <c r="R62" i="16"/>
  <c r="S62" i="16"/>
  <c r="T62" i="16"/>
  <c r="U62" i="16"/>
  <c r="V62" i="16"/>
  <c r="W62" i="16"/>
  <c r="X62" i="16"/>
  <c r="Z62" i="16"/>
  <c r="AA62" i="16"/>
  <c r="AB62" i="16"/>
  <c r="C63" i="16"/>
  <c r="W63" i="16"/>
  <c r="X63" i="16"/>
  <c r="Z63" i="16"/>
  <c r="AA63" i="16"/>
  <c r="AB63" i="16"/>
  <c r="C64" i="16"/>
  <c r="D64" i="16"/>
  <c r="N64" i="16"/>
  <c r="W64" i="16"/>
  <c r="X64" i="16"/>
  <c r="Z64" i="16"/>
  <c r="AA64" i="16"/>
  <c r="AB64" i="16"/>
  <c r="C65" i="16"/>
  <c r="W65" i="16"/>
  <c r="X65" i="16"/>
  <c r="Z65" i="16"/>
  <c r="AA65" i="16"/>
  <c r="AB65" i="16"/>
  <c r="C66" i="16"/>
  <c r="W66" i="16"/>
  <c r="X66" i="16"/>
  <c r="Z66" i="16"/>
  <c r="AA66" i="16"/>
  <c r="AB66" i="16"/>
  <c r="C67" i="16"/>
  <c r="W67" i="16"/>
  <c r="X67" i="16"/>
  <c r="Z67" i="16"/>
  <c r="AA67" i="16"/>
  <c r="AB67" i="16"/>
  <c r="C68" i="16"/>
  <c r="W68" i="16"/>
  <c r="X68" i="16"/>
  <c r="Z68" i="16"/>
  <c r="AA68" i="16"/>
  <c r="AB68" i="16"/>
  <c r="C69" i="16"/>
  <c r="W69" i="16"/>
  <c r="X69" i="16"/>
  <c r="Z69" i="16"/>
  <c r="AA69" i="16"/>
  <c r="AB69" i="16"/>
  <c r="C70" i="16"/>
  <c r="D70" i="16"/>
  <c r="E70" i="16"/>
  <c r="F70" i="16"/>
  <c r="G70" i="16"/>
  <c r="H70" i="16"/>
  <c r="I70" i="16"/>
  <c r="J70" i="16"/>
  <c r="K70" i="16"/>
  <c r="L70" i="16"/>
  <c r="M70" i="16"/>
  <c r="N70" i="16"/>
  <c r="O70" i="16"/>
  <c r="P70" i="16"/>
  <c r="Q70" i="16"/>
  <c r="R70" i="16"/>
  <c r="S70" i="16"/>
  <c r="T70" i="16"/>
  <c r="U70" i="16"/>
  <c r="V70" i="16"/>
  <c r="W70" i="16"/>
  <c r="X70" i="16"/>
  <c r="Z70" i="16"/>
  <c r="AA70" i="16"/>
  <c r="AB70" i="16"/>
  <c r="C71" i="16"/>
  <c r="W71" i="16"/>
  <c r="X71" i="16"/>
  <c r="Z71" i="16"/>
  <c r="AA71" i="16"/>
  <c r="AB71" i="16"/>
  <c r="C72" i="16"/>
  <c r="W72" i="16"/>
  <c r="X72" i="16"/>
  <c r="Z72" i="16"/>
  <c r="AA72" i="16"/>
  <c r="AB72" i="16"/>
  <c r="C73" i="16"/>
  <c r="W73" i="16"/>
  <c r="X73" i="16"/>
  <c r="Z73" i="16"/>
  <c r="AA73" i="16"/>
  <c r="AB73" i="16"/>
  <c r="C74" i="16"/>
  <c r="D74" i="16"/>
  <c r="W74" i="16"/>
  <c r="X74" i="16"/>
  <c r="Z74" i="16"/>
  <c r="AA74" i="16"/>
  <c r="AB74" i="16"/>
  <c r="C75" i="16"/>
  <c r="W75" i="16"/>
  <c r="X75" i="16"/>
  <c r="Z75" i="16"/>
  <c r="AA75" i="16"/>
  <c r="AB75" i="16"/>
  <c r="C76" i="16"/>
  <c r="W76" i="16"/>
  <c r="X76" i="16"/>
  <c r="Z76" i="16"/>
  <c r="AA76" i="16"/>
  <c r="AB76" i="16"/>
  <c r="C77" i="16"/>
  <c r="W77" i="16"/>
  <c r="X77" i="16"/>
  <c r="Z77" i="16"/>
  <c r="AA77" i="16"/>
  <c r="AB77" i="16"/>
  <c r="C78" i="16"/>
  <c r="W78" i="16"/>
  <c r="X78" i="16"/>
  <c r="Z78" i="16"/>
  <c r="AA78" i="16"/>
  <c r="AB78" i="16"/>
  <c r="C79" i="16"/>
  <c r="W79" i="16"/>
  <c r="X79" i="16"/>
  <c r="Z79" i="16"/>
  <c r="AA79" i="16"/>
  <c r="AB79" i="16"/>
  <c r="C80" i="16"/>
  <c r="W80" i="16"/>
  <c r="X80" i="16"/>
  <c r="Z80" i="16"/>
  <c r="AA80" i="16"/>
  <c r="AB80" i="16"/>
  <c r="C81" i="16"/>
  <c r="D81" i="16"/>
  <c r="E81" i="16"/>
  <c r="F81" i="16"/>
  <c r="G81" i="16"/>
  <c r="H81" i="16"/>
  <c r="I81" i="16"/>
  <c r="J81" i="16"/>
  <c r="K81" i="16"/>
  <c r="L81" i="16"/>
  <c r="M81" i="16"/>
  <c r="N81" i="16"/>
  <c r="O81" i="16"/>
  <c r="P81" i="16"/>
  <c r="Q81" i="16"/>
  <c r="R81" i="16"/>
  <c r="S81" i="16"/>
  <c r="T81" i="16"/>
  <c r="U81" i="16"/>
  <c r="V81" i="16"/>
  <c r="W81" i="16"/>
  <c r="X81" i="16"/>
  <c r="Z81" i="16"/>
  <c r="AA81" i="16"/>
  <c r="AB81" i="16"/>
  <c r="C82" i="16"/>
  <c r="D82" i="16"/>
  <c r="E82" i="16"/>
  <c r="F82" i="16"/>
  <c r="G82" i="16"/>
  <c r="H82" i="16"/>
  <c r="I82" i="16"/>
  <c r="J82" i="16"/>
  <c r="K82" i="16"/>
  <c r="L82" i="16"/>
  <c r="M82" i="16"/>
  <c r="N82" i="16"/>
  <c r="O82" i="16"/>
  <c r="P82" i="16"/>
  <c r="Q82" i="16"/>
  <c r="R82" i="16"/>
  <c r="S82" i="16"/>
  <c r="T82" i="16"/>
  <c r="U82" i="16"/>
  <c r="V82" i="16"/>
  <c r="W82" i="16"/>
  <c r="X82" i="16"/>
  <c r="Z82" i="16"/>
  <c r="AA82" i="16"/>
  <c r="AB82" i="16"/>
  <c r="K9" i="6"/>
  <c r="M9" i="6"/>
  <c r="N9" i="6"/>
  <c r="P9" i="6"/>
  <c r="R9" i="6"/>
  <c r="K10" i="6"/>
  <c r="M10" i="6"/>
  <c r="K11" i="6"/>
  <c r="M11" i="6"/>
  <c r="N11" i="6"/>
  <c r="P11" i="6"/>
  <c r="R11" i="6"/>
  <c r="K12" i="6"/>
  <c r="M12" i="6"/>
  <c r="K13" i="6"/>
  <c r="M13" i="6"/>
  <c r="N13" i="6"/>
  <c r="P13" i="6"/>
  <c r="R13" i="6"/>
  <c r="K14" i="6"/>
  <c r="M14" i="6"/>
  <c r="N14" i="6"/>
  <c r="P14" i="6"/>
  <c r="R14" i="6"/>
  <c r="K15" i="6"/>
  <c r="M15" i="6"/>
  <c r="N15" i="6"/>
  <c r="P15" i="6"/>
  <c r="R15" i="6"/>
  <c r="K16" i="6"/>
  <c r="M16" i="6"/>
  <c r="N16" i="6"/>
  <c r="P16" i="6"/>
  <c r="R16" i="6"/>
  <c r="K17" i="6"/>
  <c r="M17" i="6"/>
  <c r="N17" i="6"/>
  <c r="K18" i="6"/>
  <c r="M18" i="6"/>
  <c r="N18" i="6"/>
  <c r="K19" i="6"/>
  <c r="M19" i="6"/>
  <c r="N19" i="6"/>
  <c r="K20" i="6"/>
  <c r="M20" i="6"/>
  <c r="N20" i="6"/>
  <c r="K21" i="6"/>
  <c r="M21" i="6"/>
  <c r="N21" i="6"/>
  <c r="K22" i="6"/>
  <c r="M22" i="6"/>
  <c r="N22" i="6"/>
  <c r="P22" i="6"/>
  <c r="R22" i="6"/>
  <c r="K23" i="6"/>
  <c r="M23" i="6"/>
  <c r="N23" i="6"/>
  <c r="K24" i="6"/>
  <c r="M24" i="6"/>
  <c r="N24" i="6"/>
  <c r="P24" i="6"/>
  <c r="R24" i="6"/>
  <c r="K25" i="6"/>
  <c r="M25" i="6"/>
  <c r="N25" i="6"/>
  <c r="K26" i="6"/>
  <c r="M26" i="6"/>
  <c r="N26" i="6"/>
  <c r="P26" i="6"/>
  <c r="R26" i="6"/>
  <c r="K27" i="6"/>
  <c r="M27" i="6"/>
  <c r="N27" i="6"/>
  <c r="P27" i="6"/>
  <c r="R27" i="6"/>
  <c r="K28" i="6"/>
  <c r="M28" i="6"/>
  <c r="K29" i="6"/>
  <c r="M29" i="6"/>
  <c r="N29" i="6"/>
  <c r="E30" i="6"/>
  <c r="K30" i="6"/>
  <c r="M30" i="6"/>
  <c r="N30" i="6"/>
  <c r="M31" i="6"/>
  <c r="N31" i="6"/>
  <c r="P31" i="6"/>
  <c r="R31" i="6"/>
  <c r="S31" i="6"/>
  <c r="T31" i="6"/>
  <c r="U31" i="6"/>
  <c r="M32" i="6"/>
  <c r="N32" i="6"/>
  <c r="P32" i="6"/>
  <c r="R32" i="6"/>
  <c r="N34" i="6"/>
  <c r="P34" i="6"/>
  <c r="R34" i="6"/>
  <c r="S34" i="6"/>
  <c r="T34" i="6"/>
  <c r="U34" i="6"/>
  <c r="N35" i="6"/>
  <c r="P35" i="6"/>
  <c r="R35" i="6"/>
  <c r="S35" i="6"/>
  <c r="T35" i="6"/>
  <c r="U35" i="6"/>
  <c r="P36" i="6"/>
  <c r="R36" i="6"/>
  <c r="S36" i="6"/>
  <c r="T36" i="6"/>
  <c r="U36" i="6"/>
  <c r="P37" i="6"/>
  <c r="R37" i="6"/>
  <c r="S37" i="6"/>
  <c r="T37" i="6"/>
  <c r="U37" i="6"/>
  <c r="R41" i="6"/>
  <c r="S41" i="6"/>
  <c r="T41" i="6"/>
  <c r="F43" i="6"/>
  <c r="M43" i="6"/>
  <c r="N43" i="6"/>
  <c r="P43" i="6"/>
  <c r="R43" i="6"/>
  <c r="F45" i="6"/>
  <c r="R45" i="6"/>
  <c r="T45" i="6"/>
  <c r="U45" i="6"/>
  <c r="E46" i="6"/>
  <c r="F46" i="6"/>
  <c r="R46" i="6"/>
  <c r="T46" i="6"/>
  <c r="U46" i="6"/>
  <c r="F47" i="6"/>
  <c r="AA47" i="6"/>
  <c r="AC47" i="6"/>
  <c r="E48" i="6"/>
  <c r="F48" i="6"/>
  <c r="M48" i="6"/>
  <c r="N48" i="6"/>
  <c r="P48" i="6"/>
  <c r="R48" i="6"/>
  <c r="AC48" i="6"/>
  <c r="AA49" i="6"/>
  <c r="AC49" i="6"/>
  <c r="AC50" i="6"/>
  <c r="F51" i="6"/>
  <c r="AC51" i="6"/>
  <c r="AC52" i="6"/>
  <c r="F53" i="6"/>
  <c r="AC53" i="6"/>
  <c r="F54" i="6"/>
  <c r="R54" i="6"/>
  <c r="AC54" i="6"/>
  <c r="AC55" i="6"/>
  <c r="AC56" i="6"/>
  <c r="AC57" i="6"/>
  <c r="AC58" i="6"/>
  <c r="F59" i="6"/>
  <c r="AC59" i="6"/>
  <c r="E60" i="6"/>
  <c r="F60" i="6"/>
  <c r="M60" i="6"/>
  <c r="N60" i="6"/>
  <c r="R60" i="6"/>
  <c r="AA60" i="6"/>
  <c r="AC60" i="6"/>
  <c r="AC61" i="6"/>
  <c r="E67" i="6"/>
  <c r="F67" i="6"/>
  <c r="R67" i="6"/>
  <c r="E68" i="6"/>
  <c r="F68" i="6"/>
  <c r="M68" i="6"/>
  <c r="N68" i="6"/>
  <c r="R68" i="6"/>
  <c r="E72" i="6"/>
  <c r="F72" i="6"/>
  <c r="R72" i="6"/>
  <c r="F73" i="6"/>
  <c r="M73" i="6"/>
  <c r="N73" i="6"/>
  <c r="P73" i="6"/>
  <c r="R73" i="6"/>
  <c r="F76" i="6"/>
  <c r="R76" i="6"/>
  <c r="F77" i="6"/>
  <c r="M77" i="6"/>
  <c r="N77" i="6"/>
  <c r="E79" i="6"/>
  <c r="F79" i="6"/>
  <c r="F80" i="6"/>
  <c r="R80" i="6"/>
  <c r="F83" i="6"/>
  <c r="R83" i="6"/>
  <c r="F84" i="6"/>
  <c r="F85" i="6"/>
  <c r="E86" i="6"/>
  <c r="F86" i="6"/>
  <c r="E87" i="6"/>
  <c r="M87" i="6"/>
  <c r="N87" i="6"/>
  <c r="P87" i="6"/>
  <c r="R87" i="6"/>
  <c r="F90" i="6"/>
  <c r="F91" i="6"/>
  <c r="M91" i="6"/>
  <c r="N91" i="6"/>
  <c r="P91" i="6"/>
  <c r="R91" i="6"/>
  <c r="E95" i="6"/>
  <c r="F95" i="6"/>
  <c r="M95" i="6"/>
  <c r="N95" i="6"/>
  <c r="P95" i="6"/>
  <c r="R95" i="6"/>
  <c r="T95" i="6"/>
  <c r="U95" i="6"/>
  <c r="P99" i="6"/>
  <c r="R99" i="6"/>
  <c r="P100" i="6"/>
  <c r="R100" i="6"/>
  <c r="P101" i="6"/>
  <c r="R101" i="6"/>
  <c r="P102" i="6"/>
  <c r="R102" i="6"/>
  <c r="C9" i="25"/>
  <c r="C11" i="25"/>
  <c r="C12" i="25"/>
  <c r="C13" i="25"/>
  <c r="C14" i="25"/>
  <c r="C15" i="25"/>
  <c r="C16" i="25"/>
  <c r="C17" i="25"/>
  <c r="C18" i="25"/>
  <c r="C19" i="25"/>
  <c r="C21" i="25"/>
  <c r="C23" i="25"/>
  <c r="C25" i="25"/>
  <c r="C26" i="25"/>
  <c r="C27" i="25"/>
  <c r="C28" i="25"/>
  <c r="C29" i="25"/>
  <c r="C30" i="25"/>
  <c r="C31" i="25"/>
  <c r="C32" i="25"/>
  <c r="C33" i="25"/>
  <c r="C35" i="25"/>
  <c r="C39" i="25"/>
  <c r="C40" i="25"/>
  <c r="C41" i="25"/>
  <c r="C42" i="25"/>
  <c r="C43" i="25"/>
  <c r="C44" i="25"/>
  <c r="C45" i="25"/>
  <c r="C46" i="25"/>
  <c r="C47" i="25"/>
  <c r="C49" i="25"/>
  <c r="C51" i="25"/>
  <c r="Y11" i="7"/>
  <c r="Z11" i="7"/>
  <c r="AA11" i="7"/>
  <c r="AC11" i="7"/>
  <c r="Y12" i="7"/>
  <c r="Z12" i="7"/>
  <c r="AA12" i="7"/>
  <c r="AC12" i="7"/>
  <c r="Y13" i="7"/>
  <c r="Z13" i="7"/>
  <c r="AA13" i="7"/>
  <c r="AC13" i="7"/>
  <c r="Z14" i="7"/>
  <c r="AA14" i="7"/>
  <c r="AC14" i="7"/>
  <c r="Y15" i="7"/>
  <c r="Z15" i="7"/>
  <c r="AA15" i="7"/>
  <c r="AC15" i="7"/>
  <c r="Y16" i="7"/>
  <c r="Z16" i="7"/>
  <c r="AA16" i="7"/>
  <c r="AC16" i="7"/>
  <c r="Y17" i="7"/>
  <c r="Z17" i="7"/>
  <c r="AA17" i="7"/>
  <c r="AC17" i="7"/>
  <c r="Y18" i="7"/>
  <c r="Z18" i="7"/>
  <c r="AA18" i="7"/>
  <c r="AC18" i="7"/>
  <c r="Y19" i="7"/>
  <c r="Z19" i="7"/>
  <c r="AA19" i="7"/>
  <c r="AC19" i="7"/>
  <c r="Y20" i="7"/>
  <c r="Z20" i="7"/>
  <c r="AA20" i="7"/>
  <c r="AC20" i="7"/>
  <c r="Y21" i="7"/>
  <c r="Z21" i="7"/>
  <c r="AA21" i="7"/>
  <c r="AC21" i="7"/>
  <c r="Y22" i="7"/>
  <c r="Z22" i="7"/>
  <c r="AA22" i="7"/>
  <c r="AC22" i="7"/>
  <c r="Y23" i="7"/>
  <c r="Z23" i="7"/>
  <c r="AA23" i="7"/>
  <c r="AC23" i="7"/>
  <c r="Y24" i="7"/>
  <c r="Z24" i="7"/>
  <c r="AA24" i="7"/>
  <c r="AC24" i="7"/>
  <c r="AC25" i="7"/>
  <c r="AC26" i="7"/>
  <c r="AA27" i="7"/>
  <c r="AC27" i="7"/>
  <c r="Y28" i="7"/>
  <c r="Z28" i="7"/>
  <c r="AA28" i="7"/>
  <c r="AC28" i="7"/>
  <c r="AF28" i="7"/>
  <c r="AG28" i="7"/>
  <c r="Y31" i="7"/>
  <c r="Z31" i="7"/>
  <c r="AA31" i="7"/>
  <c r="AC31" i="7"/>
  <c r="Y32" i="7"/>
  <c r="Z32" i="7"/>
  <c r="AA32" i="7"/>
  <c r="AC32" i="7"/>
  <c r="Y33" i="7"/>
  <c r="AA33" i="7"/>
  <c r="AC33" i="7"/>
  <c r="Y34" i="7"/>
  <c r="Z34" i="7"/>
  <c r="AA34" i="7"/>
  <c r="AC34" i="7"/>
  <c r="Y35" i="7"/>
  <c r="Z35" i="7"/>
  <c r="AA35" i="7"/>
  <c r="AC35" i="7"/>
  <c r="Y36" i="7"/>
  <c r="Z36" i="7"/>
  <c r="AA36" i="7"/>
  <c r="AC36" i="7"/>
  <c r="Y37" i="7"/>
  <c r="Z37" i="7"/>
  <c r="AA37" i="7"/>
  <c r="AC37" i="7"/>
  <c r="Y38" i="7"/>
  <c r="AA38" i="7"/>
  <c r="AC38" i="7"/>
  <c r="Y39" i="7"/>
  <c r="Z39" i="7"/>
  <c r="AA39" i="7"/>
  <c r="AA40" i="7"/>
  <c r="AC40" i="7"/>
  <c r="Y41" i="7"/>
  <c r="Z41" i="7"/>
  <c r="AA41" i="7"/>
  <c r="AC41" i="7"/>
  <c r="AF41" i="7"/>
  <c r="AG41" i="7"/>
  <c r="Y44" i="7"/>
  <c r="Z44" i="7"/>
  <c r="AA44" i="7"/>
  <c r="AC44" i="7"/>
  <c r="AF44" i="7"/>
  <c r="Y45" i="7"/>
  <c r="Z45" i="7"/>
  <c r="AA45" i="7"/>
  <c r="AC45" i="7"/>
  <c r="AF45" i="7"/>
  <c r="AC46" i="7"/>
  <c r="AF46" i="7"/>
  <c r="Y47" i="7"/>
  <c r="Z47" i="7"/>
  <c r="AA47" i="7"/>
  <c r="AC47" i="7"/>
  <c r="AF47" i="7"/>
  <c r="Y48" i="7"/>
  <c r="Z48" i="7"/>
  <c r="AA48" i="7"/>
  <c r="AC48" i="7"/>
  <c r="AC49" i="7"/>
  <c r="AF49" i="7"/>
  <c r="Y50" i="7"/>
  <c r="Z50" i="7"/>
  <c r="AA50" i="7"/>
  <c r="AC50" i="7"/>
  <c r="Y51" i="7"/>
  <c r="Z51" i="7"/>
  <c r="AA51" i="7"/>
  <c r="AC51" i="7"/>
  <c r="Y52" i="7"/>
  <c r="Z52" i="7"/>
  <c r="AA52" i="7"/>
  <c r="AC52" i="7"/>
  <c r="AF52" i="7"/>
  <c r="Y53" i="7"/>
  <c r="Z53" i="7"/>
  <c r="AA53" i="7"/>
  <c r="AC53" i="7"/>
  <c r="AF53" i="7"/>
  <c r="Y54" i="7"/>
  <c r="Z54" i="7"/>
  <c r="AA54" i="7"/>
  <c r="AC54" i="7"/>
  <c r="AF54" i="7"/>
  <c r="AA55" i="7"/>
  <c r="AC55" i="7"/>
  <c r="Y56" i="7"/>
  <c r="Z56" i="7"/>
  <c r="AA56" i="7"/>
  <c r="AC56" i="7"/>
  <c r="AF56" i="7"/>
  <c r="AG56" i="7"/>
  <c r="F15" i="17"/>
  <c r="F17" i="17"/>
  <c r="F19" i="17"/>
  <c r="F20" i="17"/>
  <c r="D21" i="17"/>
  <c r="E21" i="17"/>
  <c r="F21" i="17"/>
  <c r="K13" i="4"/>
  <c r="K14" i="4"/>
  <c r="K15" i="4"/>
  <c r="K16" i="4"/>
  <c r="K18" i="4"/>
  <c r="P40" i="4"/>
  <c r="P41" i="4"/>
  <c r="P42" i="4"/>
  <c r="P43" i="4"/>
  <c r="P44" i="4"/>
  <c r="C96" i="4"/>
  <c r="D96" i="4"/>
  <c r="E96" i="4"/>
  <c r="F96" i="4"/>
  <c r="G96" i="4"/>
  <c r="H96" i="4"/>
  <c r="I96" i="4"/>
  <c r="J96" i="4"/>
  <c r="K96" i="4"/>
  <c r="L96" i="4"/>
  <c r="M96" i="4"/>
  <c r="N96" i="4"/>
  <c r="C97" i="4"/>
  <c r="D97" i="4"/>
  <c r="E97" i="4"/>
  <c r="F97" i="4"/>
  <c r="G97" i="4"/>
  <c r="H97" i="4"/>
  <c r="I97" i="4"/>
  <c r="J97" i="4"/>
  <c r="K97" i="4"/>
  <c r="L97" i="4"/>
  <c r="M97" i="4"/>
  <c r="N97" i="4"/>
  <c r="C98" i="4"/>
  <c r="D98" i="4"/>
  <c r="E98" i="4"/>
  <c r="F98" i="4"/>
  <c r="G98" i="4"/>
  <c r="H98" i="4"/>
  <c r="I98" i="4"/>
  <c r="J98" i="4"/>
  <c r="K98" i="4"/>
  <c r="L98" i="4"/>
  <c r="M98" i="4"/>
  <c r="N98" i="4"/>
  <c r="C99" i="4"/>
  <c r="D99" i="4"/>
  <c r="E99" i="4"/>
  <c r="F99" i="4"/>
  <c r="G99" i="4"/>
  <c r="H99" i="4"/>
  <c r="I99" i="4"/>
  <c r="J99" i="4"/>
  <c r="K99" i="4"/>
  <c r="L99" i="4"/>
  <c r="M99" i="4"/>
  <c r="N99" i="4"/>
  <c r="C100" i="4"/>
  <c r="D100" i="4"/>
  <c r="E100" i="4"/>
  <c r="F100" i="4"/>
  <c r="G100" i="4"/>
  <c r="H100" i="4"/>
  <c r="I100" i="4"/>
  <c r="J100" i="4"/>
  <c r="K100" i="4"/>
  <c r="L100" i="4"/>
  <c r="M100" i="4"/>
  <c r="N100" i="4"/>
  <c r="C101" i="4"/>
  <c r="D101" i="4"/>
  <c r="E101" i="4"/>
  <c r="F101" i="4"/>
  <c r="G101" i="4"/>
  <c r="H101" i="4"/>
  <c r="I101" i="4"/>
  <c r="J101" i="4"/>
  <c r="K101" i="4"/>
  <c r="L101" i="4"/>
  <c r="M101" i="4"/>
  <c r="N101" i="4"/>
  <c r="C102" i="4"/>
  <c r="D102" i="4"/>
  <c r="E102" i="4"/>
  <c r="F102" i="4"/>
  <c r="G102" i="4"/>
  <c r="H102" i="4"/>
  <c r="I102" i="4"/>
  <c r="J102" i="4"/>
  <c r="K102" i="4"/>
  <c r="L102" i="4"/>
  <c r="M102" i="4"/>
  <c r="N102" i="4"/>
  <c r="H16" i="1"/>
  <c r="J6" i="20"/>
  <c r="F10" i="20"/>
  <c r="J10" i="20"/>
  <c r="F11" i="20"/>
  <c r="H11" i="20"/>
  <c r="J11" i="20"/>
  <c r="D13" i="20"/>
  <c r="D18" i="20"/>
  <c r="J27" i="20"/>
  <c r="J29" i="20"/>
  <c r="J32" i="20"/>
  <c r="J33" i="20"/>
  <c r="J34" i="20"/>
  <c r="J35" i="20"/>
  <c r="J38" i="20"/>
  <c r="J39" i="20"/>
  <c r="J40" i="20"/>
  <c r="J41" i="20"/>
  <c r="J44" i="20"/>
  <c r="J45" i="20"/>
  <c r="J46" i="20"/>
  <c r="J49" i="20"/>
  <c r="J51" i="20"/>
  <c r="J53" i="20"/>
  <c r="F56" i="20"/>
  <c r="J56" i="20"/>
  <c r="F7" i="21"/>
  <c r="H7" i="21"/>
  <c r="J7" i="21"/>
  <c r="J13" i="21"/>
  <c r="J14" i="21"/>
  <c r="J15" i="21"/>
  <c r="J16" i="21"/>
  <c r="J17" i="21"/>
  <c r="J18" i="21"/>
  <c r="J19" i="21"/>
  <c r="J20" i="21"/>
  <c r="J21" i="21"/>
  <c r="J22" i="21"/>
  <c r="J23" i="21"/>
  <c r="F26" i="21"/>
  <c r="J26" i="21"/>
  <c r="J32" i="21"/>
  <c r="J33" i="21"/>
  <c r="J34" i="21"/>
  <c r="J35" i="21"/>
  <c r="J36" i="21"/>
  <c r="J37" i="21"/>
  <c r="J39" i="21"/>
  <c r="J40" i="21"/>
  <c r="J41" i="21"/>
  <c r="J42" i="21"/>
  <c r="J43" i="21"/>
  <c r="F46" i="21"/>
  <c r="J46" i="21"/>
  <c r="F7" i="22"/>
  <c r="H7" i="22"/>
  <c r="J7" i="22"/>
  <c r="J14" i="22"/>
  <c r="J15" i="22"/>
  <c r="J16" i="22"/>
  <c r="J17" i="22"/>
  <c r="J18" i="22"/>
  <c r="F21" i="22"/>
  <c r="J21" i="22"/>
  <c r="J27" i="22"/>
  <c r="J28" i="22"/>
  <c r="J29" i="22"/>
  <c r="J30" i="22"/>
  <c r="J31" i="22"/>
  <c r="J32" i="22"/>
  <c r="F35" i="22"/>
  <c r="J35" i="22"/>
  <c r="J41" i="22"/>
  <c r="J42" i="22"/>
  <c r="J43" i="22"/>
  <c r="J44" i="22"/>
  <c r="J45" i="22"/>
  <c r="J46" i="22"/>
  <c r="J50" i="22"/>
  <c r="J56" i="22"/>
  <c r="F59" i="22"/>
  <c r="J59" i="22"/>
  <c r="F62" i="22"/>
  <c r="H62" i="22"/>
  <c r="J62" i="22"/>
  <c r="F64" i="22"/>
  <c r="H64" i="22"/>
  <c r="J64" i="22"/>
  <c r="F66" i="22"/>
  <c r="H66" i="22"/>
  <c r="J66" i="22"/>
  <c r="B12" i="3"/>
  <c r="F12" i="3"/>
  <c r="H12" i="3"/>
  <c r="J12" i="3"/>
  <c r="B13" i="3"/>
  <c r="F13" i="3"/>
  <c r="H13" i="3"/>
  <c r="J13" i="3"/>
  <c r="B14" i="3"/>
  <c r="F14" i="3"/>
  <c r="H14" i="3"/>
  <c r="J14" i="3"/>
  <c r="B15" i="3"/>
  <c r="F15" i="3"/>
  <c r="H15" i="3"/>
  <c r="J15" i="3"/>
  <c r="B17" i="3"/>
  <c r="F17" i="3"/>
  <c r="H17" i="3"/>
  <c r="J17" i="3"/>
  <c r="D58" i="3"/>
  <c r="E58" i="3"/>
  <c r="F58" i="3"/>
  <c r="D59" i="3"/>
  <c r="E59" i="3"/>
  <c r="F59" i="3"/>
  <c r="E14" i="8"/>
  <c r="G14" i="8"/>
  <c r="E15" i="8"/>
  <c r="G15" i="8"/>
  <c r="E16" i="8"/>
  <c r="G16" i="8"/>
  <c r="I16" i="8"/>
  <c r="N17" i="8"/>
  <c r="N19" i="8"/>
  <c r="J24" i="29"/>
  <c r="L24" i="29"/>
  <c r="M24" i="29"/>
  <c r="O24" i="29"/>
  <c r="J26" i="29"/>
  <c r="L26" i="29"/>
  <c r="M26" i="29"/>
  <c r="O26" i="29"/>
  <c r="J28" i="29"/>
  <c r="L28" i="29"/>
  <c r="M28" i="29"/>
  <c r="O28" i="29"/>
  <c r="F31" i="29"/>
  <c r="F33" i="29"/>
  <c r="F35" i="29"/>
  <c r="F37" i="29"/>
  <c r="F39" i="29"/>
  <c r="F41" i="29"/>
  <c r="F43" i="29"/>
  <c r="F45" i="29"/>
  <c r="F47" i="29"/>
  <c r="F49" i="29"/>
  <c r="H75" i="29"/>
  <c r="C9" i="26"/>
  <c r="D9" i="26"/>
  <c r="E9" i="26"/>
  <c r="F9" i="26"/>
  <c r="G9" i="26"/>
  <c r="H9" i="26"/>
  <c r="I9" i="26"/>
  <c r="J9" i="26"/>
  <c r="K9" i="26"/>
  <c r="L9" i="26"/>
  <c r="M9" i="26"/>
  <c r="N9" i="26"/>
  <c r="O9" i="26"/>
  <c r="C11" i="26"/>
  <c r="D11" i="26"/>
  <c r="E11" i="26"/>
  <c r="F11" i="26"/>
  <c r="G11" i="26"/>
  <c r="H11" i="26"/>
  <c r="I11" i="26"/>
  <c r="J11" i="26"/>
  <c r="K11" i="26"/>
  <c r="L11" i="26"/>
  <c r="M11" i="26"/>
  <c r="N11" i="26"/>
  <c r="O11" i="26"/>
  <c r="C12" i="26"/>
  <c r="D12" i="26"/>
  <c r="E12" i="26"/>
  <c r="F12" i="26"/>
  <c r="G12" i="26"/>
  <c r="H12" i="26"/>
  <c r="I12" i="26"/>
  <c r="J12" i="26"/>
  <c r="K12" i="26"/>
  <c r="L12" i="26"/>
  <c r="M12" i="26"/>
  <c r="N12" i="26"/>
  <c r="O12" i="26"/>
  <c r="C13" i="26"/>
  <c r="D13" i="26"/>
  <c r="E13" i="26"/>
  <c r="F13" i="26"/>
  <c r="G13" i="26"/>
  <c r="H13" i="26"/>
  <c r="I13" i="26"/>
  <c r="J13" i="26"/>
  <c r="K13" i="26"/>
  <c r="L13" i="26"/>
  <c r="M13" i="26"/>
  <c r="N13" i="26"/>
  <c r="O13" i="26"/>
  <c r="C14" i="26"/>
  <c r="D14" i="26"/>
  <c r="E14" i="26"/>
  <c r="F14" i="26"/>
  <c r="G14" i="26"/>
  <c r="H14" i="26"/>
  <c r="I14" i="26"/>
  <c r="J14" i="26"/>
  <c r="K14" i="26"/>
  <c r="L14" i="26"/>
  <c r="M14" i="26"/>
  <c r="N14" i="26"/>
  <c r="O14" i="26"/>
  <c r="C15" i="26"/>
  <c r="D15" i="26"/>
  <c r="E15" i="26"/>
  <c r="F15" i="26"/>
  <c r="G15" i="26"/>
  <c r="H15" i="26"/>
  <c r="I15" i="26"/>
  <c r="J15" i="26"/>
  <c r="K15" i="26"/>
  <c r="L15" i="26"/>
  <c r="M15" i="26"/>
  <c r="N15" i="26"/>
  <c r="O15" i="26"/>
  <c r="C16" i="26"/>
  <c r="D16" i="26"/>
  <c r="E16" i="26"/>
  <c r="F16" i="26"/>
  <c r="G16" i="26"/>
  <c r="H16" i="26"/>
  <c r="I16" i="26"/>
  <c r="J16" i="26"/>
  <c r="K16" i="26"/>
  <c r="L16" i="26"/>
  <c r="M16" i="26"/>
  <c r="N16" i="26"/>
  <c r="O16" i="26"/>
  <c r="C17" i="26"/>
  <c r="D17" i="26"/>
  <c r="E17" i="26"/>
  <c r="F17" i="26"/>
  <c r="G17" i="26"/>
  <c r="H17" i="26"/>
  <c r="I17" i="26"/>
  <c r="J17" i="26"/>
  <c r="K17" i="26"/>
  <c r="L17" i="26"/>
  <c r="M17" i="26"/>
  <c r="N17" i="26"/>
  <c r="O17" i="26"/>
  <c r="C18" i="26"/>
  <c r="D18" i="26"/>
  <c r="E18" i="26"/>
  <c r="F18" i="26"/>
  <c r="G18" i="26"/>
  <c r="H18" i="26"/>
  <c r="I18" i="26"/>
  <c r="J18" i="26"/>
  <c r="K18" i="26"/>
  <c r="L18" i="26"/>
  <c r="M18" i="26"/>
  <c r="N18" i="26"/>
  <c r="O18" i="26"/>
  <c r="C19" i="26"/>
  <c r="D19" i="26"/>
  <c r="E19" i="26"/>
  <c r="F19" i="26"/>
  <c r="G19" i="26"/>
  <c r="H19" i="26"/>
  <c r="I19" i="26"/>
  <c r="J19" i="26"/>
  <c r="K19" i="26"/>
  <c r="L19" i="26"/>
  <c r="M19" i="26"/>
  <c r="N19" i="26"/>
  <c r="O19" i="26"/>
  <c r="C21" i="26"/>
  <c r="D21" i="26"/>
  <c r="E21" i="26"/>
  <c r="F21" i="26"/>
  <c r="G21" i="26"/>
  <c r="H21" i="26"/>
  <c r="I21" i="26"/>
  <c r="J21" i="26"/>
  <c r="K21" i="26"/>
  <c r="L21" i="26"/>
  <c r="M21" i="26"/>
  <c r="N21" i="26"/>
  <c r="O21" i="26"/>
  <c r="C24" i="26"/>
  <c r="D24" i="26"/>
  <c r="E24" i="26"/>
  <c r="F24" i="26"/>
  <c r="G24" i="26"/>
  <c r="H24" i="26"/>
  <c r="I24" i="26"/>
  <c r="J24" i="26"/>
  <c r="K24" i="26"/>
  <c r="L24" i="26"/>
  <c r="M24" i="26"/>
  <c r="N24" i="26"/>
  <c r="O24" i="26"/>
  <c r="C25" i="26"/>
  <c r="D25" i="26"/>
  <c r="E25" i="26"/>
  <c r="F25" i="26"/>
  <c r="G25" i="26"/>
  <c r="H25" i="26"/>
  <c r="I25" i="26"/>
  <c r="J25" i="26"/>
  <c r="K25" i="26"/>
  <c r="L25" i="26"/>
  <c r="M25" i="26"/>
  <c r="N25" i="26"/>
  <c r="O25" i="26"/>
  <c r="C26" i="26"/>
  <c r="D26" i="26"/>
  <c r="E26" i="26"/>
  <c r="F26" i="26"/>
  <c r="G26" i="26"/>
  <c r="H26" i="26"/>
  <c r="I26" i="26"/>
  <c r="J26" i="26"/>
  <c r="K26" i="26"/>
  <c r="L26" i="26"/>
  <c r="M26" i="26"/>
  <c r="N26" i="26"/>
  <c r="O26" i="26"/>
  <c r="C27" i="26"/>
  <c r="D27" i="26"/>
  <c r="E27" i="26"/>
  <c r="F27" i="26"/>
  <c r="G27" i="26"/>
  <c r="H27" i="26"/>
  <c r="I27" i="26"/>
  <c r="J27" i="26"/>
  <c r="K27" i="26"/>
  <c r="L27" i="26"/>
  <c r="M27" i="26"/>
  <c r="N27" i="26"/>
  <c r="O27" i="26"/>
  <c r="C28" i="26"/>
  <c r="D28" i="26"/>
  <c r="E28" i="26"/>
  <c r="F28" i="26"/>
  <c r="G28" i="26"/>
  <c r="H28" i="26"/>
  <c r="I28" i="26"/>
  <c r="J28" i="26"/>
  <c r="K28" i="26"/>
  <c r="L28" i="26"/>
  <c r="M28" i="26"/>
  <c r="N28" i="26"/>
  <c r="O28" i="26"/>
  <c r="C29" i="26"/>
  <c r="D29" i="26"/>
  <c r="E29" i="26"/>
  <c r="F29" i="26"/>
  <c r="G29" i="26"/>
  <c r="H29" i="26"/>
  <c r="I29" i="26"/>
  <c r="J29" i="26"/>
  <c r="K29" i="26"/>
  <c r="L29" i="26"/>
  <c r="M29" i="26"/>
  <c r="N29" i="26"/>
  <c r="O29" i="26"/>
  <c r="C30" i="26"/>
  <c r="D30" i="26"/>
  <c r="E30" i="26"/>
  <c r="F30" i="26"/>
  <c r="G30" i="26"/>
  <c r="H30" i="26"/>
  <c r="I30" i="26"/>
  <c r="J30" i="26"/>
  <c r="K30" i="26"/>
  <c r="L30" i="26"/>
  <c r="M30" i="26"/>
  <c r="N30" i="26"/>
  <c r="O30" i="26"/>
  <c r="C31" i="26"/>
  <c r="D31" i="26"/>
  <c r="E31" i="26"/>
  <c r="F31" i="26"/>
  <c r="G31" i="26"/>
  <c r="H31" i="26"/>
  <c r="I31" i="26"/>
  <c r="J31" i="26"/>
  <c r="K31" i="26"/>
  <c r="L31" i="26"/>
  <c r="M31" i="26"/>
  <c r="N31" i="26"/>
  <c r="O31" i="26"/>
  <c r="C32" i="26"/>
  <c r="D32" i="26"/>
  <c r="E32" i="26"/>
  <c r="F32" i="26"/>
  <c r="G32" i="26"/>
  <c r="H32" i="26"/>
  <c r="I32" i="26"/>
  <c r="J32" i="26"/>
  <c r="K32" i="26"/>
  <c r="L32" i="26"/>
  <c r="M32" i="26"/>
  <c r="N32" i="26"/>
  <c r="O32" i="26"/>
  <c r="C34" i="26"/>
  <c r="D34" i="26"/>
  <c r="E34" i="26"/>
  <c r="F34" i="26"/>
  <c r="G34" i="26"/>
  <c r="H34" i="26"/>
  <c r="I34" i="26"/>
  <c r="J34" i="26"/>
  <c r="K34" i="26"/>
  <c r="L34" i="26"/>
  <c r="M34" i="26"/>
  <c r="N34" i="26"/>
  <c r="O34" i="26"/>
  <c r="C37" i="26"/>
  <c r="D37" i="26"/>
  <c r="E37" i="26"/>
  <c r="F37" i="26"/>
  <c r="G37" i="26"/>
  <c r="H37" i="26"/>
  <c r="I37" i="26"/>
  <c r="J37" i="26"/>
  <c r="K37" i="26"/>
  <c r="L37" i="26"/>
  <c r="M37" i="26"/>
  <c r="N37" i="26"/>
  <c r="O37" i="26"/>
  <c r="C38" i="26"/>
  <c r="D38" i="26"/>
  <c r="E38" i="26"/>
  <c r="F38" i="26"/>
  <c r="G38" i="26"/>
  <c r="H38" i="26"/>
  <c r="I38" i="26"/>
  <c r="J38" i="26"/>
  <c r="K38" i="26"/>
  <c r="L38" i="26"/>
  <c r="M38" i="26"/>
  <c r="N38" i="26"/>
  <c r="O38" i="26"/>
  <c r="C39" i="26"/>
  <c r="D39" i="26"/>
  <c r="E39" i="26"/>
  <c r="F39" i="26"/>
  <c r="G39" i="26"/>
  <c r="H39" i="26"/>
  <c r="I39" i="26"/>
  <c r="J39" i="26"/>
  <c r="K39" i="26"/>
  <c r="L39" i="26"/>
  <c r="M39" i="26"/>
  <c r="N39" i="26"/>
  <c r="O39" i="26"/>
  <c r="C40" i="26"/>
  <c r="D40" i="26"/>
  <c r="E40" i="26"/>
  <c r="F40" i="26"/>
  <c r="G40" i="26"/>
  <c r="H40" i="26"/>
  <c r="I40" i="26"/>
  <c r="J40" i="26"/>
  <c r="K40" i="26"/>
  <c r="L40" i="26"/>
  <c r="M40" i="26"/>
  <c r="N40" i="26"/>
  <c r="O40" i="26"/>
  <c r="C41" i="26"/>
  <c r="D41" i="26"/>
  <c r="E41" i="26"/>
  <c r="F41" i="26"/>
  <c r="G41" i="26"/>
  <c r="H41" i="26"/>
  <c r="I41" i="26"/>
  <c r="J41" i="26"/>
  <c r="K41" i="26"/>
  <c r="L41" i="26"/>
  <c r="M41" i="26"/>
  <c r="N41" i="26"/>
  <c r="O41" i="26"/>
  <c r="C42" i="26"/>
  <c r="D42" i="26"/>
  <c r="E42" i="26"/>
  <c r="F42" i="26"/>
  <c r="G42" i="26"/>
  <c r="H42" i="26"/>
  <c r="I42" i="26"/>
  <c r="J42" i="26"/>
  <c r="K42" i="26"/>
  <c r="L42" i="26"/>
  <c r="M42" i="26"/>
  <c r="N42" i="26"/>
  <c r="O42" i="26"/>
  <c r="C43" i="26"/>
  <c r="D43" i="26"/>
  <c r="E43" i="26"/>
  <c r="F43" i="26"/>
  <c r="G43" i="26"/>
  <c r="H43" i="26"/>
  <c r="I43" i="26"/>
  <c r="J43" i="26"/>
  <c r="K43" i="26"/>
  <c r="L43" i="26"/>
  <c r="M43" i="26"/>
  <c r="N43" i="26"/>
  <c r="O43" i="26"/>
  <c r="C44" i="26"/>
  <c r="D44" i="26"/>
  <c r="E44" i="26"/>
  <c r="F44" i="26"/>
  <c r="G44" i="26"/>
  <c r="H44" i="26"/>
  <c r="I44" i="26"/>
  <c r="J44" i="26"/>
  <c r="K44" i="26"/>
  <c r="L44" i="26"/>
  <c r="M44" i="26"/>
  <c r="N44" i="26"/>
  <c r="O44" i="26"/>
  <c r="C45" i="26"/>
  <c r="D45" i="26"/>
  <c r="E45" i="26"/>
  <c r="F45" i="26"/>
  <c r="G45" i="26"/>
  <c r="H45" i="26"/>
  <c r="I45" i="26"/>
  <c r="J45" i="26"/>
  <c r="K45" i="26"/>
  <c r="L45" i="26"/>
  <c r="M45" i="26"/>
  <c r="N45" i="26"/>
  <c r="O45" i="26"/>
  <c r="C47" i="26"/>
  <c r="D47" i="26"/>
  <c r="E47" i="26"/>
  <c r="F47" i="26"/>
  <c r="G47" i="26"/>
  <c r="H47" i="26"/>
  <c r="I47" i="26"/>
  <c r="J47" i="26"/>
  <c r="K47" i="26"/>
  <c r="L47" i="26"/>
  <c r="M47" i="26"/>
  <c r="N47" i="26"/>
  <c r="O47" i="26"/>
  <c r="D15" i="23"/>
  <c r="F15" i="23"/>
  <c r="I15" i="23"/>
  <c r="J15" i="23"/>
  <c r="L15" i="23"/>
  <c r="M15" i="23"/>
  <c r="F16" i="23"/>
  <c r="G16" i="23"/>
  <c r="I16" i="23"/>
  <c r="J16" i="23"/>
  <c r="L16" i="23"/>
  <c r="M16" i="23"/>
  <c r="F17" i="23"/>
  <c r="I17" i="23"/>
  <c r="J17" i="23"/>
  <c r="L17" i="23"/>
  <c r="M17" i="23"/>
  <c r="F18" i="23"/>
  <c r="G18" i="23"/>
  <c r="I18" i="23"/>
  <c r="J18" i="23"/>
  <c r="L18" i="23"/>
  <c r="M18" i="23"/>
  <c r="F19" i="23"/>
  <c r="G19" i="23"/>
  <c r="I19" i="23"/>
  <c r="J19" i="23"/>
  <c r="L19" i="23"/>
  <c r="M19" i="23"/>
  <c r="F20" i="23"/>
  <c r="G20" i="23"/>
  <c r="I20" i="23"/>
  <c r="J20" i="23"/>
  <c r="L20" i="23"/>
  <c r="M20" i="23"/>
  <c r="F21" i="23"/>
  <c r="I21" i="23"/>
  <c r="J21" i="23"/>
  <c r="L21" i="23"/>
  <c r="M21" i="23"/>
  <c r="F22" i="23"/>
  <c r="G22" i="23"/>
  <c r="I22" i="23"/>
  <c r="J22" i="23"/>
  <c r="L22" i="23"/>
  <c r="M22" i="23"/>
  <c r="F23" i="23"/>
  <c r="G23" i="23"/>
  <c r="I23" i="23"/>
  <c r="J23" i="23"/>
  <c r="L23" i="23"/>
  <c r="M23" i="23"/>
  <c r="C25" i="23"/>
  <c r="D25" i="23"/>
  <c r="E25" i="23"/>
  <c r="F25" i="23"/>
  <c r="G25" i="23"/>
  <c r="I25" i="23"/>
  <c r="J25" i="23"/>
  <c r="L25" i="23"/>
  <c r="M25" i="23"/>
  <c r="F27" i="23"/>
  <c r="J27" i="23"/>
  <c r="M27" i="23"/>
  <c r="F28" i="23"/>
  <c r="J28" i="23"/>
  <c r="M28" i="23"/>
  <c r="C30" i="23"/>
  <c r="D30" i="23"/>
  <c r="E30" i="23"/>
  <c r="F30" i="23"/>
  <c r="G30" i="23"/>
  <c r="I30" i="23"/>
  <c r="J30" i="23"/>
  <c r="L30" i="23"/>
  <c r="M30" i="23"/>
  <c r="E14" i="18"/>
  <c r="F14" i="18"/>
  <c r="G14" i="18"/>
  <c r="E15" i="18"/>
  <c r="F15" i="18"/>
  <c r="G15" i="18"/>
  <c r="E16" i="18"/>
  <c r="F16" i="18"/>
  <c r="G16" i="18"/>
  <c r="F17" i="18"/>
  <c r="G17" i="18"/>
  <c r="E18" i="18"/>
  <c r="F18" i="18"/>
  <c r="G18" i="18"/>
  <c r="E19" i="18"/>
  <c r="F19" i="18"/>
  <c r="G19" i="18"/>
  <c r="E20" i="18"/>
  <c r="F20" i="18"/>
  <c r="G20" i="18"/>
  <c r="E21" i="18"/>
  <c r="F21" i="18"/>
  <c r="G21" i="18"/>
  <c r="D22" i="18"/>
  <c r="E22" i="18"/>
  <c r="F22" i="18"/>
  <c r="D24" i="18"/>
  <c r="E24" i="18"/>
  <c r="F24" i="18"/>
  <c r="G24" i="18"/>
  <c r="D26" i="18"/>
  <c r="E26" i="18"/>
  <c r="F26" i="18"/>
  <c r="D27" i="18"/>
  <c r="E27" i="18"/>
  <c r="F27" i="18"/>
  <c r="D29" i="18"/>
  <c r="E29" i="18"/>
  <c r="F29" i="18"/>
  <c r="G29" i="18"/>
  <c r="F31" i="18"/>
  <c r="G31" i="18"/>
</calcChain>
</file>

<file path=xl/comments1.xml><?xml version="1.0" encoding="utf-8"?>
<comments xmlns="http://schemas.openxmlformats.org/spreadsheetml/2006/main">
  <authors>
    <author>gmcmahon</author>
    <author>devans5</author>
  </authors>
  <commentList>
    <comment ref="B10"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RGP=adaytum_page_1
RGR=adaytum_row_1
RGC=adaytum_col_1
RGD=adaytum_data_1
VID=76A8DCCFD8A662C0
CHK=-437940652
</t>
        </r>
      </text>
    </comment>
    <comment ref="B11" authorId="1" shapeId="0">
      <text>
        <r>
          <rPr>
            <sz val="8"/>
            <color indexed="81"/>
            <rFont val="Tahoma"/>
          </rPr>
          <t>1 Currency Conversion</t>
        </r>
      </text>
    </comment>
    <comment ref="C11" authorId="1" shapeId="0">
      <text>
        <r>
          <rPr>
            <sz val="8"/>
            <color indexed="81"/>
            <rFont val="Tahoma"/>
          </rPr>
          <t>2 Ops/Proj Split</t>
        </r>
      </text>
    </comment>
    <comment ref="D11" authorId="1" shapeId="0">
      <text>
        <r>
          <rPr>
            <sz val="8"/>
            <color indexed="81"/>
            <rFont val="Tahoma"/>
          </rPr>
          <t>4 Months</t>
        </r>
      </text>
    </comment>
    <comment ref="E11" authorId="1" shapeId="0">
      <text>
        <r>
          <rPr>
            <sz val="8"/>
            <color indexed="81"/>
            <rFont val="Tahoma"/>
          </rPr>
          <t>5 Versions</t>
        </r>
      </text>
    </comment>
    <comment ref="C13" authorId="1" shapeId="0">
      <text>
        <r>
          <rPr>
            <sz val="8"/>
            <color indexed="81"/>
            <rFont val="Tahoma"/>
          </rPr>
          <t>Elist</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5" authorId="1" shapeId="0">
      <text>
        <r>
          <rPr>
            <sz val="8"/>
            <color indexed="81"/>
            <rFont val="Tahoma"/>
          </rPr>
          <t>2 Overheads Summary</t>
        </r>
      </text>
    </comment>
    <comment ref="B26" authorId="1" shapeId="0">
      <text>
        <r>
          <rPr>
            <sz val="8"/>
            <color indexed="81"/>
            <rFont val="Tahoma"/>
          </rPr>
          <t>2 Overheads Summary</t>
        </r>
      </text>
    </comment>
    <comment ref="B27" authorId="1" shapeId="0">
      <text>
        <r>
          <rPr>
            <sz val="8"/>
            <color indexed="81"/>
            <rFont val="Tahoma"/>
          </rPr>
          <t>2 Overheads Summary</t>
        </r>
      </text>
    </comment>
    <comment ref="B28" authorId="1" shapeId="0">
      <text>
        <r>
          <rPr>
            <sz val="8"/>
            <color indexed="81"/>
            <rFont val="Tahoma"/>
          </rPr>
          <t>2 Overheads Summary</t>
        </r>
      </text>
    </comment>
    <comment ref="B29" authorId="1" shapeId="0">
      <text>
        <r>
          <rPr>
            <sz val="8"/>
            <color indexed="81"/>
            <rFont val="Tahoma"/>
          </rPr>
          <t>2 Overheads Summary</t>
        </r>
      </text>
    </comment>
    <comment ref="B30" authorId="1" shapeId="0">
      <text>
        <r>
          <rPr>
            <sz val="8"/>
            <color indexed="81"/>
            <rFont val="Tahoma"/>
          </rPr>
          <t>2 Overheads Summary</t>
        </r>
      </text>
    </comment>
    <comment ref="B31" authorId="1" shapeId="0">
      <text>
        <r>
          <rPr>
            <sz val="8"/>
            <color indexed="81"/>
            <rFont val="Tahoma"/>
          </rPr>
          <t>2 Overheads Summary</t>
        </r>
      </text>
    </comment>
    <comment ref="B32" authorId="1" shapeId="0">
      <text>
        <r>
          <rPr>
            <sz val="8"/>
            <color indexed="81"/>
            <rFont val="Tahoma"/>
          </rPr>
          <t>2 Overheads Summary</t>
        </r>
      </text>
    </comment>
    <comment ref="B33" authorId="1" shapeId="0">
      <text>
        <r>
          <rPr>
            <sz val="8"/>
            <color indexed="81"/>
            <rFont val="Tahoma"/>
          </rPr>
          <t>2 Overheads Summary</t>
        </r>
      </text>
    </comment>
    <comment ref="B34" authorId="1" shapeId="0">
      <text>
        <r>
          <rPr>
            <sz val="8"/>
            <color indexed="81"/>
            <rFont val="Tahoma"/>
          </rPr>
          <t>2 Overheads Summary</t>
        </r>
      </text>
    </comment>
    <comment ref="B35" authorId="1" shapeId="0">
      <text>
        <r>
          <rPr>
            <sz val="8"/>
            <color indexed="81"/>
            <rFont val="Tahoma"/>
          </rPr>
          <t>2 Overheads Summary</t>
        </r>
      </text>
    </comment>
    <comment ref="B36" authorId="1" shapeId="0">
      <text>
        <r>
          <rPr>
            <sz val="8"/>
            <color indexed="81"/>
            <rFont val="Tahoma"/>
          </rPr>
          <t>2 Overheads Summary</t>
        </r>
      </text>
    </comment>
    <comment ref="B37" authorId="1" shapeId="0">
      <text>
        <r>
          <rPr>
            <sz val="8"/>
            <color indexed="81"/>
            <rFont val="Tahoma"/>
          </rPr>
          <t>2 Overheads Summary</t>
        </r>
      </text>
    </comment>
    <comment ref="B38" authorId="1" shapeId="0">
      <text>
        <r>
          <rPr>
            <sz val="8"/>
            <color indexed="81"/>
            <rFont val="Tahoma"/>
          </rPr>
          <t>2 Overheads Summary</t>
        </r>
      </text>
    </comment>
    <comment ref="B39" authorId="1" shapeId="0">
      <text>
        <r>
          <rPr>
            <sz val="8"/>
            <color indexed="81"/>
            <rFont val="Tahoma"/>
          </rPr>
          <t>2 Overheads Summary</t>
        </r>
      </text>
    </comment>
    <comment ref="B40" authorId="1" shapeId="0">
      <text>
        <r>
          <rPr>
            <sz val="8"/>
            <color indexed="81"/>
            <rFont val="Tahoma"/>
          </rPr>
          <t>2 Overheads Summary</t>
        </r>
      </text>
    </comment>
    <comment ref="B41" authorId="1" shapeId="0">
      <text>
        <r>
          <rPr>
            <sz val="8"/>
            <color indexed="81"/>
            <rFont val="Tahoma"/>
          </rPr>
          <t>2 Overheads Summary</t>
        </r>
      </text>
    </comment>
    <comment ref="B42" authorId="1" shapeId="0">
      <text>
        <r>
          <rPr>
            <sz val="8"/>
            <color indexed="81"/>
            <rFont val="Tahoma"/>
          </rPr>
          <t>2 Overheads Summary</t>
        </r>
      </text>
    </comment>
    <comment ref="B43" authorId="1" shapeId="0">
      <text>
        <r>
          <rPr>
            <sz val="8"/>
            <color indexed="81"/>
            <rFont val="Tahoma"/>
          </rPr>
          <t>2 Overheads Summary</t>
        </r>
      </text>
    </comment>
    <comment ref="B44" authorId="1" shapeId="0">
      <text>
        <r>
          <rPr>
            <sz val="8"/>
            <color indexed="81"/>
            <rFont val="Tahoma"/>
          </rPr>
          <t>2 Overheads Summary</t>
        </r>
      </text>
    </comment>
    <comment ref="B45" authorId="1" shapeId="0">
      <text>
        <r>
          <rPr>
            <sz val="8"/>
            <color indexed="81"/>
            <rFont val="Tahoma"/>
          </rPr>
          <t>2 Overheads Summary</t>
        </r>
      </text>
    </comment>
    <comment ref="B46" authorId="1" shapeId="0">
      <text>
        <r>
          <rPr>
            <sz val="8"/>
            <color indexed="81"/>
            <rFont val="Tahoma"/>
          </rPr>
          <t>2 Overheads Summary</t>
        </r>
      </text>
    </comment>
    <comment ref="B47" authorId="1" shapeId="0">
      <text>
        <r>
          <rPr>
            <sz val="8"/>
            <color indexed="81"/>
            <rFont val="Tahoma"/>
          </rPr>
          <t>2 Overheads Summary</t>
        </r>
      </text>
    </comment>
    <comment ref="B48" authorId="1" shapeId="0">
      <text>
        <r>
          <rPr>
            <sz val="8"/>
            <color indexed="81"/>
            <rFont val="Tahoma"/>
          </rPr>
          <t>2 Overheads Summary</t>
        </r>
      </text>
    </comment>
    <comment ref="B49" authorId="1" shapeId="0">
      <text>
        <r>
          <rPr>
            <sz val="8"/>
            <color indexed="81"/>
            <rFont val="Tahoma"/>
          </rPr>
          <t>2 Overheads Summary</t>
        </r>
      </text>
    </comment>
    <comment ref="B50" authorId="1" shapeId="0">
      <text>
        <r>
          <rPr>
            <sz val="8"/>
            <color indexed="81"/>
            <rFont val="Tahoma"/>
          </rPr>
          <t>2 Overheads Summary</t>
        </r>
      </text>
    </comment>
    <comment ref="B51" authorId="1" shapeId="0">
      <text>
        <r>
          <rPr>
            <sz val="8"/>
            <color indexed="81"/>
            <rFont val="Tahoma"/>
          </rPr>
          <t>2 Overheads Summary</t>
        </r>
      </text>
    </comment>
    <comment ref="B52" authorId="1" shapeId="0">
      <text>
        <r>
          <rPr>
            <sz val="8"/>
            <color indexed="81"/>
            <rFont val="Tahoma"/>
          </rPr>
          <t>2 Overheads Summary</t>
        </r>
      </text>
    </comment>
    <comment ref="B53" authorId="1" shapeId="0">
      <text>
        <r>
          <rPr>
            <sz val="8"/>
            <color indexed="81"/>
            <rFont val="Tahoma"/>
          </rPr>
          <t>2 Overheads Summary</t>
        </r>
      </text>
    </comment>
    <comment ref="B54" authorId="1" shapeId="0">
      <text>
        <r>
          <rPr>
            <sz val="8"/>
            <color indexed="81"/>
            <rFont val="Tahoma"/>
          </rPr>
          <t>2 Overheads Summary</t>
        </r>
      </text>
    </comment>
    <comment ref="B55" authorId="1" shapeId="0">
      <text>
        <r>
          <rPr>
            <sz val="8"/>
            <color indexed="81"/>
            <rFont val="Tahoma"/>
          </rPr>
          <t>2 Overheads Summary</t>
        </r>
      </text>
    </comment>
    <comment ref="B56" authorId="1" shapeId="0">
      <text>
        <r>
          <rPr>
            <sz val="8"/>
            <color indexed="81"/>
            <rFont val="Tahoma"/>
          </rPr>
          <t>2 Overheads Summary</t>
        </r>
      </text>
    </comment>
    <comment ref="B57" authorId="1" shapeId="0">
      <text>
        <r>
          <rPr>
            <sz val="8"/>
            <color indexed="81"/>
            <rFont val="Tahoma"/>
          </rPr>
          <t>2 Overheads Summary</t>
        </r>
      </text>
    </comment>
    <comment ref="B58" authorId="1" shapeId="0">
      <text>
        <r>
          <rPr>
            <sz val="8"/>
            <color indexed="81"/>
            <rFont val="Tahoma"/>
          </rPr>
          <t>2 Overheads Summary</t>
        </r>
      </text>
    </comment>
    <comment ref="B59" authorId="1" shapeId="0">
      <text>
        <r>
          <rPr>
            <sz val="8"/>
            <color indexed="81"/>
            <rFont val="Tahoma"/>
          </rPr>
          <t>2 Overheads Summary</t>
        </r>
      </text>
    </comment>
    <comment ref="B60" authorId="1" shapeId="0">
      <text>
        <r>
          <rPr>
            <sz val="8"/>
            <color indexed="81"/>
            <rFont val="Tahoma"/>
          </rPr>
          <t>2 Overheads Summary</t>
        </r>
      </text>
    </comment>
    <comment ref="B61" authorId="1" shapeId="0">
      <text>
        <r>
          <rPr>
            <sz val="8"/>
            <color indexed="81"/>
            <rFont val="Tahoma"/>
          </rPr>
          <t>2 Overheads Summary</t>
        </r>
      </text>
    </comment>
    <comment ref="B62" authorId="1" shapeId="0">
      <text>
        <r>
          <rPr>
            <sz val="8"/>
            <color indexed="81"/>
            <rFont val="Tahoma"/>
          </rPr>
          <t>2 Overheads Summary</t>
        </r>
      </text>
    </comment>
    <comment ref="B63" authorId="1" shapeId="0">
      <text>
        <r>
          <rPr>
            <sz val="8"/>
            <color indexed="81"/>
            <rFont val="Tahoma"/>
          </rPr>
          <t>2 Overheads Summary</t>
        </r>
      </text>
    </comment>
    <comment ref="B64" authorId="1" shapeId="0">
      <text>
        <r>
          <rPr>
            <sz val="8"/>
            <color indexed="81"/>
            <rFont val="Tahoma"/>
          </rPr>
          <t>2 Overheads Summary</t>
        </r>
      </text>
    </comment>
    <comment ref="B65" authorId="1" shapeId="0">
      <text>
        <r>
          <rPr>
            <sz val="8"/>
            <color indexed="81"/>
            <rFont val="Tahoma"/>
          </rPr>
          <t>2 Overheads Summary</t>
        </r>
      </text>
    </comment>
    <comment ref="B66" authorId="1" shapeId="0">
      <text>
        <r>
          <rPr>
            <sz val="8"/>
            <color indexed="81"/>
            <rFont val="Tahoma"/>
          </rPr>
          <t>2 Overheads Summary</t>
        </r>
      </text>
    </comment>
    <comment ref="B67" authorId="1" shapeId="0">
      <text>
        <r>
          <rPr>
            <sz val="8"/>
            <color indexed="81"/>
            <rFont val="Tahoma"/>
          </rPr>
          <t>2 Overheads Summary</t>
        </r>
      </text>
    </comment>
    <comment ref="B68" authorId="1" shapeId="0">
      <text>
        <r>
          <rPr>
            <sz val="8"/>
            <color indexed="81"/>
            <rFont val="Tahoma"/>
          </rPr>
          <t>2 Overheads Summary</t>
        </r>
      </text>
    </comment>
    <comment ref="B69" authorId="1" shapeId="0">
      <text>
        <r>
          <rPr>
            <sz val="8"/>
            <color indexed="81"/>
            <rFont val="Tahoma"/>
          </rPr>
          <t>2 Overheads Summary</t>
        </r>
      </text>
    </comment>
    <comment ref="B70" authorId="1" shapeId="0">
      <text>
        <r>
          <rPr>
            <sz val="8"/>
            <color indexed="81"/>
            <rFont val="Tahoma"/>
          </rPr>
          <t>2 Overheads Summary</t>
        </r>
      </text>
    </comment>
    <comment ref="B71" authorId="1" shapeId="0">
      <text>
        <r>
          <rPr>
            <sz val="8"/>
            <color indexed="81"/>
            <rFont val="Tahoma"/>
          </rPr>
          <t>2 Overheads Summary</t>
        </r>
      </text>
    </comment>
    <comment ref="B72" authorId="1" shapeId="0">
      <text>
        <r>
          <rPr>
            <sz val="8"/>
            <color indexed="81"/>
            <rFont val="Tahoma"/>
          </rPr>
          <t>2 Overheads Summary</t>
        </r>
      </text>
    </comment>
    <comment ref="B73" authorId="1" shapeId="0">
      <text>
        <r>
          <rPr>
            <sz val="8"/>
            <color indexed="81"/>
            <rFont val="Tahoma"/>
          </rPr>
          <t>2 Overheads Summary</t>
        </r>
      </text>
    </comment>
    <comment ref="B74" authorId="1" shapeId="0">
      <text>
        <r>
          <rPr>
            <sz val="8"/>
            <color indexed="81"/>
            <rFont val="Tahoma"/>
          </rPr>
          <t>2 Overheads Summary</t>
        </r>
      </text>
    </comment>
    <comment ref="B75" authorId="1" shapeId="0">
      <text>
        <r>
          <rPr>
            <sz val="8"/>
            <color indexed="81"/>
            <rFont val="Tahoma"/>
          </rPr>
          <t>2 Overheads Summary</t>
        </r>
      </text>
    </comment>
    <comment ref="B76" authorId="1" shapeId="0">
      <text>
        <r>
          <rPr>
            <sz val="8"/>
            <color indexed="81"/>
            <rFont val="Tahoma"/>
          </rPr>
          <t>2 Overheads Summary</t>
        </r>
      </text>
    </comment>
    <comment ref="B77" authorId="1" shapeId="0">
      <text>
        <r>
          <rPr>
            <sz val="8"/>
            <color indexed="81"/>
            <rFont val="Tahoma"/>
          </rPr>
          <t>2 Overheads Summary</t>
        </r>
      </text>
    </comment>
    <comment ref="B78" authorId="1" shapeId="0">
      <text>
        <r>
          <rPr>
            <sz val="8"/>
            <color indexed="81"/>
            <rFont val="Tahoma"/>
          </rPr>
          <t>2 Overheads Summary</t>
        </r>
      </text>
    </comment>
    <comment ref="B79" authorId="1" shapeId="0">
      <text>
        <r>
          <rPr>
            <sz val="8"/>
            <color indexed="81"/>
            <rFont val="Tahoma"/>
          </rPr>
          <t>2 Overheads Summary</t>
        </r>
      </text>
    </comment>
    <comment ref="B80" authorId="1" shapeId="0">
      <text>
        <r>
          <rPr>
            <sz val="8"/>
            <color indexed="81"/>
            <rFont val="Tahoma"/>
          </rPr>
          <t>2 Overheads Summary</t>
        </r>
      </text>
    </comment>
    <comment ref="B81" authorId="1" shapeId="0">
      <text>
        <r>
          <rPr>
            <sz val="8"/>
            <color indexed="81"/>
            <rFont val="Tahoma"/>
          </rPr>
          <t>2 Overheads Summary</t>
        </r>
      </text>
    </comment>
    <comment ref="B82" authorId="1" shapeId="0">
      <text>
        <r>
          <rPr>
            <sz val="8"/>
            <color indexed="81"/>
            <rFont val="Tahoma"/>
          </rPr>
          <t>2 Overheads Summary</t>
        </r>
      </text>
    </comment>
    <comment ref="B83" authorId="1" shapeId="0">
      <text>
        <r>
          <rPr>
            <sz val="8"/>
            <color indexed="81"/>
            <rFont val="Tahoma"/>
          </rPr>
          <t>2 Overheads Summary</t>
        </r>
      </text>
    </comment>
    <comment ref="B84" authorId="1" shapeId="0">
      <text>
        <r>
          <rPr>
            <sz val="8"/>
            <color indexed="81"/>
            <rFont val="Tahoma"/>
          </rPr>
          <t>2 Overheads Summary</t>
        </r>
      </text>
    </comment>
    <comment ref="B85" authorId="1" shapeId="0">
      <text>
        <r>
          <rPr>
            <sz val="8"/>
            <color indexed="81"/>
            <rFont val="Tahoma"/>
          </rPr>
          <t>2 Overheads Summary</t>
        </r>
      </text>
    </comment>
    <comment ref="B86" authorId="1" shapeId="0">
      <text>
        <r>
          <rPr>
            <sz val="8"/>
            <color indexed="81"/>
            <rFont val="Tahoma"/>
          </rPr>
          <t>2 Overheads Summary</t>
        </r>
      </text>
    </comment>
    <comment ref="B87" authorId="1" shapeId="0">
      <text>
        <r>
          <rPr>
            <sz val="8"/>
            <color indexed="81"/>
            <rFont val="Tahoma"/>
          </rPr>
          <t>2 Overheads Summary</t>
        </r>
      </text>
    </comment>
    <comment ref="B88" authorId="1" shapeId="0">
      <text>
        <r>
          <rPr>
            <sz val="8"/>
            <color indexed="81"/>
            <rFont val="Tahoma"/>
          </rPr>
          <t>2 Overheads Summary</t>
        </r>
      </text>
    </comment>
    <comment ref="B89" authorId="1" shapeId="0">
      <text>
        <r>
          <rPr>
            <sz val="8"/>
            <color indexed="81"/>
            <rFont val="Tahoma"/>
          </rPr>
          <t>2 Overheads Summary</t>
        </r>
      </text>
    </comment>
  </commentList>
</comments>
</file>

<file path=xl/comments2.xml><?xml version="1.0" encoding="utf-8"?>
<comments xmlns="http://schemas.openxmlformats.org/spreadsheetml/2006/main">
  <authors>
    <author>gmcmahon</author>
    <author>devans5</author>
  </authors>
  <commentList>
    <comment ref="B11"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RGP=adaytum_page_1
RGR=adaytum_row_1
RGC=adaytum_col_1
RGD=adaytum_data_2
VID=AD63C38F6EA562C0
CHK=261706706
</t>
        </r>
      </text>
    </comment>
    <comment ref="B12" authorId="1" shapeId="0">
      <text>
        <r>
          <rPr>
            <sz val="8"/>
            <color indexed="81"/>
            <rFont val="Tahoma"/>
          </rPr>
          <t>1 Currency Conversion</t>
        </r>
      </text>
    </comment>
    <comment ref="C12" authorId="1" shapeId="0">
      <text>
        <r>
          <rPr>
            <sz val="8"/>
            <color indexed="81"/>
            <rFont val="Tahoma"/>
          </rPr>
          <t>2 Ops/Proj Split</t>
        </r>
      </text>
    </comment>
    <comment ref="D12" authorId="1" shapeId="0">
      <text>
        <r>
          <rPr>
            <sz val="8"/>
            <color indexed="81"/>
            <rFont val="Tahoma"/>
          </rPr>
          <t>4 Months</t>
        </r>
      </text>
    </comment>
    <comment ref="E12" authorId="1" shapeId="0">
      <text>
        <r>
          <rPr>
            <sz val="8"/>
            <color indexed="81"/>
            <rFont val="Tahoma"/>
          </rPr>
          <t>5 Versions</t>
        </r>
      </text>
    </comment>
    <comment ref="C14" authorId="1" shapeId="0">
      <text>
        <r>
          <rPr>
            <sz val="8"/>
            <color indexed="81"/>
            <rFont val="Tahoma"/>
          </rPr>
          <t>Elist</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8" authorId="0" shapeId="0">
      <text>
        <r>
          <rPr>
            <sz val="8"/>
            <color indexed="81"/>
            <rFont val="Tahoma"/>
          </rPr>
          <t xml:space="preserve">Adaytum2
TYP=V
SVR=
LIB=Forecasting MRG
CBE=MRG Forecasting
FGD=Y
BGD=Y
FGL=Y
BGL=N
SUP=N
BBF=N
NTS=Y
VAL=Y
RHD=N
LCK=N
RFH=N
BBK=Y
OVF=N
IAB=N
BAZ=N
EAZ=N
P01=GA Forecasting
P02=Months+Qs
P03=Consolidated/Non Consolidated
R01=P&amp;L MRG Forecasting
C01=SAP CC in Subregions
RGP=adaytum_page_3
RGR=adaytum_row_3
RGC=adaytum_col_3
RGD=adaytum_data_3
VID=C861FA946EA562C0
CHK=937535825
</t>
        </r>
      </text>
    </comment>
    <comment ref="B29" authorId="1" shapeId="0">
      <text>
        <r>
          <rPr>
            <sz val="8"/>
            <color indexed="81"/>
            <rFont val="Tahoma"/>
          </rPr>
          <t>GA Forecasting</t>
        </r>
      </text>
    </comment>
    <comment ref="C29" authorId="1" shapeId="0">
      <text>
        <r>
          <rPr>
            <sz val="8"/>
            <color indexed="81"/>
            <rFont val="Tahoma"/>
          </rPr>
          <t>Months+Qs</t>
        </r>
      </text>
    </comment>
    <comment ref="D29" authorId="1" shapeId="0">
      <text>
        <r>
          <rPr>
            <sz val="8"/>
            <color indexed="81"/>
            <rFont val="Tahoma"/>
          </rPr>
          <t>Consolidated/Non Consolidated</t>
        </r>
      </text>
    </comment>
    <comment ref="C31" authorId="1" shapeId="0">
      <text>
        <r>
          <rPr>
            <sz val="8"/>
            <color indexed="81"/>
            <rFont val="Tahoma"/>
          </rPr>
          <t>SAP CC in Subregions</t>
        </r>
      </text>
    </comment>
    <comment ref="B33" authorId="1" shapeId="0">
      <text>
        <r>
          <rPr>
            <sz val="8"/>
            <color indexed="81"/>
            <rFont val="Tahoma"/>
          </rPr>
          <t>P&amp;L MRG Forecasting</t>
        </r>
      </text>
    </comment>
    <comment ref="B34" authorId="1" shapeId="0">
      <text>
        <r>
          <rPr>
            <sz val="8"/>
            <color indexed="81"/>
            <rFont val="Tahoma"/>
          </rPr>
          <t>P&amp;L MRG Forecasting</t>
        </r>
      </text>
    </comment>
    <comment ref="B35" authorId="1" shapeId="0">
      <text>
        <r>
          <rPr>
            <sz val="8"/>
            <color indexed="81"/>
            <rFont val="Tahoma"/>
          </rPr>
          <t>P&amp;L MRG Forecasting</t>
        </r>
      </text>
    </comment>
    <comment ref="B36" authorId="1" shapeId="0">
      <text>
        <r>
          <rPr>
            <sz val="8"/>
            <color indexed="81"/>
            <rFont val="Tahoma"/>
          </rPr>
          <t>P&amp;L MRG Forecasting</t>
        </r>
      </text>
    </comment>
    <comment ref="B37" authorId="1" shapeId="0">
      <text>
        <r>
          <rPr>
            <sz val="8"/>
            <color indexed="81"/>
            <rFont val="Tahoma"/>
          </rPr>
          <t>P&amp;L MRG Forecasting</t>
        </r>
      </text>
    </comment>
    <comment ref="B38" authorId="1" shapeId="0">
      <text>
        <r>
          <rPr>
            <sz val="8"/>
            <color indexed="81"/>
            <rFont val="Tahoma"/>
          </rPr>
          <t>P&amp;L MRG Forecasting</t>
        </r>
      </text>
    </comment>
    <comment ref="B39" authorId="1" shapeId="0">
      <text>
        <r>
          <rPr>
            <sz val="8"/>
            <color indexed="81"/>
            <rFont val="Tahoma"/>
          </rPr>
          <t>P&amp;L MRG Forecasting</t>
        </r>
      </text>
    </comment>
    <comment ref="B40" authorId="1" shapeId="0">
      <text>
        <r>
          <rPr>
            <sz val="8"/>
            <color indexed="81"/>
            <rFont val="Tahoma"/>
          </rPr>
          <t>P&amp;L MRG Forecasting</t>
        </r>
      </text>
    </comment>
    <comment ref="B41" authorId="1" shapeId="0">
      <text>
        <r>
          <rPr>
            <sz val="8"/>
            <color indexed="81"/>
            <rFont val="Tahoma"/>
          </rPr>
          <t>P&amp;L MRG Forecasting</t>
        </r>
      </text>
    </comment>
    <comment ref="B42" authorId="1" shapeId="0">
      <text>
        <r>
          <rPr>
            <sz val="8"/>
            <color indexed="81"/>
            <rFont val="Tahoma"/>
          </rPr>
          <t>P&amp;L MRG Forecasting</t>
        </r>
      </text>
    </comment>
  </commentList>
</comments>
</file>

<file path=xl/comments3.xml><?xml version="1.0" encoding="utf-8"?>
<comments xmlns="http://schemas.openxmlformats.org/spreadsheetml/2006/main">
  <authors>
    <author>gmcmahon</author>
    <author>devans5</author>
  </authors>
  <commentList>
    <comment ref="B11"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P03=Elist
P04=5 Versions
R01=2 Overheads Summary
C01=4 Months
RGP=adaytum_page_1
RGR=adaytum_row_1
RGC=adaytum_col_3
RGD=adaytum_data_3
VID=42806A7D6DA562C0
CHK=-2107851929
</t>
        </r>
      </text>
    </comment>
    <comment ref="B12" authorId="1" shapeId="0">
      <text>
        <r>
          <rPr>
            <sz val="8"/>
            <color indexed="81"/>
            <rFont val="Tahoma"/>
          </rPr>
          <t>1 Currency Conversion</t>
        </r>
      </text>
    </comment>
    <comment ref="C12" authorId="1" shapeId="0">
      <text>
        <r>
          <rPr>
            <sz val="8"/>
            <color indexed="81"/>
            <rFont val="Tahoma"/>
          </rPr>
          <t>2 Ops/Proj Split</t>
        </r>
      </text>
    </comment>
    <comment ref="D12" authorId="1" shapeId="0">
      <text>
        <r>
          <rPr>
            <sz val="8"/>
            <color indexed="81"/>
            <rFont val="Tahoma"/>
          </rPr>
          <t>Elist</t>
        </r>
      </text>
    </comment>
    <comment ref="E12" authorId="1" shapeId="0">
      <text>
        <r>
          <rPr>
            <sz val="8"/>
            <color indexed="81"/>
            <rFont val="Tahoma"/>
          </rPr>
          <t>5 Versions</t>
        </r>
      </text>
    </comment>
    <comment ref="C14" authorId="1" shapeId="0">
      <text>
        <r>
          <rPr>
            <sz val="8"/>
            <color indexed="81"/>
            <rFont val="Tahoma"/>
          </rPr>
          <t>4 Months</t>
        </r>
      </text>
    </comment>
    <comment ref="D14" authorId="1" shapeId="0">
      <text>
        <r>
          <rPr>
            <sz val="8"/>
            <color indexed="81"/>
            <rFont val="Tahoma"/>
          </rPr>
          <t>4 Months</t>
        </r>
      </text>
    </comment>
    <comment ref="E14" authorId="1" shapeId="0">
      <text>
        <r>
          <rPr>
            <sz val="8"/>
            <color indexed="81"/>
            <rFont val="Tahoma"/>
          </rPr>
          <t>4 Months</t>
        </r>
      </text>
    </comment>
    <comment ref="F14" authorId="1" shapeId="0">
      <text>
        <r>
          <rPr>
            <sz val="8"/>
            <color indexed="81"/>
            <rFont val="Tahoma"/>
          </rPr>
          <t>4 Months</t>
        </r>
      </text>
    </comment>
    <comment ref="G14" authorId="1" shapeId="0">
      <text>
        <r>
          <rPr>
            <sz val="8"/>
            <color indexed="81"/>
            <rFont val="Tahoma"/>
          </rPr>
          <t>4 Months</t>
        </r>
      </text>
    </comment>
    <comment ref="H14" authorId="1" shapeId="0">
      <text>
        <r>
          <rPr>
            <sz val="8"/>
            <color indexed="81"/>
            <rFont val="Tahoma"/>
          </rPr>
          <t>4 Months</t>
        </r>
      </text>
    </comment>
    <comment ref="I14" authorId="1" shapeId="0">
      <text>
        <r>
          <rPr>
            <sz val="8"/>
            <color indexed="81"/>
            <rFont val="Tahoma"/>
          </rPr>
          <t>4 Months</t>
        </r>
      </text>
    </comment>
    <comment ref="J14" authorId="1" shapeId="0">
      <text>
        <r>
          <rPr>
            <sz val="8"/>
            <color indexed="81"/>
            <rFont val="Tahoma"/>
          </rPr>
          <t>4 Months</t>
        </r>
      </text>
    </comment>
    <comment ref="K14" authorId="1" shapeId="0">
      <text>
        <r>
          <rPr>
            <sz val="8"/>
            <color indexed="81"/>
            <rFont val="Tahoma"/>
          </rPr>
          <t>4 Months</t>
        </r>
      </text>
    </comment>
    <comment ref="L14" authorId="1" shapeId="0">
      <text>
        <r>
          <rPr>
            <sz val="8"/>
            <color indexed="81"/>
            <rFont val="Tahoma"/>
          </rPr>
          <t>4 Months</t>
        </r>
      </text>
    </comment>
    <comment ref="M14" authorId="1" shapeId="0">
      <text>
        <r>
          <rPr>
            <sz val="8"/>
            <color indexed="81"/>
            <rFont val="Tahoma"/>
          </rPr>
          <t>4 Months</t>
        </r>
      </text>
    </comment>
    <comment ref="N14" authorId="1" shapeId="0">
      <text>
        <r>
          <rPr>
            <sz val="8"/>
            <color indexed="81"/>
            <rFont val="Tahoma"/>
          </rPr>
          <t>4 Months</t>
        </r>
      </text>
    </comment>
    <comment ref="O14" authorId="1" shapeId="0">
      <text>
        <r>
          <rPr>
            <sz val="8"/>
            <color indexed="81"/>
            <rFont val="Tahoma"/>
          </rPr>
          <t>4 Months</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7" authorId="0" shapeId="0">
      <text>
        <r>
          <rPr>
            <sz val="8"/>
            <color indexed="81"/>
            <rFont val="Tahoma"/>
          </rPr>
          <t xml:space="preserve">Adaytum2
TYP=V
SVR=
LIB=Forecasting MRG
CBE=MRG Forecasting
FGD=Y
BGD=Y
FGL=Y
BGL=N
SUP=N
BBF=N
NTS=Y
VAL=Y
RHD=N
LCK=N
RFH=N
BBK=Y
OVF=N
IAB=N
BAZ=N
EAZ=N
P01=GA Forecasting
P02=SAP CC in Subregions
P03=Consolidated/Non Consolidated
R01=P&amp;L MRG Forecasting
C01=Months+Qs
RGP=adaytum_page_2
RGR=adaytum_row_2
RGC=adaytum_col_2
RGD=adaytum_data_2
VID=EA831D766DA562C0
CHK=-454439051
</t>
        </r>
      </text>
    </comment>
    <comment ref="B28" authorId="1" shapeId="0">
      <text>
        <r>
          <rPr>
            <sz val="8"/>
            <color indexed="81"/>
            <rFont val="Tahoma"/>
          </rPr>
          <t>GA Forecasting</t>
        </r>
      </text>
    </comment>
    <comment ref="C28" authorId="1" shapeId="0">
      <text>
        <r>
          <rPr>
            <sz val="8"/>
            <color indexed="81"/>
            <rFont val="Tahoma"/>
          </rPr>
          <t>SAP CC in Subregions</t>
        </r>
      </text>
    </comment>
    <comment ref="D28" authorId="1" shapeId="0">
      <text>
        <r>
          <rPr>
            <sz val="8"/>
            <color indexed="81"/>
            <rFont val="Tahoma"/>
          </rPr>
          <t>Consolidated/Non Consolidated</t>
        </r>
      </text>
    </comment>
    <comment ref="C30" authorId="1" shapeId="0">
      <text>
        <r>
          <rPr>
            <sz val="8"/>
            <color indexed="81"/>
            <rFont val="Tahoma"/>
          </rPr>
          <t>Months+Qs</t>
        </r>
      </text>
    </comment>
    <comment ref="D30" authorId="1" shapeId="0">
      <text>
        <r>
          <rPr>
            <sz val="8"/>
            <color indexed="81"/>
            <rFont val="Tahoma"/>
          </rPr>
          <t>Months+Qs</t>
        </r>
      </text>
    </comment>
    <comment ref="E30" authorId="1" shapeId="0">
      <text>
        <r>
          <rPr>
            <sz val="8"/>
            <color indexed="81"/>
            <rFont val="Tahoma"/>
          </rPr>
          <t>Months+Qs</t>
        </r>
      </text>
    </comment>
    <comment ref="F30" authorId="1" shapeId="0">
      <text>
        <r>
          <rPr>
            <sz val="8"/>
            <color indexed="81"/>
            <rFont val="Tahoma"/>
          </rPr>
          <t>Months+Qs</t>
        </r>
      </text>
    </comment>
    <comment ref="G30" authorId="1" shapeId="0">
      <text>
        <r>
          <rPr>
            <sz val="8"/>
            <color indexed="81"/>
            <rFont val="Tahoma"/>
          </rPr>
          <t>Months+Qs</t>
        </r>
      </text>
    </comment>
    <comment ref="H30" authorId="1" shapeId="0">
      <text>
        <r>
          <rPr>
            <sz val="8"/>
            <color indexed="81"/>
            <rFont val="Tahoma"/>
          </rPr>
          <t>Months+Qs</t>
        </r>
      </text>
    </comment>
    <comment ref="I30" authorId="1" shapeId="0">
      <text>
        <r>
          <rPr>
            <sz val="8"/>
            <color indexed="81"/>
            <rFont val="Tahoma"/>
          </rPr>
          <t>Months+Qs</t>
        </r>
      </text>
    </comment>
    <comment ref="J30" authorId="1" shapeId="0">
      <text>
        <r>
          <rPr>
            <sz val="8"/>
            <color indexed="81"/>
            <rFont val="Tahoma"/>
          </rPr>
          <t>Months+Qs</t>
        </r>
      </text>
    </comment>
    <comment ref="K30" authorId="1" shapeId="0">
      <text>
        <r>
          <rPr>
            <sz val="8"/>
            <color indexed="81"/>
            <rFont val="Tahoma"/>
          </rPr>
          <t>Months+Qs</t>
        </r>
      </text>
    </comment>
    <comment ref="L30" authorId="1" shapeId="0">
      <text>
        <r>
          <rPr>
            <sz val="8"/>
            <color indexed="81"/>
            <rFont val="Tahoma"/>
          </rPr>
          <t>Months+Qs</t>
        </r>
      </text>
    </comment>
    <comment ref="M30" authorId="1" shapeId="0">
      <text>
        <r>
          <rPr>
            <sz val="8"/>
            <color indexed="81"/>
            <rFont val="Tahoma"/>
          </rPr>
          <t>Months+Qs</t>
        </r>
      </text>
    </comment>
    <comment ref="N30" authorId="1" shapeId="0">
      <text>
        <r>
          <rPr>
            <sz val="8"/>
            <color indexed="81"/>
            <rFont val="Tahoma"/>
          </rPr>
          <t>Months+Qs</t>
        </r>
      </text>
    </comment>
    <comment ref="O30" authorId="1" shapeId="0">
      <text>
        <r>
          <rPr>
            <sz val="8"/>
            <color indexed="81"/>
            <rFont val="Tahoma"/>
          </rPr>
          <t>Months+Qs</t>
        </r>
      </text>
    </comment>
    <comment ref="B31" authorId="1" shapeId="0">
      <text>
        <r>
          <rPr>
            <sz val="8"/>
            <color indexed="81"/>
            <rFont val="Tahoma"/>
          </rPr>
          <t>P&amp;L MRG Forecasting</t>
        </r>
      </text>
    </comment>
    <comment ref="B32" authorId="1" shapeId="0">
      <text>
        <r>
          <rPr>
            <sz val="8"/>
            <color indexed="81"/>
            <rFont val="Tahoma"/>
          </rPr>
          <t>P&amp;L MRG Forecasting</t>
        </r>
      </text>
    </comment>
    <comment ref="B33" authorId="1" shapeId="0">
      <text>
        <r>
          <rPr>
            <sz val="8"/>
            <color indexed="81"/>
            <rFont val="Tahoma"/>
          </rPr>
          <t>P&amp;L MRG Forecasting</t>
        </r>
      </text>
    </comment>
    <comment ref="B34" authorId="1" shapeId="0">
      <text>
        <r>
          <rPr>
            <sz val="8"/>
            <color indexed="81"/>
            <rFont val="Tahoma"/>
          </rPr>
          <t>P&amp;L MRG Forecasting</t>
        </r>
      </text>
    </comment>
    <comment ref="B35" authorId="1" shapeId="0">
      <text>
        <r>
          <rPr>
            <sz val="8"/>
            <color indexed="81"/>
            <rFont val="Tahoma"/>
          </rPr>
          <t>P&amp;L MRG Forecasting</t>
        </r>
      </text>
    </comment>
    <comment ref="B36" authorId="1" shapeId="0">
      <text>
        <r>
          <rPr>
            <sz val="8"/>
            <color indexed="81"/>
            <rFont val="Tahoma"/>
          </rPr>
          <t>P&amp;L MRG Forecasting</t>
        </r>
      </text>
    </comment>
    <comment ref="B37" authorId="1" shapeId="0">
      <text>
        <r>
          <rPr>
            <sz val="8"/>
            <color indexed="81"/>
            <rFont val="Tahoma"/>
          </rPr>
          <t>P&amp;L MRG Forecasting</t>
        </r>
      </text>
    </comment>
    <comment ref="B38" authorId="1" shapeId="0">
      <text>
        <r>
          <rPr>
            <sz val="8"/>
            <color indexed="81"/>
            <rFont val="Tahoma"/>
          </rPr>
          <t>P&amp;L MRG Forecasting</t>
        </r>
      </text>
    </comment>
    <comment ref="B39" authorId="1" shapeId="0">
      <text>
        <r>
          <rPr>
            <sz val="8"/>
            <color indexed="81"/>
            <rFont val="Tahoma"/>
          </rPr>
          <t>P&amp;L MRG Forecasting</t>
        </r>
      </text>
    </comment>
    <comment ref="B40" authorId="1" shapeId="0">
      <text>
        <r>
          <rPr>
            <sz val="8"/>
            <color indexed="81"/>
            <rFont val="Tahoma"/>
          </rPr>
          <t>P&amp;L MRG Forecasting</t>
        </r>
      </text>
    </comment>
    <comment ref="B43" authorId="0" shapeId="0">
      <text>
        <r>
          <rPr>
            <sz val="8"/>
            <color indexed="81"/>
            <rFont val="Tahoma"/>
          </rPr>
          <t xml:space="preserve">Adaytum2
TYP=V
SVR=
LIB=Forecasting MRG
CBE=MRG Forecasting
FGD=Y
BGD=Y
FGL=Y
BGL=N
SUP=N
BBF=N
NTS=Y
VAL=Y
RHD=N
LCK=N
RFH=N
BBK=Y
OVF=N
IAB=N
BAZ=N
EAZ=N
P01=GA Forecasting
P02=SAP CC in Subregions
P03=Consolidated/Non Consolidated
R01=P&amp;L MRG Forecasting
C01=Months+Qs
RGP=adaytum_page_3
RGR=adaytum_row_3
RGC=adaytum_col_1
RGD=adaytum_data_1
VID=9D3C307A6DA562C0
CHK=-971242894
</t>
        </r>
      </text>
    </comment>
    <comment ref="B44" authorId="1" shapeId="0">
      <text>
        <r>
          <rPr>
            <sz val="8"/>
            <color indexed="81"/>
            <rFont val="Tahoma"/>
          </rPr>
          <t>GA Forecasting</t>
        </r>
      </text>
    </comment>
    <comment ref="C44" authorId="1" shapeId="0">
      <text>
        <r>
          <rPr>
            <sz val="8"/>
            <color indexed="81"/>
            <rFont val="Tahoma"/>
          </rPr>
          <t>SAP CC in Subregions</t>
        </r>
      </text>
    </comment>
    <comment ref="D44" authorId="1" shapeId="0">
      <text>
        <r>
          <rPr>
            <sz val="8"/>
            <color indexed="81"/>
            <rFont val="Tahoma"/>
          </rPr>
          <t>Consolidated/Non Consolidated</t>
        </r>
      </text>
    </comment>
    <comment ref="C46" authorId="1" shapeId="0">
      <text>
        <r>
          <rPr>
            <sz val="8"/>
            <color indexed="81"/>
            <rFont val="Tahoma"/>
          </rPr>
          <t>Months+Qs</t>
        </r>
      </text>
    </comment>
    <comment ref="D46" authorId="1" shapeId="0">
      <text>
        <r>
          <rPr>
            <sz val="8"/>
            <color indexed="81"/>
            <rFont val="Tahoma"/>
          </rPr>
          <t>Months+Qs</t>
        </r>
      </text>
    </comment>
    <comment ref="E46" authorId="1" shapeId="0">
      <text>
        <r>
          <rPr>
            <sz val="8"/>
            <color indexed="81"/>
            <rFont val="Tahoma"/>
          </rPr>
          <t>Months+Qs</t>
        </r>
      </text>
    </comment>
    <comment ref="F46" authorId="1" shapeId="0">
      <text>
        <r>
          <rPr>
            <sz val="8"/>
            <color indexed="81"/>
            <rFont val="Tahoma"/>
          </rPr>
          <t>Months+Qs</t>
        </r>
      </text>
    </comment>
    <comment ref="G46" authorId="1" shapeId="0">
      <text>
        <r>
          <rPr>
            <sz val="8"/>
            <color indexed="81"/>
            <rFont val="Tahoma"/>
          </rPr>
          <t>Months+Qs</t>
        </r>
      </text>
    </comment>
    <comment ref="H46" authorId="1" shapeId="0">
      <text>
        <r>
          <rPr>
            <sz val="8"/>
            <color indexed="81"/>
            <rFont val="Tahoma"/>
          </rPr>
          <t>Months+Qs</t>
        </r>
      </text>
    </comment>
    <comment ref="I46" authorId="1" shapeId="0">
      <text>
        <r>
          <rPr>
            <sz val="8"/>
            <color indexed="81"/>
            <rFont val="Tahoma"/>
          </rPr>
          <t>Months+Qs</t>
        </r>
      </text>
    </comment>
    <comment ref="J46" authorId="1" shapeId="0">
      <text>
        <r>
          <rPr>
            <sz val="8"/>
            <color indexed="81"/>
            <rFont val="Tahoma"/>
          </rPr>
          <t>Months+Qs</t>
        </r>
      </text>
    </comment>
    <comment ref="K46" authorId="1" shapeId="0">
      <text>
        <r>
          <rPr>
            <sz val="8"/>
            <color indexed="81"/>
            <rFont val="Tahoma"/>
          </rPr>
          <t>Months+Qs</t>
        </r>
      </text>
    </comment>
    <comment ref="L46" authorId="1" shapeId="0">
      <text>
        <r>
          <rPr>
            <sz val="8"/>
            <color indexed="81"/>
            <rFont val="Tahoma"/>
          </rPr>
          <t>Months+Qs</t>
        </r>
      </text>
    </comment>
    <comment ref="M46" authorId="1" shapeId="0">
      <text>
        <r>
          <rPr>
            <sz val="8"/>
            <color indexed="81"/>
            <rFont val="Tahoma"/>
          </rPr>
          <t>Months+Qs</t>
        </r>
      </text>
    </comment>
    <comment ref="N46" authorId="1" shapeId="0">
      <text>
        <r>
          <rPr>
            <sz val="8"/>
            <color indexed="81"/>
            <rFont val="Tahoma"/>
          </rPr>
          <t>Months+Qs</t>
        </r>
      </text>
    </comment>
    <comment ref="O46" authorId="1" shapeId="0">
      <text>
        <r>
          <rPr>
            <sz val="8"/>
            <color indexed="81"/>
            <rFont val="Tahoma"/>
          </rPr>
          <t>Months+Qs</t>
        </r>
      </text>
    </comment>
    <comment ref="B47" authorId="1" shapeId="0">
      <text>
        <r>
          <rPr>
            <sz val="8"/>
            <color indexed="81"/>
            <rFont val="Tahoma"/>
          </rPr>
          <t>P&amp;L MRG Forecasting</t>
        </r>
      </text>
    </comment>
    <comment ref="B48" authorId="1" shapeId="0">
      <text>
        <r>
          <rPr>
            <sz val="8"/>
            <color indexed="81"/>
            <rFont val="Tahoma"/>
          </rPr>
          <t>P&amp;L MRG Forecasting</t>
        </r>
      </text>
    </comment>
    <comment ref="B49" authorId="1" shapeId="0">
      <text>
        <r>
          <rPr>
            <sz val="8"/>
            <color indexed="81"/>
            <rFont val="Tahoma"/>
          </rPr>
          <t>P&amp;L MRG Forecasting</t>
        </r>
      </text>
    </comment>
    <comment ref="B50" authorId="1" shapeId="0">
      <text>
        <r>
          <rPr>
            <sz val="8"/>
            <color indexed="81"/>
            <rFont val="Tahoma"/>
          </rPr>
          <t>P&amp;L MRG Forecasting</t>
        </r>
      </text>
    </comment>
    <comment ref="B51" authorId="1" shapeId="0">
      <text>
        <r>
          <rPr>
            <sz val="8"/>
            <color indexed="81"/>
            <rFont val="Tahoma"/>
          </rPr>
          <t>P&amp;L MRG Forecasting</t>
        </r>
      </text>
    </comment>
    <comment ref="B52" authorId="1" shapeId="0">
      <text>
        <r>
          <rPr>
            <sz val="8"/>
            <color indexed="81"/>
            <rFont val="Tahoma"/>
          </rPr>
          <t>P&amp;L MRG Forecasting</t>
        </r>
      </text>
    </comment>
    <comment ref="B53" authorId="1" shapeId="0">
      <text>
        <r>
          <rPr>
            <sz val="8"/>
            <color indexed="81"/>
            <rFont val="Tahoma"/>
          </rPr>
          <t>P&amp;L MRG Forecasting</t>
        </r>
      </text>
    </comment>
    <comment ref="B54" authorId="1" shapeId="0">
      <text>
        <r>
          <rPr>
            <sz val="8"/>
            <color indexed="81"/>
            <rFont val="Tahoma"/>
          </rPr>
          <t>P&amp;L MRG Forecasting</t>
        </r>
      </text>
    </comment>
    <comment ref="B55" authorId="1" shapeId="0">
      <text>
        <r>
          <rPr>
            <sz val="8"/>
            <color indexed="81"/>
            <rFont val="Tahoma"/>
          </rPr>
          <t>P&amp;L MRG Forecasting</t>
        </r>
      </text>
    </comment>
    <comment ref="B56" authorId="1" shapeId="0">
      <text>
        <r>
          <rPr>
            <sz val="8"/>
            <color indexed="81"/>
            <rFont val="Tahoma"/>
          </rPr>
          <t>P&amp;L MRG Forecasting</t>
        </r>
      </text>
    </comment>
  </commentList>
</comments>
</file>

<file path=xl/comments4.xml><?xml version="1.0" encoding="utf-8"?>
<comments xmlns="http://schemas.openxmlformats.org/spreadsheetml/2006/main">
  <authors>
    <author>gmcmahon</author>
    <author>devans5</author>
  </authors>
  <commentList>
    <comment ref="B12"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RGP=adaytum_page_3
RGR=adaytum_row_1
RGC=adaytum_col_1
RGD=adaytum_data_3
VID=C68DFFDB2CA362C0
CHK=685833680
</t>
        </r>
      </text>
    </comment>
    <comment ref="B13" authorId="1" shapeId="0">
      <text>
        <r>
          <rPr>
            <sz val="8"/>
            <color indexed="81"/>
            <rFont val="Tahoma"/>
          </rPr>
          <t>1 Currency Conversion</t>
        </r>
      </text>
    </comment>
    <comment ref="C13" authorId="1" shapeId="0">
      <text>
        <r>
          <rPr>
            <sz val="8"/>
            <color indexed="81"/>
            <rFont val="Tahoma"/>
          </rPr>
          <t>2 Ops/Proj Split</t>
        </r>
      </text>
    </comment>
    <comment ref="D13" authorId="1" shapeId="0">
      <text>
        <r>
          <rPr>
            <sz val="8"/>
            <color indexed="81"/>
            <rFont val="Tahoma"/>
          </rPr>
          <t>4 Months</t>
        </r>
      </text>
    </comment>
    <comment ref="E13" authorId="1" shapeId="0">
      <text>
        <r>
          <rPr>
            <sz val="8"/>
            <color indexed="81"/>
            <rFont val="Tahoma"/>
          </rPr>
          <t>5 Versions</t>
        </r>
      </text>
    </comment>
    <comment ref="C15" authorId="1" shapeId="0">
      <text>
        <r>
          <rPr>
            <sz val="8"/>
            <color indexed="81"/>
            <rFont val="Tahoma"/>
          </rPr>
          <t>Elist</t>
        </r>
      </text>
    </comment>
    <comment ref="B16" authorId="1" shapeId="0">
      <text>
        <r>
          <rPr>
            <sz val="8"/>
            <color indexed="81"/>
            <rFont val="Tahoma"/>
          </rPr>
          <t>2 Overheads Summary</t>
        </r>
      </text>
    </comment>
    <comment ref="B21" authorId="0" shapeId="0">
      <text>
        <r>
          <rPr>
            <sz val="8"/>
            <color indexed="81"/>
            <rFont val="Tahoma"/>
          </rPr>
          <t xml:space="preserve">Adaytum2
TYP=V
SVR=
LIB=Forecasting MRG
CBE=Headcount Month Actuals
FGD=N
BGD=N
FGL=N
BGL=N
SUP=N
BBF=N
NTS=Y
VAL=Y
RHD=N
LCK=N
RFH=N
BBK=Y
OVF=N
IAB=N
BAZ=N
EAZ=N
P01=Months
R01=Headcount Act/Bud
C01=SAP CC in Subregions
RGP=adaytum_page_1
RGR=adaytum_row_2
RGC=adaytum_col_2
RGD=adaytum_data_1
VID=7945129F2CA362C0
CHK=-746917683
</t>
        </r>
      </text>
    </comment>
    <comment ref="B22" authorId="1" shapeId="0">
      <text>
        <r>
          <rPr>
            <sz val="8"/>
            <color indexed="81"/>
            <rFont val="Tahoma"/>
          </rPr>
          <t>Months</t>
        </r>
      </text>
    </comment>
    <comment ref="C24" authorId="1" shapeId="0">
      <text>
        <r>
          <rPr>
            <sz val="8"/>
            <color indexed="81"/>
            <rFont val="Tahoma"/>
          </rPr>
          <t>SAP CC in Subregions</t>
        </r>
      </text>
    </comment>
    <comment ref="B25" authorId="1" shapeId="0">
      <text>
        <r>
          <rPr>
            <sz val="8"/>
            <color indexed="81"/>
            <rFont val="Tahoma"/>
          </rPr>
          <t>Headcount Act/Bud</t>
        </r>
      </text>
    </comment>
  </commentList>
</comments>
</file>

<file path=xl/sharedStrings.xml><?xml version="1.0" encoding="utf-8"?>
<sst xmlns="http://schemas.openxmlformats.org/spreadsheetml/2006/main" count="1177" uniqueCount="724">
  <si>
    <t>Adaytum</t>
  </si>
  <si>
    <t>Consolidated</t>
  </si>
  <si>
    <t xml:space="preserve"> Salaries &amp; Wages</t>
  </si>
  <si>
    <t>Travel &amp; Entertainment</t>
  </si>
  <si>
    <t xml:space="preserve"> Travel &amp; Entertainment</t>
  </si>
  <si>
    <t xml:space="preserve"> Office Expenses</t>
  </si>
  <si>
    <t xml:space="preserve"> Consultancy</t>
  </si>
  <si>
    <t xml:space="preserve"> Audit &amp; Legal</t>
  </si>
  <si>
    <t xml:space="preserve"> Occupancy Costs</t>
  </si>
  <si>
    <t xml:space="preserve"> General &amp; Admin</t>
  </si>
  <si>
    <t xml:space="preserve"> Communications</t>
  </si>
  <si>
    <t>Taxes Other Than Income</t>
  </si>
  <si>
    <t>TOTAL G&amp;A</t>
  </si>
  <si>
    <t>Apr</t>
  </si>
  <si>
    <t>May</t>
  </si>
  <si>
    <t>Jun</t>
  </si>
  <si>
    <t>Jul</t>
  </si>
  <si>
    <t>Aug</t>
  </si>
  <si>
    <t>Sep</t>
  </si>
  <si>
    <t>Oct</t>
  </si>
  <si>
    <t>Nov</t>
  </si>
  <si>
    <t>Dec</t>
  </si>
  <si>
    <t>Full year</t>
  </si>
  <si>
    <t>Variance</t>
  </si>
  <si>
    <t>Expenses</t>
  </si>
  <si>
    <t>IBIT</t>
  </si>
  <si>
    <t>Total Gross Margin</t>
  </si>
  <si>
    <t>Other Expenses</t>
  </si>
  <si>
    <t>TOTAL DIRECT COST</t>
  </si>
  <si>
    <t>INCOME BEFORE INTEREST &amp; TAX</t>
  </si>
  <si>
    <t>Headcount Variance</t>
  </si>
  <si>
    <t>Page</t>
  </si>
  <si>
    <t>Headcount</t>
  </si>
  <si>
    <t>Mar</t>
  </si>
  <si>
    <t>2002vs2001</t>
  </si>
  <si>
    <t>Plan</t>
  </si>
  <si>
    <t>2002 Plan</t>
  </si>
  <si>
    <t>Jan</t>
  </si>
  <si>
    <t>Feb</t>
  </si>
  <si>
    <t>Total</t>
  </si>
  <si>
    <t>Office Expense</t>
  </si>
  <si>
    <t>Consultancy</t>
  </si>
  <si>
    <t>Occupancy</t>
  </si>
  <si>
    <t>Total G&amp;A</t>
  </si>
  <si>
    <t>Communications</t>
  </si>
  <si>
    <t>Other</t>
  </si>
  <si>
    <t>2001 Budget Template - $US</t>
  </si>
  <si>
    <t>Comments</t>
  </si>
  <si>
    <t>Salaries &amp; Wages</t>
  </si>
  <si>
    <t>$</t>
  </si>
  <si>
    <t>Total Annual Salaries</t>
  </si>
  <si>
    <t>Average Cost Per Head</t>
  </si>
  <si>
    <t>Economy @</t>
  </si>
  <si>
    <t>Business @</t>
  </si>
  <si>
    <t>Total T&amp;E</t>
  </si>
  <si>
    <t>Total Office Expense</t>
  </si>
  <si>
    <t>Total Occupancy</t>
  </si>
  <si>
    <t>General &amp; Admin</t>
  </si>
  <si>
    <t>Total G&amp;A Excluding Salary Costs</t>
  </si>
  <si>
    <t>Total Costs</t>
  </si>
  <si>
    <t>Expense Detail</t>
  </si>
  <si>
    <t>Headcount Summary</t>
  </si>
  <si>
    <t>Headline</t>
  </si>
  <si>
    <t>*</t>
  </si>
  <si>
    <t>CONCLUSIONS</t>
  </si>
  <si>
    <t>Average Headcount ( 2001 = Year End)</t>
  </si>
  <si>
    <t>Opening Headcount Dec 2001</t>
  </si>
  <si>
    <t>December 2002</t>
  </si>
  <si>
    <t>% of Total Support</t>
  </si>
  <si>
    <t>Support Allocations</t>
  </si>
  <si>
    <t>Cost per Head</t>
  </si>
  <si>
    <t>Total Communication</t>
  </si>
  <si>
    <t>Value USD</t>
  </si>
  <si>
    <t>Total Cost</t>
  </si>
  <si>
    <t>Budget 2002</t>
  </si>
  <si>
    <t>Total Salaries &amp; Wages</t>
  </si>
  <si>
    <t>Total Travel and Entertainment</t>
  </si>
  <si>
    <t>Total Office Costs</t>
  </si>
  <si>
    <t>Total Consultancy Costs</t>
  </si>
  <si>
    <t>Total Legal &amp; Audit</t>
  </si>
  <si>
    <t>Total Other GA</t>
  </si>
  <si>
    <t>Communications Costs</t>
  </si>
  <si>
    <t>Forecast</t>
  </si>
  <si>
    <t>Total Consultancy</t>
  </si>
  <si>
    <t>Detailed Expenses by Cost Centre 2002 Plan vs 2001</t>
  </si>
  <si>
    <t>Region Detailed Expenses by Period</t>
  </si>
  <si>
    <t>$000's</t>
  </si>
  <si>
    <t>Total Employee Costs *</t>
  </si>
  <si>
    <t>* Total Employee Cost includes Salary &amp; Wages, Travel &amp; Entertainment and Office Expenses</t>
  </si>
  <si>
    <t>2001 Actual / CE2</t>
  </si>
  <si>
    <t>ADAYTUM</t>
  </si>
  <si>
    <t>2002 VS 2001</t>
  </si>
  <si>
    <t>HIGHLIGHTS</t>
  </si>
  <si>
    <t>Average</t>
  </si>
  <si>
    <t>Gross Margin</t>
  </si>
  <si>
    <t xml:space="preserve">  Allocations</t>
  </si>
  <si>
    <t>2001 Actual/CE2</t>
  </si>
  <si>
    <t>2000 Actual</t>
  </si>
  <si>
    <t>Building Maintenance</t>
  </si>
  <si>
    <t>Building Security</t>
  </si>
  <si>
    <t>Catering</t>
  </si>
  <si>
    <t>Cleaning</t>
  </si>
  <si>
    <t>Gym Mgmt Fees</t>
  </si>
  <si>
    <t>Health &amp; Safety</t>
  </si>
  <si>
    <t>Mail Room</t>
  </si>
  <si>
    <t>Moves &amp; Changes</t>
  </si>
  <si>
    <t>Leased Office Eqipment</t>
  </si>
  <si>
    <t>Storage</t>
  </si>
  <si>
    <t>Other Office Costs</t>
  </si>
  <si>
    <t>Directors Fees</t>
  </si>
  <si>
    <t>Outside Services - engineering</t>
  </si>
  <si>
    <t>Outside Services - IT</t>
  </si>
  <si>
    <t>Recruitment Fees</t>
  </si>
  <si>
    <t>Other Operational Costs</t>
  </si>
  <si>
    <t>Professional</t>
  </si>
  <si>
    <t>Professional - Regulatory Affairs</t>
  </si>
  <si>
    <t>Professional - Advertising</t>
  </si>
  <si>
    <t>Professional - Marketing</t>
  </si>
  <si>
    <t>Professional - Accounting</t>
  </si>
  <si>
    <t>Professional - Translation</t>
  </si>
  <si>
    <t>Professional - Other</t>
  </si>
  <si>
    <t>Enron Assurance Services</t>
  </si>
  <si>
    <t>Regulatory</t>
  </si>
  <si>
    <t>Company Secretariate</t>
  </si>
  <si>
    <t>Compliance</t>
  </si>
  <si>
    <t>Statutory Reporting</t>
  </si>
  <si>
    <t>Lease Rent Expense</t>
  </si>
  <si>
    <t>Sub Let Income</t>
  </si>
  <si>
    <t>Rates / Local Tax</t>
  </si>
  <si>
    <t>Utilities</t>
  </si>
  <si>
    <t>Service Charge</t>
  </si>
  <si>
    <t>Annual Subscriptions</t>
  </si>
  <si>
    <t>Publications</t>
  </si>
  <si>
    <t>Training</t>
  </si>
  <si>
    <t>Insurance</t>
  </si>
  <si>
    <t>Recruitment Advertising</t>
  </si>
  <si>
    <t>Other Advertising</t>
  </si>
  <si>
    <t>Other Business Expenses</t>
  </si>
  <si>
    <t>Hotel Costs</t>
  </si>
  <si>
    <t>Other Business Travel</t>
  </si>
  <si>
    <t>Entertainment &amp; Meals</t>
  </si>
  <si>
    <t>Client Entertainment</t>
  </si>
  <si>
    <t>Flights</t>
  </si>
  <si>
    <t>SALARY AND WAGES</t>
  </si>
  <si>
    <t>Salaries and Wages</t>
  </si>
  <si>
    <t>Employee Pension &amp; Benefits</t>
  </si>
  <si>
    <t>Payroll Tax - FICA</t>
  </si>
  <si>
    <t>Employee Expenses Other</t>
  </si>
  <si>
    <t>Temp costs</t>
  </si>
  <si>
    <t>Exgratia payments</t>
  </si>
  <si>
    <t>Completion bonus</t>
  </si>
  <si>
    <t>Stock options</t>
  </si>
  <si>
    <t>Expat costs</t>
  </si>
  <si>
    <t>TRAVEL &amp; ENTERTAINMENT</t>
  </si>
  <si>
    <t>Entertainment and Meals</t>
  </si>
  <si>
    <t>OFFICE EXPENSES</t>
  </si>
  <si>
    <t>Gym-Management Fees</t>
  </si>
  <si>
    <t>Moves and Changes</t>
  </si>
  <si>
    <t>Leased Office Eqpt</t>
  </si>
  <si>
    <t>CONSULTANCY</t>
  </si>
  <si>
    <t>Outside services - engineering</t>
  </si>
  <si>
    <t>Outside services - IT</t>
  </si>
  <si>
    <t>Other Operational costs</t>
  </si>
  <si>
    <t>OCCUPANCY EXPENSES</t>
  </si>
  <si>
    <t>Lease Rent Value</t>
  </si>
  <si>
    <t>Sub Let Income Value</t>
  </si>
  <si>
    <t>Rates/Local Tax</t>
  </si>
  <si>
    <t>LEGAL &amp; AUDIT</t>
  </si>
  <si>
    <t>OTHER G&amp;A</t>
  </si>
  <si>
    <t>Other Business Expenditure</t>
  </si>
  <si>
    <t>COMMUNICATIONS COSTS</t>
  </si>
  <si>
    <t>TAXES OTHER THAN INCOME</t>
  </si>
  <si>
    <t>Total Region</t>
  </si>
  <si>
    <t>Graph Data only - not to be included in pack</t>
  </si>
  <si>
    <t>Full Year</t>
  </si>
  <si>
    <t>Total Audit &amp; Legal</t>
  </si>
  <si>
    <t>Other Taxes &amp; Income</t>
  </si>
  <si>
    <t>First @</t>
  </si>
  <si>
    <t>( Refresh view for your relevant CC or Region )</t>
  </si>
  <si>
    <t>December 2001 Closing</t>
  </si>
  <si>
    <t>Additions/Subtractions</t>
  </si>
  <si>
    <t>December 2002 Closing</t>
  </si>
  <si>
    <t>COMMENTS</t>
  </si>
  <si>
    <t>YTD Run Rate</t>
  </si>
  <si>
    <t>YTD as of</t>
  </si>
  <si>
    <t>One-time</t>
  </si>
  <si>
    <t>Non-recurring</t>
  </si>
  <si>
    <t>Adjusted</t>
  </si>
  <si>
    <t>Run Rate</t>
  </si>
  <si>
    <t>$ in 000s</t>
  </si>
  <si>
    <t>Items [1]</t>
  </si>
  <si>
    <t>Projects [2]</t>
  </si>
  <si>
    <t>YTD</t>
  </si>
  <si>
    <t>Run Rate [3]</t>
  </si>
  <si>
    <t>2001 CE2</t>
  </si>
  <si>
    <t>vs 2001 CE2</t>
  </si>
  <si>
    <t>2001 Plan</t>
  </si>
  <si>
    <t>vs 2001 Plan</t>
  </si>
  <si>
    <t>[A]</t>
  </si>
  <si>
    <t>[B]</t>
  </si>
  <si>
    <t>[C]</t>
  </si>
  <si>
    <t>[D]=[A]-[B]-[C]</t>
  </si>
  <si>
    <t>[E]=[D]/[Mo#/12]</t>
  </si>
  <si>
    <t>[F]</t>
  </si>
  <si>
    <t>[G]</t>
  </si>
  <si>
    <t>[H]=[E]-[G]</t>
  </si>
  <si>
    <t>[I]</t>
  </si>
  <si>
    <t>[J]</t>
  </si>
  <si>
    <t>[K]=[E]-[J]</t>
  </si>
  <si>
    <t>Audit &amp; Legal Fees (tax, reg)</t>
  </si>
  <si>
    <t>Occupany Costs (rent &amp; utlities)</t>
  </si>
  <si>
    <t>Communciations</t>
  </si>
  <si>
    <t>Taxes Other Than Income Tax</t>
  </si>
  <si>
    <t>Total G&amp;A Expenses</t>
  </si>
  <si>
    <t>Depreciation &amp; Amortisation</t>
  </si>
  <si>
    <t>Total Direct Cost</t>
  </si>
  <si>
    <t>2001 Full Year</t>
  </si>
  <si>
    <t>Allocations</t>
  </si>
  <si>
    <t>Corporate Allocations</t>
  </si>
  <si>
    <t>Detailed Run Rate Analysis</t>
  </si>
  <si>
    <t>APPENDIX</t>
  </si>
  <si>
    <t>10% Target</t>
  </si>
  <si>
    <t>20% Target</t>
  </si>
  <si>
    <t>Actuals / CE2</t>
  </si>
  <si>
    <t>Baseline</t>
  </si>
  <si>
    <t>Cumulative</t>
  </si>
  <si>
    <t>Dec / YTD</t>
  </si>
  <si>
    <t>Other Office Costs / Stationery</t>
  </si>
  <si>
    <t>Europe - US</t>
  </si>
  <si>
    <t>Europe Asia</t>
  </si>
  <si>
    <t>US internal</t>
  </si>
  <si>
    <t>Europe - Internal</t>
  </si>
  <si>
    <t xml:space="preserve">    ( Refresh view for your relevant CC or Region )</t>
  </si>
  <si>
    <t xml:space="preserve"> Headcount</t>
  </si>
  <si>
    <t>EXPENSE DETAIL</t>
  </si>
  <si>
    <t>Comments:</t>
  </si>
  <si>
    <t>Actual Headcount</t>
  </si>
  <si>
    <t>Budget</t>
  </si>
  <si>
    <t xml:space="preserve">    ( Refresh 3 views for your relevant CC or Region )</t>
  </si>
  <si>
    <t>Baseline Budget</t>
  </si>
  <si>
    <t>20% Total Cost Reduction Target</t>
  </si>
  <si>
    <t>10% Total Cost Reduction Target</t>
  </si>
  <si>
    <t>Gross Margin (in £000's)</t>
  </si>
  <si>
    <t>Allocations ( in £000's)</t>
  </si>
  <si>
    <t>IBIT  ( 000's)</t>
  </si>
  <si>
    <t>2000 Actuals</t>
  </si>
  <si>
    <t xml:space="preserve"> Direct Costs</t>
  </si>
  <si>
    <t>2001 Actuals Adjustments</t>
  </si>
  <si>
    <t>Adjustments</t>
  </si>
  <si>
    <t>( - ve = credit)</t>
  </si>
  <si>
    <t>Adjust 2001</t>
  </si>
  <si>
    <t>Cost Summary</t>
  </si>
  <si>
    <t>Monthly Adjustment (000's)</t>
  </si>
  <si>
    <t>Trading</t>
  </si>
  <si>
    <t>Origination</t>
  </si>
  <si>
    <t>Starters</t>
  </si>
  <si>
    <t>Leavers</t>
  </si>
  <si>
    <t xml:space="preserve">Run Rate </t>
  </si>
  <si>
    <t>Hotel @</t>
  </si>
  <si>
    <t>Headcount Org Chart</t>
  </si>
  <si>
    <t>2001 Forecast</t>
  </si>
  <si>
    <t>P&amp;L Expense Analysis</t>
  </si>
  <si>
    <t>Enter all values as positive and absolute, except in 2001 adjustment boxes</t>
  </si>
  <si>
    <t>Do not select subtotal if you have more than one CC</t>
  </si>
  <si>
    <t>Cumulative $000's</t>
  </si>
  <si>
    <t>EEL European Govt Affairs</t>
  </si>
  <si>
    <t>Ce2</t>
  </si>
  <si>
    <t>reduction</t>
  </si>
  <si>
    <t>50% Total Cost Reduction Target</t>
  </si>
  <si>
    <t xml:space="preserve">Corp Allocations </t>
  </si>
  <si>
    <t xml:space="preserve">Annualised August Ytd run rate </t>
  </si>
  <si>
    <t xml:space="preserve"> August Ytd run rate </t>
  </si>
  <si>
    <t>50% Target</t>
  </si>
  <si>
    <t>Aug 2001</t>
  </si>
  <si>
    <t>2002 headcount budgeted for 10 (a reduction of 9)</t>
  </si>
  <si>
    <t>2001 Expat Rent / salaries and Tax totalled $303k</t>
  </si>
  <si>
    <t>In 2002 reduced headcount will mean reduced travel</t>
  </si>
  <si>
    <t xml:space="preserve">2001 includes $36k for Amsterdam office rental (6k per month) &amp; $60k Brussels ($8k per month) </t>
  </si>
  <si>
    <t>Expat Costs ($303k)</t>
  </si>
  <si>
    <t>Entertainment &amp; Meals ($9k)</t>
  </si>
  <si>
    <t>Recruitment Fees ($76k)</t>
  </si>
  <si>
    <t>Professional Costs ($9k)</t>
  </si>
  <si>
    <t>Amsterdam Office ($36k)</t>
  </si>
  <si>
    <t>Brussels Office ($60k)</t>
  </si>
  <si>
    <t>Other Utilites ($12k)</t>
  </si>
  <si>
    <t>Office Expenses</t>
  </si>
  <si>
    <t>Audit &amp; Legal (tax, reg)</t>
  </si>
  <si>
    <t>Occupancy Costs (rent &amp; utilities)</t>
  </si>
  <si>
    <t>Mobile Phones/Land Lines/Telerate</t>
  </si>
  <si>
    <t xml:space="preserve">Training ($35k) </t>
  </si>
  <si>
    <t>Land lines ($2.6k)</t>
  </si>
  <si>
    <t>Mobile Phones (24.2k)</t>
  </si>
  <si>
    <t>P.Hennemeyers German apartment ($8k)</t>
  </si>
  <si>
    <t>Description of Aug YTD costs</t>
  </si>
  <si>
    <t>Other salary and wages ($1,512)</t>
  </si>
  <si>
    <t>Misc Travel  ($230k)</t>
  </si>
  <si>
    <t>2002 has no expats and 2001 Expat tax to be paid in April 2002 will be accrued in 2001.</t>
  </si>
  <si>
    <t xml:space="preserve">2002 includes $1.5k for the Christmas party. </t>
  </si>
  <si>
    <t>Temp Accomodation ($8k)</t>
  </si>
  <si>
    <t>Office Expenses ($5k)</t>
  </si>
  <si>
    <t>2002 no planned recruitments</t>
  </si>
  <si>
    <t>2002 Several Subscriptions Cancelled</t>
  </si>
  <si>
    <t>(not been included -assume coverred by IT budget)</t>
  </si>
  <si>
    <t>Headcount Gov Affairs (UK)</t>
  </si>
  <si>
    <t>Headcount Gov Affairs (Continental)</t>
  </si>
  <si>
    <t>MD Gov Affairs</t>
  </si>
  <si>
    <t>Rick Shapiro</t>
  </si>
  <si>
    <t>Gov Affairs Environment</t>
  </si>
  <si>
    <t>Environmental Policy &amp; Compliance</t>
  </si>
  <si>
    <t>2001 Actual</t>
  </si>
  <si>
    <t>Annualised</t>
  </si>
  <si>
    <t>Susan Warthen</t>
  </si>
  <si>
    <t>Jeffery Keeler</t>
  </si>
  <si>
    <t>$'000</t>
  </si>
  <si>
    <t xml:space="preserve">Coordination of the  Enron annual corporate responsibility (Enron Europe requested 1000 copies for use in Europe); coordination of environmental and safety performance measures and reports for management; coordination of global Enron environmental and safety management standards; review of environmental impact assessments for projects in development; environmental due diligence, either performance or review of data/findings; coordination of responses to inquiries from international environmental non governmental organizations; participation in climate change fora including Congress of Parties international meetings; coordination of Enron global climate change position evolution; providing requested information regarding the structure of emission trading markets and greenhouse gas markets.  </t>
  </si>
  <si>
    <t>Description of EHS Charges for 2002</t>
  </si>
  <si>
    <t>Rick Shapiro has said he does not think this can be attributed solely to Reg Affairs</t>
  </si>
  <si>
    <t>" I think all of these cost allocations should be at the Enron Europe level as a company, rather than distributed to the RA group.</t>
  </si>
  <si>
    <t>Regarding the Environmental groups' allocations - these activities are on behalf of the business units' activities, not on behalf of RA. At least part of the activities are global in nature, and not even attributable to specific regions or countries within Europe".</t>
  </si>
  <si>
    <t>See below  for description. Rick Shapiro has said these should not be attributed sole to Reg Affairs.</t>
  </si>
  <si>
    <t>Mostly for Washington based assistance from Ricks team.</t>
  </si>
  <si>
    <t>CE2 included 25 people (3 new hires) and full year Expat costs for Schroeder of $620k</t>
  </si>
  <si>
    <t>% Variance</t>
  </si>
  <si>
    <t xml:space="preserve">BP Eon Case excluded prospectively </t>
  </si>
  <si>
    <t>2002 a planned major reduction in spending on Citigate and Mayer Brown and Platt</t>
  </si>
  <si>
    <t xml:space="preserve">2002 is a reflection of the reduced headcount. </t>
  </si>
  <si>
    <t xml:space="preserve">Major saving planned in all areas. Reflection of reduced headcount and increased focus on seeking commercial approval to commence and then charging commercial areas directly for Consultancy / Legal Spend.  New cost Authorisation limits and new policy are in place.    </t>
  </si>
  <si>
    <t>$6,932 2002 expenses relating to 2001 moved</t>
  </si>
  <si>
    <t>$389,514 moved to 2001</t>
  </si>
  <si>
    <t>Aug Ytd Annualised</t>
  </si>
  <si>
    <t>No expat cost in plan 2002</t>
  </si>
  <si>
    <t>2002 lower due to reduced headcount and no Mark Schroeder US flights</t>
  </si>
  <si>
    <t>2001 contained $75k of recruitment fees</t>
  </si>
  <si>
    <t>% of saving</t>
  </si>
  <si>
    <t xml:space="preserve">2001 included Mark Schroeder's salary until March and rent until July (his family stayed to finsih schooling) </t>
  </si>
  <si>
    <t>2001 average headcount of 21 reduced to 19 in July</t>
  </si>
  <si>
    <t xml:space="preserve">2001 included many flights to the US for Mark Schroeder. This will not occur in 2002 </t>
  </si>
  <si>
    <t>2002 Amsterdam office lease costs are budgeted for by Amsterdam Office support</t>
  </si>
  <si>
    <t>2002 Training reduced due to reduced headcount</t>
  </si>
  <si>
    <t>2002 Reduction in heads mean reduced phone costs</t>
  </si>
  <si>
    <t xml:space="preserve">2002 Brussels office will need a $45k data line. </t>
  </si>
  <si>
    <t>$100k increase in fee from Rick Shapiro's group.</t>
  </si>
  <si>
    <t>Whole amount is under review as to whether this is Reg Affairs or General cost and not specific to Reg Affairs</t>
  </si>
  <si>
    <t>Ave Headcount</t>
  </si>
  <si>
    <t xml:space="preserve">2002 sees reduced T&amp;E costs per person.  </t>
  </si>
  <si>
    <t xml:space="preserve">2001 CE2 had a large forecasted T&amp;E amount, in 2002 this is less </t>
  </si>
  <si>
    <t>2001 Salaries included expat costs.  2002 has no expat costs</t>
  </si>
  <si>
    <t>Annualised Aug YTD</t>
  </si>
  <si>
    <t>Continental</t>
  </si>
  <si>
    <t>Metals</t>
  </si>
  <si>
    <t>Scandinavia</t>
  </si>
  <si>
    <t>UK Power Trading</t>
  </si>
  <si>
    <t>UK Power Originations</t>
  </si>
  <si>
    <t>UK Gas Originations</t>
  </si>
  <si>
    <t>UK Finance Originations</t>
  </si>
  <si>
    <t>UK Financial Books</t>
  </si>
  <si>
    <t>Continental Gas Trading</t>
  </si>
  <si>
    <t>Teesside</t>
  </si>
  <si>
    <t>Watershed</t>
  </si>
  <si>
    <t>UK Total</t>
  </si>
  <si>
    <t>Continental Origination - Germany</t>
  </si>
  <si>
    <t>Continental Origination - Benelux/France</t>
  </si>
  <si>
    <t>Continental Origination - Italy</t>
  </si>
  <si>
    <t>Continental Origination - Poland/Russia</t>
  </si>
  <si>
    <t>Continental Origination - Czech/Slovak/Hungary</t>
  </si>
  <si>
    <t>Continental Origination - Turkey/Balkans</t>
  </si>
  <si>
    <t>Continental Origination - Switzerland/Austria</t>
  </si>
  <si>
    <t>Continental Origination - Spain</t>
  </si>
  <si>
    <t>Continental Origination - Arcos</t>
  </si>
  <si>
    <t>Continental Origination - Executive</t>
  </si>
  <si>
    <t>Continental Origination</t>
  </si>
  <si>
    <t>Bilateral Power Trading</t>
  </si>
  <si>
    <t>Pool Power Trading</t>
  </si>
  <si>
    <t>Enron Credit Executive</t>
  </si>
  <si>
    <t>Enron Credit Trading</t>
  </si>
  <si>
    <t>Enron Credit Syndication</t>
  </si>
  <si>
    <t>Enron Credit Quant</t>
  </si>
  <si>
    <t>Enron Credit Origination</t>
  </si>
  <si>
    <t>Enron Credit Pricing</t>
  </si>
  <si>
    <t>Enron Credit Marketing</t>
  </si>
  <si>
    <t>Enron Credit Product Development</t>
  </si>
  <si>
    <t>Enron Credit Structured Finance Group</t>
  </si>
  <si>
    <t>Enron Credit</t>
  </si>
  <si>
    <t>Metals Trading</t>
  </si>
  <si>
    <t>LME Execution</t>
  </si>
  <si>
    <t>Metals Marketing</t>
  </si>
  <si>
    <t>Henry Bath</t>
  </si>
  <si>
    <t>Recycling</t>
  </si>
  <si>
    <t>Middle East</t>
  </si>
  <si>
    <t>Finland</t>
  </si>
  <si>
    <t>Norway</t>
  </si>
  <si>
    <t>Sweden</t>
  </si>
  <si>
    <t>EnergyDesk</t>
  </si>
  <si>
    <t>Weather</t>
  </si>
  <si>
    <t>Japan</t>
  </si>
  <si>
    <t>Australia</t>
  </si>
  <si>
    <t>EnCom/E Power</t>
  </si>
  <si>
    <t>Non Region Specific</t>
  </si>
  <si>
    <t>TOTAL ENRON EUROPE</t>
  </si>
  <si>
    <t>Continental  Assets (Trakya, ENS, Sarlux, Gaza)</t>
  </si>
  <si>
    <t>EES Energy Services (EES Outsourcing)</t>
  </si>
  <si>
    <t>EES Enron Direct UK</t>
  </si>
  <si>
    <t>EES Enron Direct NL</t>
  </si>
  <si>
    <t>EES Enron Directo</t>
  </si>
  <si>
    <t>EES Torpy</t>
  </si>
  <si>
    <t>EES Erpag</t>
  </si>
  <si>
    <t>EES</t>
  </si>
  <si>
    <t>EBS</t>
  </si>
  <si>
    <t>EIM</t>
  </si>
  <si>
    <t>ENW</t>
  </si>
  <si>
    <t>EGM</t>
  </si>
  <si>
    <t>Enron Corp</t>
  </si>
  <si>
    <t>India</t>
  </si>
  <si>
    <t>Enron Principle Investments</t>
  </si>
  <si>
    <t>NEPCO</t>
  </si>
  <si>
    <t>ENA</t>
  </si>
  <si>
    <t>Enron Wind</t>
  </si>
  <si>
    <t>Total Non-Enron Europe</t>
  </si>
  <si>
    <t>Total All Regions</t>
  </si>
  <si>
    <t>TOTAL Continental</t>
  </si>
  <si>
    <t>Finance Origination</t>
  </si>
  <si>
    <t>Industrial Markets</t>
  </si>
  <si>
    <t>Executive (Non-Allocated)</t>
  </si>
  <si>
    <t>Remote Offices</t>
  </si>
  <si>
    <t>Global Markets</t>
  </si>
  <si>
    <t>Assumptions</t>
  </si>
  <si>
    <t>REG AFFAIRS</t>
  </si>
  <si>
    <t>Total estimated Staff time%</t>
  </si>
  <si>
    <t>Dawson, Paul</t>
  </si>
  <si>
    <t>Wood, Douglas</t>
  </si>
  <si>
    <t>Haizmann, Detlef</t>
  </si>
  <si>
    <t>Huertas-Rubio, Alfredo</t>
  </si>
  <si>
    <t>Elms, Nick</t>
  </si>
  <si>
    <t>Cooper, Adam</t>
  </si>
  <si>
    <t>Gaillard, Bruno</t>
  </si>
  <si>
    <t>Hussain, Mustafa</t>
  </si>
  <si>
    <t>Gonzalez, David</t>
  </si>
  <si>
    <t>Duvauchelle, Antoine</t>
  </si>
  <si>
    <t>Irwin, Kerryann</t>
  </si>
  <si>
    <t>Keenan, Amber</t>
  </si>
  <si>
    <t>Glen, Merle</t>
  </si>
  <si>
    <t>Styles, Peter</t>
  </si>
  <si>
    <t>Dindarova, Nailia</t>
  </si>
  <si>
    <t>Pamela Milano</t>
  </si>
  <si>
    <t>Hennemeyer, Paul</t>
  </si>
  <si>
    <t>Van Biert, Teun</t>
  </si>
  <si>
    <t>Deal-driven cost %</t>
  </si>
  <si>
    <t>total</t>
  </si>
  <si>
    <t>average</t>
  </si>
  <si>
    <t>exc PD, KI</t>
  </si>
  <si>
    <t>Enter as Percentage time</t>
  </si>
  <si>
    <t>add this to Paul D and Kerryanne (average of the rest)</t>
  </si>
  <si>
    <t>invoice date</t>
  </si>
  <si>
    <t>Grand Total</t>
  </si>
  <si>
    <t>2000 Invoice</t>
  </si>
  <si>
    <t>2001 Invoice</t>
  </si>
  <si>
    <t>Aug YTD</t>
  </si>
  <si>
    <t xml:space="preserve">12 months of 2001 Inv </t>
  </si>
  <si>
    <t>find out</t>
  </si>
  <si>
    <t>Authorised</t>
  </si>
  <si>
    <t>Deal Driven</t>
  </si>
  <si>
    <t>Citigate Westminster Ltd</t>
  </si>
  <si>
    <t>PD</t>
  </si>
  <si>
    <t xml:space="preserve">UK Lobbying and Political Strategy. </t>
  </si>
  <si>
    <t>PH</t>
  </si>
  <si>
    <t>Enron II Gas transport in Germany</t>
  </si>
  <si>
    <t>Mayer Brown &amp; Platt</t>
  </si>
  <si>
    <t>$160k Europe Energy Liberization project, $36k Veba-Viag merger, ($75k) Credit to come arranged by Paul H. Fixed to $10k pr month next year by Paul H</t>
  </si>
  <si>
    <t>Var</t>
  </si>
  <si>
    <t>4 recruitment fees, no planned hires 2002</t>
  </si>
  <si>
    <t>Edelman Public Relations Worldwide</t>
  </si>
  <si>
    <t>PS</t>
  </si>
  <si>
    <t>Enrons Media Outreach Programme, in 2002 PR to do liberization in Brussels</t>
  </si>
  <si>
    <t>Timothy Robert Ewing</t>
  </si>
  <si>
    <t>Consultant for France / Portugal issues.  Budget 2002 $30k + $60k Mariano Gentilini who uses 2/3 spend in Portugal</t>
  </si>
  <si>
    <t>Hanbury Manor</t>
  </si>
  <si>
    <t>Offsite- shown in T&amp;E in 2002</t>
  </si>
  <si>
    <t>Brattle Group, Ltd</t>
  </si>
  <si>
    <t>Economic consultant Advice (Italy / Spain etc)</t>
  </si>
  <si>
    <t>Glaser Public Affairs</t>
  </si>
  <si>
    <t>Netherlands Lobbying &amp; Political strategy</t>
  </si>
  <si>
    <t>Oxford Economic Research (Oxera)</t>
  </si>
  <si>
    <t>qtrly?</t>
  </si>
  <si>
    <t>Deiter Helm session, Regulation training &amp; regulation conference</t>
  </si>
  <si>
    <t>S.C. Littlechild</t>
  </si>
  <si>
    <t>General Advocay on European liberization. Loyaly information project</t>
  </si>
  <si>
    <t>MSI Trans-Action</t>
  </si>
  <si>
    <t>Translation fees German contracts to English</t>
  </si>
  <si>
    <t>PricewaterhouseCoopers</t>
  </si>
  <si>
    <t>tax ??????</t>
  </si>
  <si>
    <t>Tax advice for P.Styles/ N.Dindarova</t>
  </si>
  <si>
    <t>Hogan &amp; Hartson</t>
  </si>
  <si>
    <t>?????</t>
  </si>
  <si>
    <t>MS</t>
  </si>
  <si>
    <t>Gas Liberalization in Czech Rebublic</t>
  </si>
  <si>
    <t>Keith Middlemiss</t>
  </si>
  <si>
    <t>Political advice on German Liberization</t>
  </si>
  <si>
    <t>Uk Miscelaneous consultancy</t>
  </si>
  <si>
    <t>Transmission Access &amp; losses, shared with consortium</t>
  </si>
  <si>
    <t xml:space="preserve">Other </t>
  </si>
  <si>
    <t>% of saving on 2001</t>
  </si>
  <si>
    <t>LEGAL</t>
  </si>
  <si>
    <t>12 Months of 2001 Inv</t>
  </si>
  <si>
    <t xml:space="preserve">Slaughter &amp; May </t>
  </si>
  <si>
    <t>Rail case handled by Paul D</t>
  </si>
  <si>
    <t>Linklaters Oppenhoff &amp; Radler</t>
  </si>
  <si>
    <t>pull out bills</t>
  </si>
  <si>
    <t>Billing cycle irregular based on last 2 years average of $100,000 p.a. Largely driven by border access cases. Recent work on energy law</t>
  </si>
  <si>
    <t>Linklaters &amp; Alliance</t>
  </si>
  <si>
    <t>pull this out</t>
  </si>
  <si>
    <t>Lenz and Staehelin</t>
  </si>
  <si>
    <t>Kennedy Van Der Laan</t>
  </si>
  <si>
    <t xml:space="preserve">Spain /Dutch legal councel (L.Hancher) </t>
  </si>
  <si>
    <t>Wilmer Cutler &amp; Pickering</t>
  </si>
  <si>
    <t>Pull this out</t>
  </si>
  <si>
    <t>Spainish/Italian issues</t>
  </si>
  <si>
    <t>Leigh Hancher</t>
  </si>
  <si>
    <t>CMS Cameron McKenna Sp zoo</t>
  </si>
  <si>
    <t>DW</t>
  </si>
  <si>
    <t>Various Polish issues</t>
  </si>
  <si>
    <t>Schonherr Barfuss Torggler</t>
  </si>
  <si>
    <t>Austrian Counsel.</t>
  </si>
  <si>
    <t>SUBSCRIPTIONS</t>
  </si>
  <si>
    <t>Electricity Association Services</t>
  </si>
  <si>
    <t>Confederation Of British Industry</t>
  </si>
  <si>
    <t>London Business School</t>
  </si>
  <si>
    <t xml:space="preserve">Commitment by Schroeder for 2 years. </t>
  </si>
  <si>
    <t>British Management Data Foundation</t>
  </si>
  <si>
    <t>London First</t>
  </si>
  <si>
    <t>Regulatory Policy Institute</t>
  </si>
  <si>
    <t>ICC United Kingdom</t>
  </si>
  <si>
    <t>British Energy Association</t>
  </si>
  <si>
    <t>Fabian Society</t>
  </si>
  <si>
    <t>Dansk Energi</t>
  </si>
  <si>
    <t>British Institute Of Energy Economi</t>
  </si>
  <si>
    <t>Other / Misc</t>
  </si>
  <si>
    <t xml:space="preserve">Pull this out </t>
  </si>
  <si>
    <t>No major complaints or legal / regulatory proceedings</t>
  </si>
  <si>
    <t>11-13</t>
  </si>
  <si>
    <t>APPENDICES</t>
  </si>
  <si>
    <t>Down to 10 FTE</t>
  </si>
  <si>
    <t>Brussels office close</t>
  </si>
  <si>
    <t>Name</t>
  </si>
  <si>
    <t>Actual Full  Package</t>
  </si>
  <si>
    <t>location</t>
  </si>
  <si>
    <t>Regions</t>
  </si>
  <si>
    <t>status</t>
  </si>
  <si>
    <t>Grade</t>
  </si>
  <si>
    <t>Monthly average</t>
  </si>
  <si>
    <t>22 FTE (Jan HC)</t>
  </si>
  <si>
    <t>19 FTE (July HC)</t>
  </si>
  <si>
    <t>Scenario 1</t>
  </si>
  <si>
    <t>Scenario 2</t>
  </si>
  <si>
    <t>Scenario 3</t>
  </si>
  <si>
    <t>Scenario 4</t>
  </si>
  <si>
    <t>Scenario 5</t>
  </si>
  <si>
    <t>Enron House</t>
  </si>
  <si>
    <t>Support Director</t>
  </si>
  <si>
    <t>left June</t>
  </si>
  <si>
    <t>Left June</t>
  </si>
  <si>
    <t>Director</t>
  </si>
  <si>
    <t>Nick Elms</t>
  </si>
  <si>
    <t>Manager</t>
  </si>
  <si>
    <t>Adam Cooper</t>
  </si>
  <si>
    <t>Senior Specialist</t>
  </si>
  <si>
    <t>Mustafa Hussain</t>
  </si>
  <si>
    <t>Specialist</t>
  </si>
  <si>
    <t>Temp</t>
  </si>
  <si>
    <t>Assistant</t>
  </si>
  <si>
    <t>Brussels</t>
  </si>
  <si>
    <t>Vice President Support</t>
  </si>
  <si>
    <t>Entry Specialist</t>
  </si>
  <si>
    <t>Frankfurt</t>
  </si>
  <si>
    <t>left paid until Dec 2001</t>
  </si>
  <si>
    <t>Amsterdam</t>
  </si>
  <si>
    <t>Mabel Pigmanns</t>
  </si>
  <si>
    <t>Yearly</t>
  </si>
  <si>
    <t>Headcount (includes assistants)</t>
  </si>
  <si>
    <t>No. of Assistants in headcount</t>
  </si>
  <si>
    <t>Saving $ on midyear</t>
  </si>
  <si>
    <t>Saving % on midyear</t>
  </si>
  <si>
    <t>Saving $ on Now</t>
  </si>
  <si>
    <t>Saving % on Now</t>
  </si>
  <si>
    <t>Scenarios</t>
  </si>
  <si>
    <t>Actuals</t>
  </si>
  <si>
    <t xml:space="preserve">Budget S&amp;W / Actual Other G&amp;A </t>
  </si>
  <si>
    <t>2001 YTD grossed up (12 mths)</t>
  </si>
  <si>
    <t>Mid year run rate (22 FTE + No cost cuts)</t>
  </si>
  <si>
    <t>Mid year run rate (19 FTE + No cost cuts)</t>
  </si>
  <si>
    <t xml:space="preserve">SALARY &amp; WAGES </t>
  </si>
  <si>
    <t>As above</t>
  </si>
  <si>
    <t>no</t>
  </si>
  <si>
    <t>offsite</t>
  </si>
  <si>
    <t>Employee Entertainment &amp; Meals</t>
  </si>
  <si>
    <t>client ent</t>
  </si>
  <si>
    <t>Travel Costs &amp; Hotel Accommodation</t>
  </si>
  <si>
    <t>emp ent</t>
  </si>
  <si>
    <t>us hotels</t>
  </si>
  <si>
    <t xml:space="preserve">same </t>
  </si>
  <si>
    <t>see below</t>
  </si>
  <si>
    <t>Us flights</t>
  </si>
  <si>
    <t>uk flights</t>
  </si>
  <si>
    <t>Computer Maintenance Contracts</t>
  </si>
  <si>
    <t>Computer Software and Licences</t>
  </si>
  <si>
    <t>Computer Hardware &lt; 500</t>
  </si>
  <si>
    <t>Office Postage &amp; Couriers</t>
  </si>
  <si>
    <t>Stationery &amp; Printing</t>
  </si>
  <si>
    <t>Kitchen Supplies</t>
  </si>
  <si>
    <t>Office/Plant Maintenance</t>
  </si>
  <si>
    <t>Office Cleaning</t>
  </si>
  <si>
    <t>Security Costs</t>
  </si>
  <si>
    <t>Rent Expense -Personal Property</t>
  </si>
  <si>
    <t>Stationary &amp; Printing</t>
  </si>
  <si>
    <t>uk hotels</t>
  </si>
  <si>
    <t>Outside Consultancy Services - Tax</t>
  </si>
  <si>
    <t>Outside Consulting - Advert, Marketing, Reg Affair</t>
  </si>
  <si>
    <t>Outside Consultancy Services - IT</t>
  </si>
  <si>
    <t>Outside Consultancy Services - Engineering</t>
  </si>
  <si>
    <t>Employee Recruitment Fees and Incentive Payments</t>
  </si>
  <si>
    <t>Other Outside Services</t>
  </si>
  <si>
    <t xml:space="preserve">see Consultancy page </t>
  </si>
  <si>
    <t>Outside Consultancy Services - Audit</t>
  </si>
  <si>
    <t>Outside Consultancy Services - Accounting</t>
  </si>
  <si>
    <t>Outside Consultancy Services - Legal</t>
  </si>
  <si>
    <t>AUDIT &amp; LEGAL</t>
  </si>
  <si>
    <t>see Legal page</t>
  </si>
  <si>
    <t>Office Utilities and Council Rates</t>
  </si>
  <si>
    <t>Office Rental Costs (Not Personal Rental)</t>
  </si>
  <si>
    <t>OCCUPANCY COSTS</t>
  </si>
  <si>
    <t xml:space="preserve">Brussels Rent, excl Amsterdam rent </t>
  </si>
  <si>
    <t>Employee Club Membership</t>
  </si>
  <si>
    <t>Professional Subscriptions &amp; Memberships</t>
  </si>
  <si>
    <t>Books, Publications &amp; Data Services</t>
  </si>
  <si>
    <t>Conferences</t>
  </si>
  <si>
    <t>Training Courses</t>
  </si>
  <si>
    <t>Advertising</t>
  </si>
  <si>
    <t>GENERAL &amp; ADMIN</t>
  </si>
  <si>
    <t>see Subs page + $20k training</t>
  </si>
  <si>
    <t>Office Phones &amp; Faxes</t>
  </si>
  <si>
    <t>Office Mobile Phones</t>
  </si>
  <si>
    <t>TELECOMMUNICATIONS</t>
  </si>
  <si>
    <t>$2k per phone</t>
  </si>
  <si>
    <t>.........</t>
  </si>
  <si>
    <t>Travel &amp; Entertainment Calc.</t>
  </si>
  <si>
    <t>No. of flights/stays</t>
  </si>
  <si>
    <t>Savings</t>
  </si>
  <si>
    <t>Offsite</t>
  </si>
  <si>
    <t>Saving on 22 FTE</t>
  </si>
  <si>
    <t>Client ent</t>
  </si>
  <si>
    <t>Saving % of 22 FTE</t>
  </si>
  <si>
    <t>Emp ent</t>
  </si>
  <si>
    <t>Saving on 19 FTE</t>
  </si>
  <si>
    <t>US hotels  (5 nights per trip)</t>
  </si>
  <si>
    <t>Saving % of 19 FTE</t>
  </si>
  <si>
    <t>US flights (5 trips)</t>
  </si>
  <si>
    <t>UK flights  (5 people x 45 weeks)</t>
  </si>
  <si>
    <t>UK hotels (2 nights per trip)</t>
  </si>
  <si>
    <t>ORG CHART</t>
  </si>
  <si>
    <t>Paul To supply Org chart with current headcount of 19</t>
  </si>
  <si>
    <t xml:space="preserve">Cost centre </t>
  </si>
  <si>
    <t>Head</t>
  </si>
  <si>
    <t>$ in 000's</t>
  </si>
  <si>
    <t>UK Gas Trading</t>
  </si>
  <si>
    <t>Planned Cost Reductions</t>
  </si>
  <si>
    <t xml:space="preserve">All Consultancy/ Legal invoices to be approved by Paul Dawson. </t>
  </si>
  <si>
    <t>Extra Cost Reductions</t>
  </si>
  <si>
    <t>Close Brussels office? Save $100k per year in office rental and $45k in Data line for office (Budgeted by IT)</t>
  </si>
  <si>
    <t xml:space="preserve">For relevant items seek Commercial aprroval before commencing Consultancy/Legal work and code the cost directly to those areas. </t>
  </si>
  <si>
    <t>Additional aims going forward</t>
  </si>
  <si>
    <t>Client Entertainment ($18k)</t>
  </si>
  <si>
    <t>$25,000 is for EFET - Deutschland  &amp; $20,000 is for Misc one off items</t>
  </si>
  <si>
    <t>Annual Subscriptions ($117k) not Annualised</t>
  </si>
  <si>
    <t>Base line</t>
  </si>
  <si>
    <t>2002 Reflection of reduced headcount.</t>
  </si>
  <si>
    <t>Planned reduction</t>
  </si>
  <si>
    <t>Reduced training and Subscriptions</t>
  </si>
  <si>
    <t xml:space="preserve">Limit travel to 1 trip for each of the 5 main travellers in the group. </t>
  </si>
  <si>
    <t xml:space="preserve">New policy for Authorisation.  Paul Dawson raised to sign off level of VP , P.Styles sign off reduced to Senior Director level.    </t>
  </si>
  <si>
    <t>Corp. Allocations</t>
  </si>
  <si>
    <t>Residual</t>
  </si>
  <si>
    <t>EEL Employee's</t>
  </si>
  <si>
    <t>Non - EEL Employee's</t>
  </si>
  <si>
    <t>Aug YTD Annualised</t>
  </si>
  <si>
    <t>A 2002 Travel policy for Reg Affairs is to be introduced by Paul</t>
  </si>
  <si>
    <t xml:space="preserve">EEL </t>
  </si>
  <si>
    <t>NON EEL</t>
  </si>
  <si>
    <t>2001 Allocations</t>
  </si>
  <si>
    <t>2002 Allocations</t>
  </si>
  <si>
    <t>has been prorated on the other 16 peoples time</t>
  </si>
  <si>
    <t xml:space="preserve">-55% of Paul Dawsons and Kerryann Irwins </t>
  </si>
  <si>
    <t>-Mabel Pigmanns is excluded (part time)</t>
  </si>
  <si>
    <t>-using current headcount</t>
  </si>
  <si>
    <t>2 nights stay per trip</t>
  </si>
  <si>
    <t>5 travellers in the group having one trip each per week by 45 weeks.</t>
  </si>
  <si>
    <t>Possible trips. All have been budgeted at Economy level</t>
  </si>
  <si>
    <t>5 nights per trip</t>
  </si>
  <si>
    <t>Brussels office rental ( $8,000 per month including services)</t>
  </si>
  <si>
    <t>Average of $2,000 per person for mobile and land lines</t>
  </si>
  <si>
    <t>Reduction on 2001 spend (less people who will not require any of standard starters training courses)</t>
  </si>
  <si>
    <t>Christmas party &amp; Adhoc stationary</t>
  </si>
  <si>
    <t>2001 actual / CE2</t>
  </si>
  <si>
    <t>6</t>
  </si>
  <si>
    <t>7-8</t>
  </si>
  <si>
    <t>Summary / Scenario page</t>
  </si>
  <si>
    <t>Consultancy / Legal &amp; Subscriptions Summary</t>
  </si>
  <si>
    <t>-Doug Woods Time estimated</t>
  </si>
  <si>
    <t>Note : These are to be reviewed and discussed in the meeting</t>
  </si>
  <si>
    <t>2002 Brussels rental increased &amp; Amsterdam removed ( budgeted by Amsterdam office support)</t>
  </si>
  <si>
    <t>(P.Hennemeyer needs to make regular travel to Germany &amp; P.Styles is based in Brussels)</t>
  </si>
  <si>
    <t>See Consultancy /Legal &amp; Subscriptions summary (page 4)</t>
  </si>
  <si>
    <t xml:space="preserve">Note : See the following two pages for a summary /scenario sumary (page 3) and a Consultancy / Legal &amp; Subscriptions summary (page 4) </t>
  </si>
  <si>
    <t>Government Affairs - Paul Dawson</t>
  </si>
  <si>
    <t>Reduce Headcount to 10 from 19 people (September 30). CE2 had budgeted to go from 22 people to 25 at year end.</t>
  </si>
  <si>
    <t>3 headcount have recently left, these are not to be replaced.</t>
  </si>
  <si>
    <t>Outside Services ($755k)</t>
  </si>
  <si>
    <t>General Legal advice  ($255k)</t>
  </si>
  <si>
    <t>Davies, Philip (LEFT)</t>
  </si>
  <si>
    <t>Florio, Viviana (LEFT)</t>
  </si>
  <si>
    <t>Brendan Devlin (LEFT)</t>
  </si>
  <si>
    <t>Total EEL</t>
  </si>
  <si>
    <t>Total Non EEL</t>
  </si>
  <si>
    <t>Note : To be discussed in meeting</t>
  </si>
  <si>
    <t xml:space="preserve">Total Group </t>
  </si>
  <si>
    <t>Total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</si>
</sst>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3">
    <numFmt numFmtId="169" formatCode="_-* #,##0_-;\-* #,##0_-;_-* &quot;-&quot;_-;_-@_-"/>
    <numFmt numFmtId="171" formatCode="_-* #,##0.00_-;\-* #,##0.00_-;_-* &quot;-&quot;??_-;_-@_-"/>
    <numFmt numFmtId="172" formatCode="#,##0.00;[Red]\(#,##0.00\);\-"/>
    <numFmt numFmtId="173" formatCode="_-* #,##0_-;\-* #,##0_-;_-* &quot;-&quot;??_-;_-@_-"/>
    <numFmt numFmtId="174" formatCode="#,##0;[Red]\(#,##0\)"/>
    <numFmt numFmtId="175" formatCode="#,##0;[Red]\(#,##0\);\-"/>
    <numFmt numFmtId="176" formatCode="\$#,##0.00;[Red]\$\(#,##0.00\);\-"/>
    <numFmt numFmtId="177" formatCode="mmmm\ yyyy"/>
    <numFmt numFmtId="178" formatCode="#,##0.0_);[Red]\(#,##0.0\)"/>
    <numFmt numFmtId="179" formatCode="#,##0.000_);[Red]\(#,##0.000\)"/>
    <numFmt numFmtId="180" formatCode="#,##0.0000_);[Red]\(#,##0.0000\)"/>
    <numFmt numFmtId="181" formatCode="_(#,##0_);\(#,##0\);&quot;-    &quot;"/>
    <numFmt numFmtId="182" formatCode="ddd"/>
    <numFmt numFmtId="183" formatCode="[$$-409]#,##0"/>
    <numFmt numFmtId="184" formatCode="#,##0\ ;[Red]\(#,##0\)"/>
    <numFmt numFmtId="185" formatCode="#,##0.00000000_);[Red]\(#,##0.00000000\)"/>
    <numFmt numFmtId="186" formatCode="0.0000%"/>
    <numFmt numFmtId="187" formatCode="yyyy\-mmm\-dd"/>
    <numFmt numFmtId="188" formatCode="yyyy\-mmm"/>
    <numFmt numFmtId="189" formatCode="yy\-mm\-dd"/>
    <numFmt numFmtId="190" formatCode="yyyy"/>
    <numFmt numFmtId="191" formatCode="0.0%\ ;[Red]\(0.0%\)"/>
    <numFmt numFmtId="192" formatCode="0.00%\ ;[Red]\(0.00%\)"/>
    <numFmt numFmtId="193" formatCode="0.0000%\ ;[Red]\(0.0000%\)"/>
    <numFmt numFmtId="194" formatCode="#,##0.0000"/>
    <numFmt numFmtId="195" formatCode="#,##0_);\(#,##0\);\-"/>
    <numFmt numFmtId="196" formatCode="#,##0.0_);[Red]\(#,##0.0\);\-"/>
    <numFmt numFmtId="197" formatCode="#,##0_);[Red]\(#,##0\);"/>
    <numFmt numFmtId="198" formatCode="mmm\-dd"/>
    <numFmt numFmtId="199" formatCode="0000"/>
    <numFmt numFmtId="200" formatCode="0_ ;\-0\ "/>
    <numFmt numFmtId="203" formatCode="0.000"/>
    <numFmt numFmtId="208" formatCode="0.0%"/>
  </numFmts>
  <fonts count="77">
    <font>
      <sz val="10"/>
      <name val="Arial"/>
    </font>
    <font>
      <sz val="10"/>
      <name val="Arial"/>
    </font>
    <font>
      <sz val="8"/>
      <color indexed="81"/>
      <name val="Tahoma"/>
    </font>
    <font>
      <b/>
      <sz val="10"/>
      <name val="Arial"/>
      <family val="2"/>
    </font>
    <font>
      <b/>
      <sz val="10"/>
      <color indexed="10"/>
      <name val="Arial"/>
      <family val="2"/>
    </font>
    <font>
      <sz val="10"/>
      <color indexed="12"/>
      <name val="Arial"/>
      <family val="2"/>
    </font>
    <font>
      <sz val="10"/>
      <color indexed="8"/>
      <name val="Arial"/>
      <family val="2"/>
    </font>
    <font>
      <b/>
      <sz val="10"/>
      <color indexed="8"/>
      <name val="Arial"/>
      <family val="2"/>
    </font>
    <font>
      <b/>
      <sz val="10"/>
      <color indexed="12"/>
      <name val="Arial"/>
      <family val="2"/>
    </font>
    <font>
      <sz val="10"/>
      <name val="Arial"/>
      <family val="2"/>
    </font>
    <font>
      <sz val="16"/>
      <name val="Arial"/>
      <family val="2"/>
    </font>
    <font>
      <b/>
      <sz val="16"/>
      <name val="Arial"/>
      <family val="2"/>
    </font>
    <font>
      <b/>
      <sz val="11"/>
      <name val="Arial"/>
      <family val="2"/>
    </font>
    <font>
      <b/>
      <sz val="11"/>
      <color indexed="8"/>
      <name val="Arial"/>
      <family val="2"/>
    </font>
    <font>
      <sz val="11"/>
      <color indexed="8"/>
      <name val="Arial"/>
      <family val="2"/>
    </font>
    <font>
      <b/>
      <sz val="10"/>
      <color indexed="41"/>
      <name val="Arial"/>
      <family val="2"/>
    </font>
    <font>
      <b/>
      <sz val="48"/>
      <name val="Times New Roman"/>
      <family val="1"/>
    </font>
    <font>
      <b/>
      <sz val="18"/>
      <name val="Times New Roman"/>
      <family val="1"/>
    </font>
    <font>
      <b/>
      <sz val="14"/>
      <name val="Times New Roman"/>
      <family val="1"/>
    </font>
    <font>
      <sz val="14"/>
      <name val="Times New Roman"/>
      <family val="1"/>
    </font>
    <font>
      <b/>
      <sz val="13"/>
      <name val="Times New Roman"/>
      <family val="1"/>
    </font>
    <font>
      <sz val="13"/>
      <name val="Times New Roman"/>
      <family val="1"/>
    </font>
    <font>
      <sz val="13"/>
      <name val="Arial"/>
    </font>
    <font>
      <b/>
      <sz val="16"/>
      <name val="Times New Roman"/>
      <family val="1"/>
    </font>
    <font>
      <sz val="16"/>
      <name val="Times New Roman"/>
      <family val="1"/>
    </font>
    <font>
      <b/>
      <sz val="10"/>
      <name val="Times New Roman"/>
      <family val="1"/>
    </font>
    <font>
      <sz val="10"/>
      <name val="Times New Roman"/>
      <family val="1"/>
    </font>
    <font>
      <b/>
      <sz val="10"/>
      <color indexed="8"/>
      <name val="Times New Roman"/>
      <family val="1"/>
    </font>
    <font>
      <sz val="12"/>
      <name val="Times New Roman"/>
      <family val="1"/>
    </font>
    <font>
      <sz val="10"/>
      <name val="Times New Roman"/>
    </font>
    <font>
      <sz val="10"/>
      <name val="CG Times (WN)"/>
    </font>
    <font>
      <sz val="10"/>
      <color indexed="14"/>
      <name val="Times New Roman"/>
      <family val="1"/>
    </font>
    <font>
      <i/>
      <sz val="9"/>
      <name val="Times New Roman"/>
      <family val="1"/>
    </font>
    <font>
      <sz val="10"/>
      <color indexed="12"/>
      <name val="Times New Roman"/>
      <family val="1"/>
    </font>
    <font>
      <i/>
      <sz val="10"/>
      <color indexed="39"/>
      <name val="Times New Roman"/>
      <family val="1"/>
    </font>
    <font>
      <sz val="10"/>
      <name val="Helv"/>
    </font>
    <font>
      <sz val="10"/>
      <color indexed="10"/>
      <name val="Times New Roman"/>
      <family val="1"/>
    </font>
    <font>
      <i/>
      <sz val="9"/>
      <color indexed="50"/>
      <name val="Times New Roman"/>
      <family val="1"/>
    </font>
    <font>
      <sz val="10"/>
      <color indexed="23"/>
      <name val="Times New Roman"/>
      <family val="1"/>
    </font>
    <font>
      <b/>
      <sz val="10"/>
      <color indexed="10"/>
      <name val="Times New Roman"/>
      <family val="1"/>
    </font>
    <font>
      <b/>
      <sz val="14"/>
      <color indexed="41"/>
      <name val="Arial"/>
      <family val="2"/>
    </font>
    <font>
      <b/>
      <sz val="14"/>
      <color indexed="16"/>
      <name val="Arial"/>
      <family val="2"/>
    </font>
    <font>
      <b/>
      <sz val="10"/>
      <color indexed="18"/>
      <name val="Arial"/>
      <family val="2"/>
    </font>
    <font>
      <b/>
      <sz val="11"/>
      <color indexed="18"/>
      <name val="Arial"/>
      <family val="2"/>
    </font>
    <font>
      <b/>
      <sz val="11"/>
      <color indexed="41"/>
      <name val="Arial"/>
      <family val="2"/>
    </font>
    <font>
      <sz val="10"/>
      <color indexed="41"/>
      <name val="Arial"/>
      <family val="2"/>
    </font>
    <font>
      <b/>
      <i/>
      <sz val="11"/>
      <color indexed="18"/>
      <name val="Arial"/>
      <family val="2"/>
    </font>
    <font>
      <sz val="10"/>
      <color indexed="18"/>
      <name val="Arial"/>
      <family val="2"/>
    </font>
    <font>
      <b/>
      <u/>
      <sz val="12"/>
      <name val="Arial"/>
      <family val="2"/>
    </font>
    <font>
      <sz val="12"/>
      <name val="Arial"/>
      <family val="2"/>
    </font>
    <font>
      <sz val="11"/>
      <name val="Arial"/>
      <family val="2"/>
    </font>
    <font>
      <b/>
      <sz val="12"/>
      <name val="Arial"/>
      <family val="2"/>
    </font>
    <font>
      <i/>
      <sz val="9"/>
      <name val="Arial"/>
      <family val="2"/>
    </font>
    <font>
      <b/>
      <sz val="20"/>
      <name val="Arial"/>
      <family val="2"/>
    </font>
    <font>
      <b/>
      <sz val="14"/>
      <name val="Arial"/>
      <family val="2"/>
    </font>
    <font>
      <b/>
      <sz val="16"/>
      <color indexed="10"/>
      <name val="Arial"/>
      <family val="2"/>
    </font>
    <font>
      <b/>
      <sz val="12"/>
      <color indexed="10"/>
      <name val="Arial"/>
      <family val="2"/>
    </font>
    <font>
      <b/>
      <sz val="11"/>
      <name val="Times New Roman"/>
      <family val="1"/>
    </font>
    <font>
      <b/>
      <u/>
      <sz val="10"/>
      <name val="Arial"/>
      <family val="2"/>
    </font>
    <font>
      <sz val="11"/>
      <color indexed="10"/>
      <name val="Arial"/>
      <family val="2"/>
    </font>
    <font>
      <sz val="10"/>
      <color indexed="13"/>
      <name val="Arial"/>
      <family val="2"/>
    </font>
    <font>
      <sz val="10"/>
      <color indexed="9"/>
      <name val="Arial"/>
      <family val="2"/>
    </font>
    <font>
      <b/>
      <sz val="10"/>
      <color indexed="13"/>
      <name val="Arial"/>
      <family val="2"/>
    </font>
    <font>
      <i/>
      <sz val="12"/>
      <name val="Arial"/>
      <family val="2"/>
    </font>
    <font>
      <sz val="8"/>
      <name val="Arial Narrow"/>
      <family val="2"/>
    </font>
    <font>
      <b/>
      <sz val="8"/>
      <name val="Arial Narrow"/>
      <family val="2"/>
    </font>
    <font>
      <sz val="6"/>
      <name val="Arial Narrow"/>
      <family val="2"/>
    </font>
    <font>
      <b/>
      <sz val="6"/>
      <name val="Arial Narrow"/>
      <family val="2"/>
    </font>
    <font>
      <sz val="11"/>
      <name val="Times New Roman"/>
      <family val="1"/>
    </font>
    <font>
      <b/>
      <sz val="20"/>
      <name val="Times New Roman"/>
      <family val="1"/>
    </font>
    <font>
      <b/>
      <sz val="12"/>
      <name val="Times New Roman"/>
      <family val="1"/>
    </font>
    <font>
      <sz val="12"/>
      <name val="Arial"/>
    </font>
    <font>
      <b/>
      <i/>
      <sz val="10"/>
      <name val="Arial"/>
      <family val="2"/>
    </font>
    <font>
      <u/>
      <sz val="10"/>
      <name val="Arial"/>
      <family val="2"/>
    </font>
    <font>
      <sz val="10"/>
      <color indexed="10"/>
      <name val="Arial"/>
      <family val="2"/>
    </font>
    <font>
      <b/>
      <u/>
      <sz val="10"/>
      <color indexed="8"/>
      <name val="Arial"/>
      <family val="2"/>
    </font>
    <font>
      <b/>
      <i/>
      <sz val="12"/>
      <color indexed="10"/>
      <name val="Arial"/>
      <family val="2"/>
    </font>
  </fonts>
  <fills count="27">
    <fill>
      <patternFill patternType="none"/>
    </fill>
    <fill>
      <patternFill patternType="gray125"/>
    </fill>
    <fill>
      <patternFill patternType="solid">
        <fgColor indexed="10"/>
        <bgColor indexed="64"/>
      </patternFill>
    </fill>
    <fill>
      <patternFill patternType="solid">
        <fgColor indexed="60"/>
        <bgColor indexed="64"/>
      </patternFill>
    </fill>
    <fill>
      <patternFill patternType="solid">
        <fgColor indexed="15"/>
        <bgColor indexed="64"/>
      </patternFill>
    </fill>
    <fill>
      <patternFill patternType="gray0625">
        <fgColor indexed="13"/>
        <bgColor indexed="43"/>
      </patternFill>
    </fill>
    <fill>
      <patternFill patternType="solid">
        <fgColor indexed="14"/>
        <bgColor indexed="64"/>
      </patternFill>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gray0625">
        <fgColor indexed="13"/>
        <bgColor indexed="41"/>
      </patternFill>
    </fill>
    <fill>
      <patternFill patternType="solid">
        <fgColor indexed="12"/>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30"/>
        <bgColor indexed="64"/>
      </patternFill>
    </fill>
    <fill>
      <patternFill patternType="solid">
        <fgColor indexed="24"/>
        <bgColor indexed="64"/>
      </patternFill>
    </fill>
    <fill>
      <patternFill patternType="solid">
        <fgColor indexed="9"/>
        <bgColor indexed="64"/>
      </patternFill>
    </fill>
    <fill>
      <patternFill patternType="solid">
        <fgColor indexed="48"/>
        <bgColor indexed="64"/>
      </patternFill>
    </fill>
    <fill>
      <patternFill patternType="lightGray">
        <bgColor indexed="9"/>
      </patternFill>
    </fill>
    <fill>
      <patternFill patternType="solid">
        <fgColor indexed="23"/>
        <bgColor indexed="64"/>
      </patternFill>
    </fill>
    <fill>
      <patternFill patternType="solid">
        <fgColor indexed="26"/>
        <bgColor indexed="64"/>
      </patternFill>
    </fill>
    <fill>
      <patternFill patternType="solid">
        <fgColor indexed="46"/>
        <bgColor indexed="64"/>
      </patternFill>
    </fill>
    <fill>
      <patternFill patternType="solid">
        <fgColor indexed="43"/>
        <bgColor indexed="64"/>
      </patternFill>
    </fill>
    <fill>
      <patternFill patternType="solid">
        <fgColor indexed="52"/>
        <bgColor indexed="64"/>
      </patternFill>
    </fill>
    <fill>
      <patternFill patternType="gray125">
        <bgColor indexed="9"/>
      </patternFill>
    </fill>
  </fills>
  <borders count="7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64"/>
      </top>
      <bottom style="medium">
        <color indexed="64"/>
      </bottom>
      <diagonal/>
    </border>
    <border>
      <left/>
      <right/>
      <top style="double">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s>
  <cellStyleXfs count="65">
    <xf numFmtId="0" fontId="0" fillId="0" borderId="0"/>
    <xf numFmtId="0" fontId="1" fillId="0" borderId="0"/>
    <xf numFmtId="184" fontId="29" fillId="0" borderId="0" applyFont="0" applyFill="0" applyBorder="0" applyAlignment="0" applyProtection="0">
      <alignment vertical="top"/>
    </xf>
    <xf numFmtId="178" fontId="29" fillId="0" borderId="0" applyFont="0" applyFill="0" applyBorder="0" applyAlignment="0" applyProtection="0">
      <alignment vertical="top"/>
    </xf>
    <xf numFmtId="40" fontId="29" fillId="0" borderId="0" applyFont="0" applyFill="0" applyBorder="0" applyAlignment="0" applyProtection="0">
      <alignment vertical="top"/>
    </xf>
    <xf numFmtId="179" fontId="29" fillId="0" borderId="0" applyFont="0" applyFill="0" applyBorder="0" applyAlignment="0" applyProtection="0">
      <alignment vertical="top"/>
    </xf>
    <xf numFmtId="199" fontId="29" fillId="0" borderId="0" applyFont="0" applyFill="0" applyBorder="0" applyProtection="0">
      <alignment horizontal="left" vertical="top"/>
    </xf>
    <xf numFmtId="180" fontId="29" fillId="0" borderId="0" applyFont="0" applyFill="0" applyBorder="0" applyAlignment="0" applyProtection="0">
      <alignment vertical="top"/>
    </xf>
    <xf numFmtId="185" fontId="29" fillId="0" borderId="0" applyFont="0" applyFill="0" applyBorder="0" applyAlignment="0" applyProtection="0">
      <alignment vertical="top"/>
    </xf>
    <xf numFmtId="1" fontId="30" fillId="0" borderId="0" applyFont="0" applyFill="0" applyBorder="0" applyProtection="0">
      <alignment horizontal="left" vertical="top"/>
    </xf>
    <xf numFmtId="38" fontId="26" fillId="0" borderId="1" applyNumberFormat="0" applyFill="0" applyProtection="0">
      <alignment horizontal="center" vertical="center" wrapText="1"/>
    </xf>
    <xf numFmtId="181" fontId="1" fillId="0" borderId="0" applyFont="0" applyFill="0" applyBorder="0" applyAlignment="0" applyProtection="0">
      <alignment wrapText="1"/>
    </xf>
    <xf numFmtId="38" fontId="31" fillId="0" borderId="0" applyNumberFormat="0" applyFill="0" applyBorder="0" applyAlignment="0" applyProtection="0">
      <alignment vertical="top"/>
    </xf>
    <xf numFmtId="186" fontId="32" fillId="0" borderId="0" applyNumberFormat="0" applyFill="0" applyBorder="0" applyAlignment="0" applyProtection="0">
      <alignment vertical="top"/>
    </xf>
    <xf numFmtId="38" fontId="29" fillId="0" borderId="0" applyNumberFormat="0" applyFont="0" applyBorder="0" applyAlignment="0" applyProtection="0">
      <alignment vertical="top"/>
    </xf>
    <xf numFmtId="171" fontId="1" fillId="0" borderId="0" applyFont="0" applyFill="0" applyBorder="0" applyAlignment="0" applyProtection="0"/>
    <xf numFmtId="38" fontId="25" fillId="2" borderId="0" applyNumberFormat="0" applyFont="0" applyBorder="0" applyAlignment="0" applyProtection="0">
      <alignment vertical="top"/>
    </xf>
    <xf numFmtId="187" fontId="32" fillId="0" borderId="0" applyFont="0" applyFill="0" applyBorder="0" applyProtection="0">
      <alignment horizontal="left" vertical="top"/>
    </xf>
    <xf numFmtId="198" fontId="29" fillId="0" borderId="0" applyFont="0" applyFill="0" applyBorder="0" applyAlignment="0" applyProtection="0">
      <alignment vertical="top"/>
    </xf>
    <xf numFmtId="198" fontId="29" fillId="0" borderId="0" applyFont="0" applyFill="0" applyBorder="0" applyProtection="0">
      <alignment horizontal="left" vertical="top"/>
    </xf>
    <xf numFmtId="188" fontId="32" fillId="0" borderId="0" applyFont="0" applyFill="0" applyBorder="0" applyProtection="0">
      <alignment horizontal="left" vertical="top"/>
    </xf>
    <xf numFmtId="189" fontId="32" fillId="0" borderId="0" applyFont="0" applyFill="0" applyBorder="0" applyProtection="0">
      <alignment horizontal="left" vertical="top"/>
    </xf>
    <xf numFmtId="182" fontId="29" fillId="0" borderId="0" applyFont="0" applyFill="0" applyBorder="0" applyProtection="0">
      <alignment horizontal="left" vertical="top"/>
    </xf>
    <xf numFmtId="190" fontId="29" fillId="0" borderId="0" applyFont="0" applyFill="0" applyBorder="0" applyProtection="0">
      <alignment horizontal="left" vertical="top"/>
    </xf>
    <xf numFmtId="38" fontId="29" fillId="3" borderId="0" applyNumberFormat="0" applyFont="0" applyBorder="0" applyAlignment="0" applyProtection="0">
      <alignment horizontal="right" vertical="top"/>
    </xf>
    <xf numFmtId="38" fontId="25" fillId="4" borderId="0" applyNumberFormat="0" applyFont="0" applyBorder="0" applyAlignment="0" applyProtection="0">
      <alignment vertical="top"/>
    </xf>
    <xf numFmtId="37" fontId="26" fillId="5" borderId="0" applyNumberFormat="0" applyBorder="0" applyAlignment="0">
      <protection locked="0"/>
    </xf>
    <xf numFmtId="38" fontId="25" fillId="6" borderId="0" applyNumberFormat="0" applyFont="0" applyBorder="0" applyAlignment="0" applyProtection="0">
      <alignment vertical="top"/>
    </xf>
    <xf numFmtId="38" fontId="33" fillId="0" borderId="0" applyNumberFormat="0" applyFill="0" applyBorder="0" applyAlignment="0" applyProtection="0">
      <alignment vertical="top"/>
    </xf>
    <xf numFmtId="38" fontId="29" fillId="7" borderId="0" applyNumberFormat="0" applyFont="0" applyBorder="0" applyAlignment="0" applyProtection="0">
      <alignment vertical="top"/>
    </xf>
    <xf numFmtId="38" fontId="28" fillId="0" borderId="0" applyNumberFormat="0" applyFill="0" applyBorder="0" applyAlignment="0" applyProtection="0">
      <alignment vertical="top"/>
    </xf>
    <xf numFmtId="38" fontId="19" fillId="0" borderId="0" applyNumberFormat="0" applyFill="0" applyBorder="0" applyAlignment="0" applyProtection="0">
      <alignment vertical="top"/>
    </xf>
    <xf numFmtId="38" fontId="24" fillId="0" borderId="0" applyNumberFormat="0" applyFill="0" applyBorder="0" applyAlignment="0" applyProtection="0">
      <alignment vertical="top"/>
    </xf>
    <xf numFmtId="38" fontId="29" fillId="7" borderId="0" applyNumberFormat="0" applyFont="0" applyBorder="0" applyAlignment="0" applyProtection="0">
      <alignment vertical="top"/>
    </xf>
    <xf numFmtId="38" fontId="29" fillId="8" borderId="0" applyNumberFormat="0" applyFont="0" applyBorder="0" applyAlignment="0" applyProtection="0">
      <alignment vertical="top"/>
    </xf>
    <xf numFmtId="38" fontId="25" fillId="9" borderId="0" applyNumberFormat="0" applyFont="0" applyBorder="0" applyAlignment="0" applyProtection="0">
      <alignment vertical="top"/>
    </xf>
    <xf numFmtId="38" fontId="34" fillId="0" borderId="0" applyNumberFormat="0" applyFill="0" applyBorder="0" applyAlignment="0" applyProtection="0">
      <alignment vertical="top"/>
    </xf>
    <xf numFmtId="180" fontId="29" fillId="10" borderId="0" applyNumberFormat="0" applyFont="0" applyBorder="0" applyAlignment="0" applyProtection="0">
      <alignment vertical="top"/>
    </xf>
    <xf numFmtId="38" fontId="29" fillId="2" borderId="0" applyNumberFormat="0" applyFont="0" applyBorder="0" applyAlignment="0" applyProtection="0">
      <alignment vertical="top"/>
    </xf>
    <xf numFmtId="9" fontId="1" fillId="0" borderId="0" applyFont="0" applyFill="0" applyBorder="0" applyAlignment="0" applyProtection="0"/>
    <xf numFmtId="191" fontId="35" fillId="0" borderId="0" applyFont="0" applyFill="0" applyBorder="0" applyAlignment="0" applyProtection="0"/>
    <xf numFmtId="192" fontId="35" fillId="0" borderId="0" applyFont="0" applyFill="0" applyBorder="0" applyAlignment="0" applyProtection="0"/>
    <xf numFmtId="193" fontId="29" fillId="0" borderId="0" applyFont="0" applyFill="0" applyBorder="0" applyAlignment="0" applyProtection="0">
      <alignment vertical="top"/>
    </xf>
    <xf numFmtId="38" fontId="36" fillId="0" borderId="0" applyNumberFormat="0" applyFill="0" applyBorder="0" applyAlignment="0" applyProtection="0">
      <alignment vertical="top"/>
    </xf>
    <xf numFmtId="38" fontId="26" fillId="11" borderId="0" applyNumberFormat="0" applyFont="0" applyBorder="0" applyAlignment="0" applyProtection="0">
      <alignment vertical="top"/>
      <protection locked="0"/>
    </xf>
    <xf numFmtId="38" fontId="25" fillId="12" borderId="0" applyNumberFormat="0" applyFont="0" applyBorder="0" applyAlignment="0" applyProtection="0">
      <alignment vertical="top"/>
    </xf>
    <xf numFmtId="38" fontId="29" fillId="0" borderId="0" applyNumberFormat="0" applyFont="0" applyFill="0" applyBorder="0" applyProtection="0">
      <alignment horizontal="right" vertical="top" textRotation="90"/>
    </xf>
    <xf numFmtId="38" fontId="37" fillId="13" borderId="0" applyNumberFormat="0" applyBorder="0" applyAlignment="0" applyProtection="0">
      <alignment vertical="top"/>
    </xf>
    <xf numFmtId="37" fontId="30" fillId="0" borderId="2" applyNumberFormat="0" applyFont="0" applyFill="0" applyAlignment="0"/>
    <xf numFmtId="38" fontId="25" fillId="10" borderId="0" applyNumberFormat="0" applyFont="0" applyBorder="0" applyAlignment="0" applyProtection="0">
      <alignment vertical="top"/>
    </xf>
    <xf numFmtId="20" fontId="29" fillId="0" borderId="0" applyFont="0" applyFill="0" applyBorder="0" applyAlignment="0" applyProtection="0">
      <alignment vertical="top"/>
    </xf>
    <xf numFmtId="21" fontId="29" fillId="0" borderId="0" applyFont="0" applyFill="0" applyBorder="0" applyAlignment="0" applyProtection="0">
      <alignment vertical="top"/>
    </xf>
    <xf numFmtId="38" fontId="25" fillId="0" borderId="0" applyNumberFormat="0" applyFill="0" applyBorder="0" applyProtection="0">
      <alignment vertical="top" wrapText="1"/>
    </xf>
    <xf numFmtId="37" fontId="30" fillId="0" borderId="3" applyNumberFormat="0" applyFont="0" applyFill="0" applyAlignment="0"/>
    <xf numFmtId="38" fontId="25" fillId="14" borderId="0" applyNumberFormat="0" applyFont="0" applyBorder="0" applyAlignment="0" applyProtection="0">
      <alignment vertical="top"/>
    </xf>
    <xf numFmtId="38" fontId="38" fillId="0" borderId="0" applyNumberFormat="0" applyFill="0" applyBorder="0" applyAlignment="0" applyProtection="0">
      <alignment vertical="top"/>
    </xf>
    <xf numFmtId="197" fontId="29" fillId="15" borderId="0" applyNumberFormat="0" applyFont="0" applyBorder="0" applyAlignment="0" applyProtection="0">
      <alignment vertical="top"/>
    </xf>
    <xf numFmtId="38" fontId="39" fillId="10" borderId="0" applyNumberFormat="0" applyBorder="0" applyAlignment="0" applyProtection="0">
      <alignment vertical="top"/>
    </xf>
    <xf numFmtId="186" fontId="29" fillId="0" borderId="0" applyNumberFormat="0" applyFont="0" applyFill="0" applyBorder="0" applyProtection="0">
      <alignment vertical="top" wrapText="1"/>
    </xf>
    <xf numFmtId="194" fontId="29" fillId="0" borderId="0" applyFont="0" applyFill="0" applyBorder="0" applyAlignment="0" applyProtection="0"/>
    <xf numFmtId="1" fontId="30" fillId="0" borderId="0" applyFont="0" applyFill="0" applyBorder="0" applyProtection="0">
      <alignment horizontal="right" vertical="top"/>
    </xf>
    <xf numFmtId="184" fontId="29" fillId="16" borderId="0" applyNumberFormat="0" applyFont="0" applyBorder="0" applyAlignment="0" applyProtection="0">
      <alignment vertical="top"/>
    </xf>
    <xf numFmtId="195" fontId="29" fillId="0" borderId="0" applyFont="0" applyFill="0" applyBorder="0" applyAlignment="0" applyProtection="0">
      <alignment vertical="top" wrapText="1"/>
    </xf>
    <xf numFmtId="196" fontId="29" fillId="0" borderId="0" applyFont="0" applyFill="0" applyBorder="0" applyAlignment="0" applyProtection="0">
      <alignment vertical="top"/>
    </xf>
    <xf numFmtId="38" fontId="29" fillId="0" borderId="0" applyFont="0" applyFill="0" applyBorder="0" applyAlignment="0" applyProtection="0">
      <alignment horizontal="right" vertical="top"/>
    </xf>
  </cellStyleXfs>
  <cellXfs count="984">
    <xf numFmtId="0" fontId="0" fillId="0" borderId="0" xfId="0"/>
    <xf numFmtId="0" fontId="70" fillId="13" borderId="57" xfId="0" applyFont="1" applyFill="1" applyBorder="1" applyAlignment="1">
      <alignment horizontal="center" wrapText="1"/>
    </xf>
    <xf numFmtId="0" fontId="3" fillId="0" borderId="0" xfId="0" applyFont="1"/>
    <xf numFmtId="0" fontId="4" fillId="0" borderId="0" xfId="0" applyFont="1" applyAlignment="1">
      <alignment horizontal="center"/>
    </xf>
    <xf numFmtId="0" fontId="6" fillId="0" borderId="0" xfId="0" quotePrefix="1" applyFont="1" applyAlignment="1"/>
    <xf numFmtId="3" fontId="7" fillId="0" borderId="0" xfId="0" quotePrefix="1" applyNumberFormat="1" applyFont="1" applyFill="1"/>
    <xf numFmtId="0" fontId="3" fillId="0" borderId="0" xfId="0" applyFont="1" applyFill="1" applyBorder="1" applyAlignment="1">
      <alignment horizontal="center"/>
    </xf>
    <xf numFmtId="0" fontId="0" fillId="0" borderId="0" xfId="0" applyFill="1"/>
    <xf numFmtId="0" fontId="9" fillId="0" borderId="0" xfId="0" quotePrefix="1" applyFont="1" applyFill="1" applyBorder="1" applyAlignment="1">
      <alignment horizontal="left"/>
    </xf>
    <xf numFmtId="0" fontId="0" fillId="17" borderId="0" xfId="0" applyFill="1"/>
    <xf numFmtId="0" fontId="3" fillId="17" borderId="0" xfId="0" applyFont="1" applyFill="1" applyAlignment="1">
      <alignment horizontal="center" wrapText="1"/>
    </xf>
    <xf numFmtId="0" fontId="0" fillId="0" borderId="4" xfId="0" applyFill="1" applyBorder="1"/>
    <xf numFmtId="0" fontId="3" fillId="0" borderId="0" xfId="0" applyFont="1" applyFill="1"/>
    <xf numFmtId="174" fontId="0" fillId="0" borderId="0" xfId="0" applyNumberFormat="1"/>
    <xf numFmtId="174" fontId="0" fillId="0" borderId="4" xfId="0" applyNumberFormat="1" applyBorder="1"/>
    <xf numFmtId="0" fontId="3" fillId="17" borderId="0" xfId="0" applyFont="1" applyFill="1"/>
    <xf numFmtId="0" fontId="0" fillId="18" borderId="0" xfId="0" applyFill="1"/>
    <xf numFmtId="0" fontId="4" fillId="0" borderId="0" xfId="0" applyFont="1" applyFill="1" applyAlignment="1">
      <alignment horizontal="center"/>
    </xf>
    <xf numFmtId="174" fontId="6" fillId="0" borderId="0" xfId="0" quotePrefix="1" applyNumberFormat="1" applyFont="1" applyFill="1" applyAlignment="1"/>
    <xf numFmtId="174" fontId="5" fillId="0" borderId="0" xfId="0" quotePrefix="1" applyNumberFormat="1" applyFont="1" applyFill="1" applyAlignment="1"/>
    <xf numFmtId="0" fontId="21" fillId="0" borderId="0" xfId="0" applyFont="1"/>
    <xf numFmtId="0" fontId="22" fillId="0" borderId="0" xfId="0" applyFont="1"/>
    <xf numFmtId="0" fontId="25" fillId="0" borderId="0" xfId="0" applyFont="1" applyFill="1" applyBorder="1" applyAlignment="1">
      <alignment horizontal="center"/>
    </xf>
    <xf numFmtId="174" fontId="3" fillId="0" borderId="0" xfId="0" applyNumberFormat="1" applyFont="1"/>
    <xf numFmtId="0" fontId="10" fillId="18" borderId="0" xfId="0" applyFont="1" applyFill="1"/>
    <xf numFmtId="0" fontId="3" fillId="18" borderId="0" xfId="0" applyFont="1" applyFill="1" applyBorder="1" applyAlignment="1">
      <alignment horizontal="center"/>
    </xf>
    <xf numFmtId="0" fontId="3" fillId="18" borderId="4" xfId="0" applyFont="1" applyFill="1" applyBorder="1" applyAlignment="1">
      <alignment horizontal="center"/>
    </xf>
    <xf numFmtId="0" fontId="3" fillId="18" borderId="0" xfId="0" applyFont="1" applyFill="1" applyAlignment="1">
      <alignment horizontal="center"/>
    </xf>
    <xf numFmtId="0" fontId="0" fillId="18" borderId="0" xfId="0" applyFill="1" applyBorder="1" applyAlignment="1">
      <alignment horizontal="center"/>
    </xf>
    <xf numFmtId="0" fontId="0" fillId="18" borderId="0" xfId="0" applyFill="1" applyAlignment="1">
      <alignment horizontal="center"/>
    </xf>
    <xf numFmtId="0" fontId="6" fillId="18" borderId="5" xfId="0" quotePrefix="1" applyFont="1" applyFill="1" applyBorder="1" applyAlignment="1">
      <alignment horizontal="center"/>
    </xf>
    <xf numFmtId="0" fontId="0" fillId="18" borderId="6" xfId="0" applyFill="1" applyBorder="1" applyAlignment="1">
      <alignment horizontal="center"/>
    </xf>
    <xf numFmtId="175" fontId="6" fillId="18" borderId="7" xfId="0" applyNumberFormat="1" applyFont="1" applyFill="1" applyBorder="1"/>
    <xf numFmtId="175" fontId="0" fillId="18" borderId="0" xfId="0" applyNumberFormat="1" applyFill="1" applyBorder="1"/>
    <xf numFmtId="0" fontId="3" fillId="18" borderId="0" xfId="0" applyFont="1" applyFill="1" applyAlignment="1">
      <alignment horizontal="left"/>
    </xf>
    <xf numFmtId="175" fontId="0" fillId="18" borderId="7" xfId="0" applyNumberFormat="1" applyFill="1" applyBorder="1"/>
    <xf numFmtId="175" fontId="7" fillId="18" borderId="6" xfId="0" applyNumberFormat="1" applyFont="1" applyFill="1" applyBorder="1"/>
    <xf numFmtId="175" fontId="3" fillId="18" borderId="0" xfId="0" applyNumberFormat="1" applyFont="1" applyFill="1" applyBorder="1"/>
    <xf numFmtId="0" fontId="7" fillId="18" borderId="0" xfId="0" quotePrefix="1" applyFont="1" applyFill="1"/>
    <xf numFmtId="175" fontId="3" fillId="18" borderId="6" xfId="0" applyNumberFormat="1" applyFont="1" applyFill="1" applyBorder="1"/>
    <xf numFmtId="175" fontId="3" fillId="18" borderId="0" xfId="0" applyNumberFormat="1" applyFont="1" applyFill="1"/>
    <xf numFmtId="0" fontId="3" fillId="18" borderId="0" xfId="0" applyFont="1" applyFill="1"/>
    <xf numFmtId="0" fontId="6" fillId="18" borderId="0" xfId="0" quotePrefix="1" applyFont="1" applyFill="1"/>
    <xf numFmtId="175" fontId="6" fillId="18" borderId="6" xfId="0" applyNumberFormat="1" applyFont="1" applyFill="1" applyBorder="1"/>
    <xf numFmtId="175" fontId="9" fillId="18" borderId="6" xfId="0" applyNumberFormat="1" applyFont="1" applyFill="1" applyBorder="1"/>
    <xf numFmtId="175" fontId="0" fillId="18" borderId="0" xfId="0" applyNumberFormat="1" applyFill="1"/>
    <xf numFmtId="175" fontId="0" fillId="18" borderId="6" xfId="0" applyNumberFormat="1" applyFill="1" applyBorder="1"/>
    <xf numFmtId="175" fontId="6" fillId="18" borderId="6" xfId="0" applyNumberFormat="1" applyFont="1" applyFill="1" applyBorder="1" applyAlignment="1">
      <alignment horizontal="right"/>
    </xf>
    <xf numFmtId="175" fontId="0" fillId="18" borderId="0" xfId="0" applyNumberFormat="1" applyFill="1" applyBorder="1" applyAlignment="1">
      <alignment horizontal="right"/>
    </xf>
    <xf numFmtId="175" fontId="12" fillId="18" borderId="0" xfId="0" applyNumberFormat="1" applyFont="1" applyFill="1"/>
    <xf numFmtId="176" fontId="12" fillId="18" borderId="0" xfId="0" applyNumberFormat="1" applyFont="1" applyFill="1"/>
    <xf numFmtId="175" fontId="13" fillId="18" borderId="6" xfId="0" applyNumberFormat="1" applyFont="1" applyFill="1" applyBorder="1"/>
    <xf numFmtId="175" fontId="12" fillId="18" borderId="0" xfId="0" applyNumberFormat="1" applyFont="1" applyFill="1" applyBorder="1"/>
    <xf numFmtId="175" fontId="12" fillId="18" borderId="6" xfId="0" applyNumberFormat="1" applyFont="1" applyFill="1" applyBorder="1"/>
    <xf numFmtId="175" fontId="13" fillId="18" borderId="0" xfId="0" applyNumberFormat="1" applyFont="1" applyFill="1" applyBorder="1"/>
    <xf numFmtId="175" fontId="14" fillId="18" borderId="6" xfId="0" applyNumberFormat="1" applyFont="1" applyFill="1" applyBorder="1"/>
    <xf numFmtId="175" fontId="13" fillId="18" borderId="8" xfId="0" applyNumberFormat="1" applyFont="1" applyFill="1" applyBorder="1"/>
    <xf numFmtId="175" fontId="13" fillId="18" borderId="1" xfId="0" applyNumberFormat="1" applyFont="1" applyFill="1" applyBorder="1"/>
    <xf numFmtId="175" fontId="3" fillId="18" borderId="9" xfId="0" applyNumberFormat="1" applyFont="1" applyFill="1" applyBorder="1"/>
    <xf numFmtId="172" fontId="0" fillId="18" borderId="0" xfId="0" applyNumberFormat="1" applyFill="1"/>
    <xf numFmtId="0" fontId="11" fillId="18" borderId="4" xfId="0" applyFont="1" applyFill="1" applyBorder="1" applyAlignment="1">
      <alignment horizontal="center"/>
    </xf>
    <xf numFmtId="0" fontId="0" fillId="18" borderId="10" xfId="0" applyFill="1" applyBorder="1" applyAlignment="1">
      <alignment vertical="center"/>
    </xf>
    <xf numFmtId="0" fontId="0" fillId="18" borderId="11" xfId="0" applyFill="1" applyBorder="1" applyAlignment="1">
      <alignment vertical="center"/>
    </xf>
    <xf numFmtId="0" fontId="0" fillId="18" borderId="12" xfId="0" applyFill="1" applyBorder="1" applyAlignment="1">
      <alignment vertical="center"/>
    </xf>
    <xf numFmtId="0" fontId="0" fillId="18" borderId="0" xfId="0" applyFill="1" applyBorder="1" applyAlignment="1">
      <alignment vertical="center"/>
    </xf>
    <xf numFmtId="0" fontId="0" fillId="18" borderId="13" xfId="0" applyFill="1" applyBorder="1" applyAlignment="1">
      <alignment vertical="center"/>
    </xf>
    <xf numFmtId="0" fontId="0" fillId="18" borderId="14" xfId="0" applyFill="1" applyBorder="1" applyAlignment="1">
      <alignment vertical="center"/>
    </xf>
    <xf numFmtId="0" fontId="3" fillId="18" borderId="0" xfId="0" applyFont="1" applyFill="1" applyBorder="1" applyAlignment="1">
      <alignment vertical="center"/>
    </xf>
    <xf numFmtId="177" fontId="3" fillId="18" borderId="0" xfId="0" quotePrefix="1" applyNumberFormat="1" applyFont="1" applyFill="1" applyBorder="1" applyAlignment="1">
      <alignment horizontal="center" vertical="center" wrapText="1"/>
    </xf>
    <xf numFmtId="171" fontId="3" fillId="18" borderId="15" xfId="15" applyFont="1" applyFill="1" applyBorder="1" applyAlignment="1">
      <alignment vertical="center"/>
    </xf>
    <xf numFmtId="0" fontId="0" fillId="18" borderId="15" xfId="0" applyFill="1" applyBorder="1" applyAlignment="1">
      <alignment vertical="center"/>
    </xf>
    <xf numFmtId="171" fontId="42" fillId="18" borderId="15" xfId="15" applyFont="1" applyFill="1" applyBorder="1" applyAlignment="1">
      <alignment horizontal="center" vertical="center"/>
    </xf>
    <xf numFmtId="171" fontId="1" fillId="18" borderId="0" xfId="15" applyFill="1" applyBorder="1" applyAlignment="1">
      <alignment vertical="center"/>
    </xf>
    <xf numFmtId="171" fontId="1" fillId="18" borderId="16" xfId="15" applyFill="1" applyBorder="1" applyAlignment="1">
      <alignment vertical="center"/>
    </xf>
    <xf numFmtId="0" fontId="0" fillId="18" borderId="17" xfId="0" applyFill="1" applyBorder="1" applyAlignment="1">
      <alignment vertical="center"/>
    </xf>
    <xf numFmtId="173" fontId="1" fillId="18" borderId="17" xfId="15" applyNumberFormat="1" applyFill="1" applyBorder="1" applyAlignment="1">
      <alignment vertical="center"/>
    </xf>
    <xf numFmtId="0" fontId="0" fillId="18" borderId="18" xfId="0" applyFill="1" applyBorder="1" applyAlignment="1">
      <alignment vertical="center" wrapText="1"/>
    </xf>
    <xf numFmtId="171" fontId="43" fillId="18" borderId="19" xfId="15" applyFont="1" applyFill="1" applyBorder="1" applyAlignment="1">
      <alignment vertical="center"/>
    </xf>
    <xf numFmtId="173" fontId="1" fillId="18" borderId="0" xfId="15" applyNumberFormat="1" applyFill="1" applyBorder="1" applyAlignment="1">
      <alignment vertical="center"/>
    </xf>
    <xf numFmtId="0" fontId="0" fillId="18" borderId="0" xfId="0" applyFill="1" applyBorder="1" applyAlignment="1">
      <alignment horizontal="center" vertical="center"/>
    </xf>
    <xf numFmtId="0" fontId="0" fillId="18" borderId="20" xfId="0" applyFill="1" applyBorder="1" applyAlignment="1">
      <alignment vertical="center" wrapText="1"/>
    </xf>
    <xf numFmtId="171" fontId="3" fillId="18" borderId="19" xfId="15" applyFont="1" applyFill="1" applyBorder="1" applyAlignment="1">
      <alignment vertical="center"/>
    </xf>
    <xf numFmtId="171" fontId="1" fillId="18" borderId="19" xfId="15" applyFont="1" applyFill="1" applyBorder="1" applyAlignment="1">
      <alignment vertical="center"/>
    </xf>
    <xf numFmtId="183" fontId="1" fillId="18" borderId="0" xfId="15" applyNumberFormat="1" applyFill="1" applyBorder="1" applyAlignment="1">
      <alignment vertical="center"/>
    </xf>
    <xf numFmtId="171" fontId="1" fillId="18" borderId="19" xfId="15" applyFont="1" applyFill="1" applyBorder="1" applyAlignment="1">
      <alignment horizontal="right" vertical="center"/>
    </xf>
    <xf numFmtId="171" fontId="1" fillId="18" borderId="19" xfId="15" quotePrefix="1" applyFont="1" applyFill="1" applyBorder="1" applyAlignment="1">
      <alignment horizontal="right" vertical="center"/>
    </xf>
    <xf numFmtId="171" fontId="43" fillId="18" borderId="19" xfId="15" quotePrefix="1" applyFont="1" applyFill="1" applyBorder="1" applyAlignment="1">
      <alignment horizontal="right" vertical="center"/>
    </xf>
    <xf numFmtId="0" fontId="0" fillId="18" borderId="21" xfId="0" applyFill="1" applyBorder="1" applyAlignment="1">
      <alignment vertical="center"/>
    </xf>
    <xf numFmtId="0" fontId="0" fillId="18" borderId="22" xfId="0" applyFill="1" applyBorder="1" applyAlignment="1">
      <alignment vertical="center"/>
    </xf>
    <xf numFmtId="0" fontId="0" fillId="18" borderId="23" xfId="0" applyFill="1" applyBorder="1" applyAlignment="1">
      <alignment vertical="center" wrapText="1"/>
    </xf>
    <xf numFmtId="0" fontId="0" fillId="18" borderId="0" xfId="0" applyFill="1" applyBorder="1" applyAlignment="1">
      <alignment vertical="center" wrapText="1"/>
    </xf>
    <xf numFmtId="171" fontId="1" fillId="18" borderId="19" xfId="15" applyFill="1" applyBorder="1" applyAlignment="1">
      <alignment vertical="center"/>
    </xf>
    <xf numFmtId="171" fontId="1" fillId="18" borderId="19" xfId="15" applyFill="1" applyBorder="1" applyAlignment="1">
      <alignment horizontal="right" vertical="center"/>
    </xf>
    <xf numFmtId="183" fontId="0" fillId="18" borderId="0" xfId="0" applyNumberFormat="1" applyFill="1" applyBorder="1" applyAlignment="1">
      <alignment vertical="center"/>
    </xf>
    <xf numFmtId="3" fontId="1" fillId="18" borderId="0" xfId="15" applyNumberFormat="1" applyFill="1" applyBorder="1" applyAlignment="1">
      <alignment vertical="center"/>
    </xf>
    <xf numFmtId="171" fontId="46" fillId="18" borderId="19" xfId="15" applyFont="1" applyFill="1" applyBorder="1" applyAlignment="1">
      <alignment vertical="center"/>
    </xf>
    <xf numFmtId="0" fontId="42" fillId="18" borderId="0" xfId="0" applyFont="1" applyFill="1" applyBorder="1" applyAlignment="1">
      <alignment vertical="center"/>
    </xf>
    <xf numFmtId="173" fontId="42" fillId="18" borderId="0" xfId="15" applyNumberFormat="1" applyFont="1" applyFill="1" applyBorder="1" applyAlignment="1">
      <alignment vertical="center"/>
    </xf>
    <xf numFmtId="183" fontId="42" fillId="18" borderId="24" xfId="0" applyNumberFormat="1" applyFont="1" applyFill="1" applyBorder="1" applyAlignment="1">
      <alignment vertical="center"/>
    </xf>
    <xf numFmtId="183" fontId="0" fillId="18" borderId="20" xfId="0" applyNumberFormat="1" applyFill="1" applyBorder="1" applyAlignment="1">
      <alignment vertical="center" wrapText="1"/>
    </xf>
    <xf numFmtId="0" fontId="0" fillId="18" borderId="16" xfId="0" applyFill="1" applyBorder="1" applyAlignment="1">
      <alignment vertical="center"/>
    </xf>
    <xf numFmtId="0" fontId="0" fillId="18" borderId="25" xfId="0" applyFill="1" applyBorder="1" applyAlignment="1">
      <alignment vertical="center"/>
    </xf>
    <xf numFmtId="183" fontId="0" fillId="18" borderId="17" xfId="0" applyNumberFormat="1" applyFill="1" applyBorder="1" applyAlignment="1">
      <alignment vertical="center"/>
    </xf>
    <xf numFmtId="183" fontId="1" fillId="18" borderId="17" xfId="15" applyNumberFormat="1" applyFill="1" applyBorder="1" applyAlignment="1">
      <alignment vertical="center"/>
    </xf>
    <xf numFmtId="0" fontId="0" fillId="18" borderId="19" xfId="0" applyFill="1" applyBorder="1" applyAlignment="1">
      <alignment vertical="center"/>
    </xf>
    <xf numFmtId="173" fontId="1" fillId="18" borderId="22" xfId="15" applyNumberFormat="1" applyFill="1" applyBorder="1" applyAlignment="1">
      <alignment vertical="center"/>
    </xf>
    <xf numFmtId="183" fontId="0" fillId="18" borderId="22" xfId="0" applyNumberFormat="1" applyFill="1" applyBorder="1" applyAlignment="1">
      <alignment vertical="center"/>
    </xf>
    <xf numFmtId="183" fontId="42" fillId="18" borderId="0" xfId="0" applyNumberFormat="1" applyFont="1" applyFill="1" applyBorder="1" applyAlignment="1">
      <alignment vertical="center"/>
    </xf>
    <xf numFmtId="171" fontId="43" fillId="18" borderId="0" xfId="15" applyFont="1" applyFill="1" applyBorder="1" applyAlignment="1">
      <alignment vertical="center"/>
    </xf>
    <xf numFmtId="183" fontId="42" fillId="18" borderId="4" xfId="0" applyNumberFormat="1" applyFont="1" applyFill="1" applyBorder="1" applyAlignment="1">
      <alignment vertical="center"/>
    </xf>
    <xf numFmtId="0" fontId="47" fillId="18" borderId="0" xfId="0" applyFont="1" applyFill="1" applyBorder="1" applyAlignment="1">
      <alignment vertical="center"/>
    </xf>
    <xf numFmtId="171" fontId="12" fillId="18" borderId="0" xfId="15" applyFont="1" applyFill="1" applyBorder="1" applyAlignment="1">
      <alignment vertical="center"/>
    </xf>
    <xf numFmtId="0" fontId="12" fillId="18" borderId="0" xfId="0" applyFont="1" applyFill="1" applyBorder="1" applyAlignment="1">
      <alignment vertical="center"/>
    </xf>
    <xf numFmtId="173" fontId="12" fillId="18" borderId="0" xfId="15" applyNumberFormat="1" applyFont="1" applyFill="1" applyBorder="1" applyAlignment="1">
      <alignment vertical="center"/>
    </xf>
    <xf numFmtId="183" fontId="12" fillId="18" borderId="0" xfId="0" applyNumberFormat="1" applyFont="1" applyFill="1" applyBorder="1" applyAlignment="1">
      <alignment vertical="center"/>
    </xf>
    <xf numFmtId="171" fontId="1" fillId="18" borderId="4" xfId="15" applyFill="1" applyBorder="1" applyAlignment="1">
      <alignment vertical="center"/>
    </xf>
    <xf numFmtId="0" fontId="0" fillId="18" borderId="4" xfId="0" applyFill="1" applyBorder="1" applyAlignment="1">
      <alignment vertical="center"/>
    </xf>
    <xf numFmtId="173" fontId="1" fillId="18" borderId="4" xfId="15" applyNumberFormat="1" applyFill="1" applyBorder="1" applyAlignment="1">
      <alignment vertical="center"/>
    </xf>
    <xf numFmtId="0" fontId="0" fillId="18" borderId="26" xfId="0" applyFill="1" applyBorder="1" applyAlignment="1">
      <alignment vertical="center"/>
    </xf>
    <xf numFmtId="0" fontId="0" fillId="18" borderId="27" xfId="0" applyFill="1" applyBorder="1" applyAlignment="1">
      <alignment vertical="center"/>
    </xf>
    <xf numFmtId="171" fontId="1" fillId="18" borderId="0" xfId="15" applyFill="1" applyAlignment="1">
      <alignment vertical="center"/>
    </xf>
    <xf numFmtId="0" fontId="0" fillId="18" borderId="0" xfId="0" applyFill="1" applyAlignment="1">
      <alignment vertical="center"/>
    </xf>
    <xf numFmtId="173" fontId="1" fillId="18" borderId="0" xfId="15" applyNumberFormat="1" applyFill="1" applyAlignment="1">
      <alignment vertical="center"/>
    </xf>
    <xf numFmtId="174" fontId="44" fillId="19" borderId="0" xfId="0" applyNumberFormat="1" applyFont="1" applyFill="1" applyBorder="1" applyAlignment="1">
      <alignment vertical="center"/>
    </xf>
    <xf numFmtId="183" fontId="45" fillId="19" borderId="0" xfId="15" applyNumberFormat="1" applyFont="1" applyFill="1" applyBorder="1" applyAlignment="1">
      <alignment vertical="center"/>
    </xf>
    <xf numFmtId="0" fontId="3" fillId="18" borderId="0" xfId="0" quotePrefix="1" applyNumberFormat="1" applyFont="1" applyFill="1" applyBorder="1" applyAlignment="1">
      <alignment horizontal="center" vertical="center" wrapText="1"/>
    </xf>
    <xf numFmtId="174" fontId="0" fillId="18" borderId="6" xfId="0" applyNumberFormat="1" applyFill="1" applyBorder="1" applyAlignment="1">
      <alignment horizontal="right"/>
    </xf>
    <xf numFmtId="0" fontId="0" fillId="18" borderId="0" xfId="0" applyFill="1" applyBorder="1"/>
    <xf numFmtId="174" fontId="0" fillId="18" borderId="0" xfId="0" applyNumberFormat="1" applyFill="1"/>
    <xf numFmtId="9" fontId="0" fillId="18" borderId="0" xfId="0" applyNumberFormat="1" applyFill="1"/>
    <xf numFmtId="0" fontId="0" fillId="18" borderId="0" xfId="0" applyFill="1" applyAlignment="1">
      <alignment wrapText="1"/>
    </xf>
    <xf numFmtId="174" fontId="3" fillId="18" borderId="1" xfId="0" applyNumberFormat="1" applyFont="1" applyFill="1" applyBorder="1"/>
    <xf numFmtId="174" fontId="0" fillId="18" borderId="5" xfId="0" applyNumberFormat="1" applyFill="1" applyBorder="1"/>
    <xf numFmtId="174" fontId="0" fillId="18" borderId="6" xfId="0" applyNumberFormat="1" applyFill="1" applyBorder="1"/>
    <xf numFmtId="0" fontId="3" fillId="18" borderId="0" xfId="0" applyFont="1" applyFill="1" applyBorder="1"/>
    <xf numFmtId="9" fontId="3" fillId="18" borderId="1" xfId="0" applyNumberFormat="1" applyFont="1" applyFill="1" applyBorder="1" applyAlignment="1">
      <alignment horizontal="center"/>
    </xf>
    <xf numFmtId="9" fontId="0" fillId="18" borderId="5" xfId="0" applyNumberFormat="1" applyFill="1" applyBorder="1" applyAlignment="1">
      <alignment horizontal="center"/>
    </xf>
    <xf numFmtId="9" fontId="0" fillId="18" borderId="6" xfId="0" applyNumberFormat="1" applyFill="1" applyBorder="1" applyAlignment="1">
      <alignment horizontal="center"/>
    </xf>
    <xf numFmtId="174" fontId="3" fillId="18" borderId="1" xfId="0" applyNumberFormat="1" applyFont="1" applyFill="1" applyBorder="1" applyAlignment="1">
      <alignment horizontal="center"/>
    </xf>
    <xf numFmtId="174" fontId="0" fillId="18" borderId="5" xfId="0" applyNumberFormat="1" applyFill="1" applyBorder="1" applyAlignment="1">
      <alignment horizontal="center"/>
    </xf>
    <xf numFmtId="174" fontId="0" fillId="18" borderId="6" xfId="0" applyNumberFormat="1" applyFill="1" applyBorder="1" applyAlignment="1">
      <alignment horizontal="center"/>
    </xf>
    <xf numFmtId="3" fontId="0" fillId="18" borderId="6" xfId="0" applyNumberFormat="1" applyFill="1" applyBorder="1" applyAlignment="1">
      <alignment horizontal="center"/>
    </xf>
    <xf numFmtId="0" fontId="9" fillId="18" borderId="0" xfId="0" applyFont="1" applyFill="1"/>
    <xf numFmtId="0" fontId="49" fillId="18" borderId="0" xfId="0" applyFont="1" applyFill="1" applyBorder="1" applyProtection="1">
      <protection locked="0"/>
    </xf>
    <xf numFmtId="0" fontId="48" fillId="18" borderId="0" xfId="0" applyFont="1" applyFill="1" applyBorder="1" applyProtection="1">
      <protection locked="0"/>
    </xf>
    <xf numFmtId="0" fontId="0" fillId="18" borderId="0" xfId="0" applyFill="1" applyBorder="1" applyProtection="1">
      <protection locked="0"/>
    </xf>
    <xf numFmtId="0" fontId="49" fillId="18" borderId="0" xfId="0" applyFont="1" applyFill="1" applyBorder="1" applyAlignment="1" applyProtection="1">
      <alignment horizontal="left" indent="3"/>
      <protection locked="0"/>
    </xf>
    <xf numFmtId="0" fontId="4" fillId="18" borderId="0" xfId="0" applyFont="1" applyFill="1" applyAlignment="1">
      <alignment horizontal="center"/>
    </xf>
    <xf numFmtId="0" fontId="5" fillId="18" borderId="0" xfId="0" quotePrefix="1" applyFont="1" applyFill="1"/>
    <xf numFmtId="0" fontId="0" fillId="18" borderId="0" xfId="0" quotePrefix="1" applyFill="1" applyAlignment="1"/>
    <xf numFmtId="174" fontId="6" fillId="18" borderId="0" xfId="0" applyNumberFormat="1" applyFont="1" applyFill="1"/>
    <xf numFmtId="38" fontId="0" fillId="18" borderId="0" xfId="0" applyNumberFormat="1" applyFill="1"/>
    <xf numFmtId="0" fontId="6" fillId="0" borderId="0" xfId="0" quotePrefix="1" applyFont="1" applyFill="1" applyAlignment="1"/>
    <xf numFmtId="174" fontId="5" fillId="18" borderId="0" xfId="0" quotePrefix="1" applyNumberFormat="1" applyFont="1" applyFill="1" applyAlignment="1"/>
    <xf numFmtId="0" fontId="41" fillId="18" borderId="0" xfId="0" applyFont="1" applyFill="1" applyBorder="1" applyAlignment="1">
      <alignment horizontal="center" vertical="center"/>
    </xf>
    <xf numFmtId="0" fontId="0" fillId="0" borderId="2" xfId="0" applyBorder="1"/>
    <xf numFmtId="0" fontId="0" fillId="0" borderId="28" xfId="0" applyBorder="1"/>
    <xf numFmtId="0" fontId="0" fillId="0" borderId="0" xfId="0" applyBorder="1"/>
    <xf numFmtId="0" fontId="0" fillId="0" borderId="29" xfId="0" applyBorder="1"/>
    <xf numFmtId="0" fontId="53" fillId="0" borderId="0" xfId="0" applyFont="1" applyBorder="1"/>
    <xf numFmtId="183" fontId="3" fillId="0" borderId="0" xfId="15" applyNumberFormat="1" applyFont="1" applyFill="1" applyBorder="1" applyAlignment="1">
      <alignment vertical="center"/>
    </xf>
    <xf numFmtId="183" fontId="3" fillId="18" borderId="0" xfId="15" applyNumberFormat="1" applyFont="1" applyFill="1" applyBorder="1" applyAlignment="1">
      <alignment vertical="center"/>
    </xf>
    <xf numFmtId="0" fontId="0" fillId="18" borderId="23" xfId="0" applyFill="1" applyBorder="1" applyAlignment="1">
      <alignment vertical="center"/>
    </xf>
    <xf numFmtId="0" fontId="0" fillId="18" borderId="18" xfId="0" applyFill="1" applyBorder="1" applyAlignment="1">
      <alignment vertical="center"/>
    </xf>
    <xf numFmtId="0" fontId="0" fillId="18" borderId="20" xfId="0" applyFill="1" applyBorder="1" applyAlignment="1">
      <alignment vertical="center"/>
    </xf>
    <xf numFmtId="183" fontId="42" fillId="18" borderId="20" xfId="0" applyNumberFormat="1" applyFont="1" applyFill="1" applyBorder="1" applyAlignment="1">
      <alignment vertical="center"/>
    </xf>
    <xf numFmtId="0" fontId="0" fillId="18" borderId="12" xfId="0" applyFill="1" applyBorder="1"/>
    <xf numFmtId="0" fontId="0" fillId="18" borderId="14" xfId="0" applyFill="1" applyBorder="1"/>
    <xf numFmtId="0" fontId="0" fillId="18" borderId="27" xfId="0" applyFill="1" applyBorder="1"/>
    <xf numFmtId="0" fontId="6" fillId="18" borderId="30" xfId="0" quotePrefix="1" applyFont="1" applyFill="1" applyBorder="1" applyAlignment="1">
      <alignment horizontal="center"/>
    </xf>
    <xf numFmtId="175" fontId="14" fillId="18" borderId="7" xfId="0" applyNumberFormat="1" applyFont="1" applyFill="1" applyBorder="1"/>
    <xf numFmtId="0" fontId="0" fillId="18" borderId="26" xfId="0" applyFill="1" applyBorder="1" applyProtection="1">
      <protection locked="0"/>
    </xf>
    <xf numFmtId="0" fontId="0" fillId="18" borderId="4" xfId="0" applyFill="1" applyBorder="1" applyProtection="1">
      <protection locked="0"/>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3" fillId="0" borderId="0" xfId="0" applyFont="1" applyBorder="1" applyAlignment="1">
      <alignment horizontal="center"/>
    </xf>
    <xf numFmtId="0" fontId="24" fillId="0" borderId="0" xfId="0" applyFont="1" applyBorder="1"/>
    <xf numFmtId="0" fontId="11" fillId="0" borderId="0" xfId="0" applyFont="1" applyBorder="1"/>
    <xf numFmtId="0" fontId="10" fillId="0" borderId="0" xfId="0" applyFont="1" applyBorder="1"/>
    <xf numFmtId="0" fontId="3" fillId="0" borderId="0" xfId="0" applyFont="1" applyBorder="1" applyAlignment="1">
      <alignment horizontal="center"/>
    </xf>
    <xf numFmtId="0" fontId="26" fillId="0" borderId="0" xfId="0" applyFont="1" applyBorder="1"/>
    <xf numFmtId="0" fontId="0" fillId="0" borderId="13" xfId="0" applyFill="1" applyBorder="1"/>
    <xf numFmtId="0" fontId="0" fillId="0" borderId="0" xfId="0" applyFill="1" applyBorder="1"/>
    <xf numFmtId="0" fontId="0" fillId="0" borderId="14" xfId="0" applyFill="1" applyBorder="1"/>
    <xf numFmtId="0" fontId="3" fillId="0" borderId="0" xfId="0" applyFont="1" applyBorder="1"/>
    <xf numFmtId="175" fontId="3" fillId="0" borderId="0" xfId="0" applyNumberFormat="1" applyFont="1" applyBorder="1"/>
    <xf numFmtId="0" fontId="21" fillId="0" borderId="0" xfId="0" applyFont="1" applyBorder="1"/>
    <xf numFmtId="0" fontId="20" fillId="0" borderId="13" xfId="0" applyFont="1" applyBorder="1" applyAlignment="1">
      <alignment horizontal="left" indent="1"/>
    </xf>
    <xf numFmtId="0" fontId="21" fillId="0" borderId="13" xfId="0" applyFont="1" applyBorder="1"/>
    <xf numFmtId="0" fontId="22" fillId="0" borderId="0" xfId="0" applyFont="1" applyBorder="1"/>
    <xf numFmtId="0" fontId="0" fillId="18" borderId="13" xfId="0" applyFill="1" applyBorder="1" applyProtection="1">
      <protection locked="0"/>
    </xf>
    <xf numFmtId="0" fontId="49" fillId="18" borderId="13" xfId="0" applyFont="1" applyFill="1" applyBorder="1" applyAlignment="1" applyProtection="1">
      <alignment horizontal="left" indent="3"/>
      <protection locked="0"/>
    </xf>
    <xf numFmtId="0" fontId="0" fillId="18" borderId="10" xfId="0" applyFill="1" applyBorder="1"/>
    <xf numFmtId="0" fontId="0" fillId="18" borderId="11" xfId="0" applyFill="1" applyBorder="1"/>
    <xf numFmtId="0" fontId="0" fillId="18" borderId="13" xfId="0" applyFill="1" applyBorder="1"/>
    <xf numFmtId="0" fontId="0" fillId="18" borderId="26" xfId="0" applyFill="1" applyBorder="1"/>
    <xf numFmtId="0" fontId="0" fillId="18" borderId="4" xfId="0" applyFill="1" applyBorder="1"/>
    <xf numFmtId="0" fontId="0" fillId="0" borderId="0" xfId="0" applyBorder="1" applyAlignment="1">
      <alignment horizontal="center"/>
    </xf>
    <xf numFmtId="0" fontId="10" fillId="18" borderId="13" xfId="0" applyFont="1" applyFill="1" applyBorder="1"/>
    <xf numFmtId="0" fontId="11" fillId="18" borderId="0" xfId="0" applyFont="1" applyFill="1" applyBorder="1" applyAlignment="1">
      <alignment horizontal="center"/>
    </xf>
    <xf numFmtId="0" fontId="10" fillId="18" borderId="0" xfId="0" applyFont="1" applyFill="1" applyBorder="1"/>
    <xf numFmtId="0" fontId="10" fillId="18" borderId="14" xfId="0" applyFont="1" applyFill="1" applyBorder="1"/>
    <xf numFmtId="0" fontId="3" fillId="18" borderId="13" xfId="0" applyFont="1" applyFill="1" applyBorder="1" applyAlignment="1">
      <alignment horizontal="center"/>
    </xf>
    <xf numFmtId="0" fontId="3" fillId="18" borderId="14" xfId="0" applyFont="1" applyFill="1" applyBorder="1" applyAlignment="1">
      <alignment horizontal="center"/>
    </xf>
    <xf numFmtId="0" fontId="0" fillId="18" borderId="13" xfId="0" applyFill="1" applyBorder="1" applyAlignment="1">
      <alignment horizontal="center"/>
    </xf>
    <xf numFmtId="0" fontId="0" fillId="18" borderId="14" xfId="0" applyFill="1" applyBorder="1" applyAlignment="1">
      <alignment horizontal="center"/>
    </xf>
    <xf numFmtId="0" fontId="3" fillId="18" borderId="13" xfId="0" applyFont="1" applyFill="1" applyBorder="1"/>
    <xf numFmtId="0" fontId="3" fillId="18" borderId="14" xfId="0" applyFont="1" applyFill="1" applyBorder="1"/>
    <xf numFmtId="176" fontId="12" fillId="18" borderId="13" xfId="0" applyNumberFormat="1" applyFont="1" applyFill="1" applyBorder="1"/>
    <xf numFmtId="176" fontId="12" fillId="18" borderId="14" xfId="0" applyNumberFormat="1" applyFont="1" applyFill="1" applyBorder="1"/>
    <xf numFmtId="175" fontId="3" fillId="18" borderId="4" xfId="0" applyNumberFormat="1" applyFont="1" applyFill="1" applyBorder="1" applyAlignment="1">
      <alignment horizontal="center"/>
    </xf>
    <xf numFmtId="0" fontId="3" fillId="18" borderId="4" xfId="0" applyFont="1" applyFill="1" applyBorder="1"/>
    <xf numFmtId="174" fontId="0" fillId="18" borderId="11" xfId="0" applyNumberFormat="1" applyFill="1" applyBorder="1"/>
    <xf numFmtId="9" fontId="0" fillId="18" borderId="11" xfId="0" applyNumberFormat="1" applyFill="1" applyBorder="1"/>
    <xf numFmtId="174" fontId="0" fillId="18" borderId="0" xfId="0" applyNumberFormat="1" applyFill="1" applyBorder="1"/>
    <xf numFmtId="9" fontId="0" fillId="18" borderId="0" xfId="0" applyNumberFormat="1" applyFill="1" applyBorder="1"/>
    <xf numFmtId="0" fontId="0" fillId="18" borderId="13" xfId="0" applyFill="1" applyBorder="1" applyAlignment="1">
      <alignment wrapText="1"/>
    </xf>
    <xf numFmtId="0" fontId="0" fillId="18" borderId="0" xfId="0" applyFill="1" applyBorder="1" applyAlignment="1">
      <alignment horizontal="center" wrapText="1"/>
    </xf>
    <xf numFmtId="0" fontId="0" fillId="18" borderId="14" xfId="0" applyFill="1" applyBorder="1" applyAlignment="1">
      <alignment wrapText="1"/>
    </xf>
    <xf numFmtId="0" fontId="0" fillId="18" borderId="14" xfId="0" applyFill="1" applyBorder="1" applyAlignment="1">
      <alignment horizontal="right"/>
    </xf>
    <xf numFmtId="174" fontId="0" fillId="18" borderId="13" xfId="0" applyNumberFormat="1" applyFill="1" applyBorder="1"/>
    <xf numFmtId="174" fontId="0" fillId="18" borderId="26" xfId="0" applyNumberFormat="1" applyFill="1" applyBorder="1"/>
    <xf numFmtId="174" fontId="0" fillId="18" borderId="4" xfId="0" applyNumberFormat="1" applyFill="1" applyBorder="1"/>
    <xf numFmtId="9" fontId="0" fillId="18" borderId="4" xfId="0" applyNumberFormat="1" applyFill="1" applyBorder="1"/>
    <xf numFmtId="0" fontId="9" fillId="18" borderId="0" xfId="0" applyFont="1" applyFill="1" applyBorder="1"/>
    <xf numFmtId="0" fontId="49" fillId="18" borderId="2" xfId="0" applyFont="1" applyFill="1" applyBorder="1" applyProtection="1">
      <protection locked="0"/>
    </xf>
    <xf numFmtId="0" fontId="49" fillId="18" borderId="29" xfId="0" applyFont="1" applyFill="1" applyBorder="1" applyProtection="1">
      <protection locked="0"/>
    </xf>
    <xf numFmtId="0" fontId="0" fillId="18" borderId="31" xfId="0" applyFill="1" applyBorder="1" applyProtection="1">
      <protection locked="0"/>
    </xf>
    <xf numFmtId="0" fontId="0" fillId="18" borderId="15" xfId="0" applyFill="1" applyBorder="1" applyProtection="1">
      <protection locked="0"/>
    </xf>
    <xf numFmtId="0" fontId="40" fillId="18" borderId="0" xfId="0" applyFont="1" applyFill="1" applyBorder="1" applyAlignment="1">
      <alignment horizontal="center" vertical="center" wrapText="1"/>
    </xf>
    <xf numFmtId="0" fontId="18" fillId="18" borderId="0" xfId="0" applyFont="1" applyFill="1" applyBorder="1"/>
    <xf numFmtId="0" fontId="18" fillId="18" borderId="0" xfId="0" applyFont="1" applyFill="1" applyBorder="1" applyAlignment="1">
      <alignment horizontal="left"/>
    </xf>
    <xf numFmtId="0" fontId="18" fillId="18" borderId="4" xfId="0" applyFont="1" applyFill="1" applyBorder="1" applyAlignment="1">
      <alignment horizontal="left"/>
    </xf>
    <xf numFmtId="0" fontId="18" fillId="18" borderId="4" xfId="0" applyFont="1" applyFill="1" applyBorder="1"/>
    <xf numFmtId="0" fontId="3" fillId="18" borderId="13" xfId="0" applyFont="1" applyFill="1" applyBorder="1" applyAlignment="1">
      <alignment horizontal="left" indent="1"/>
    </xf>
    <xf numFmtId="0" fontId="0" fillId="18" borderId="13" xfId="0" applyFill="1" applyBorder="1" applyAlignment="1">
      <alignment horizontal="left" indent="1"/>
    </xf>
    <xf numFmtId="174" fontId="0" fillId="18" borderId="13" xfId="0" applyNumberFormat="1" applyFill="1" applyBorder="1" applyAlignment="1">
      <alignment horizontal="left" indent="1"/>
    </xf>
    <xf numFmtId="0" fontId="18" fillId="18" borderId="0" xfId="0" applyFont="1" applyFill="1" applyBorder="1" applyAlignment="1">
      <alignment horizontal="left" indent="5"/>
    </xf>
    <xf numFmtId="175" fontId="3" fillId="0" borderId="9" xfId="0" applyNumberFormat="1" applyFont="1" applyFill="1" applyBorder="1"/>
    <xf numFmtId="174" fontId="3" fillId="0" borderId="32" xfId="0" applyNumberFormat="1" applyFont="1" applyFill="1" applyBorder="1" applyAlignment="1">
      <alignment horizontal="right"/>
    </xf>
    <xf numFmtId="9" fontId="3" fillId="0" borderId="32" xfId="0" applyNumberFormat="1" applyFont="1" applyFill="1" applyBorder="1" applyAlignment="1">
      <alignment horizontal="center"/>
    </xf>
    <xf numFmtId="0" fontId="20" fillId="0" borderId="14" xfId="0" applyFont="1" applyBorder="1" applyAlignment="1">
      <alignment horizontal="left" indent="1"/>
    </xf>
    <xf numFmtId="0" fontId="21" fillId="0" borderId="14" xfId="0" applyFont="1" applyBorder="1"/>
    <xf numFmtId="0" fontId="0" fillId="0" borderId="27" xfId="0" applyBorder="1"/>
    <xf numFmtId="0" fontId="48" fillId="18" borderId="33" xfId="0" applyFont="1" applyFill="1" applyBorder="1" applyAlignment="1" applyProtection="1">
      <alignment horizontal="left" indent="1"/>
      <protection locked="0"/>
    </xf>
    <xf numFmtId="0" fontId="49" fillId="18" borderId="15" xfId="0" applyFont="1" applyFill="1" applyBorder="1" applyProtection="1">
      <protection locked="0"/>
    </xf>
    <xf numFmtId="0" fontId="49" fillId="18" borderId="34" xfId="0" applyFont="1" applyFill="1" applyBorder="1" applyProtection="1">
      <protection locked="0"/>
    </xf>
    <xf numFmtId="0" fontId="54" fillId="0" borderId="0" xfId="0" applyFont="1" applyBorder="1" applyAlignment="1">
      <alignment horizontal="center"/>
    </xf>
    <xf numFmtId="0" fontId="55" fillId="18" borderId="0" xfId="0" applyFont="1" applyFill="1" applyBorder="1" applyAlignment="1">
      <alignment horizontal="center"/>
    </xf>
    <xf numFmtId="0" fontId="0" fillId="20" borderId="0" xfId="0" applyFill="1" applyBorder="1" applyAlignment="1">
      <alignment vertical="center"/>
    </xf>
    <xf numFmtId="0" fontId="55" fillId="20" borderId="0" xfId="0" applyFont="1" applyFill="1" applyBorder="1" applyAlignment="1">
      <alignment horizontal="left"/>
    </xf>
    <xf numFmtId="0" fontId="0" fillId="20" borderId="0" xfId="0" applyFill="1" applyBorder="1" applyAlignment="1">
      <alignment horizontal="left" vertical="center"/>
    </xf>
    <xf numFmtId="0" fontId="15" fillId="21" borderId="15" xfId="0" applyFont="1" applyFill="1" applyBorder="1" applyAlignment="1">
      <alignment horizontal="center" vertical="center"/>
    </xf>
    <xf numFmtId="177" fontId="3" fillId="18" borderId="15" xfId="0" quotePrefix="1" applyNumberFormat="1" applyFont="1" applyFill="1" applyBorder="1" applyAlignment="1">
      <alignment horizontal="center" vertical="center" wrapText="1"/>
    </xf>
    <xf numFmtId="0" fontId="3" fillId="18" borderId="15" xfId="0" quotePrefix="1" applyNumberFormat="1" applyFont="1" applyFill="1" applyBorder="1" applyAlignment="1">
      <alignment horizontal="center" vertical="center" wrapText="1"/>
    </xf>
    <xf numFmtId="0" fontId="42" fillId="18" borderId="15" xfId="0" applyFont="1" applyFill="1" applyBorder="1" applyAlignment="1">
      <alignment horizontal="center" vertical="center"/>
    </xf>
    <xf numFmtId="0" fontId="15" fillId="19" borderId="15" xfId="0" applyFont="1" applyFill="1" applyBorder="1" applyAlignment="1">
      <alignment horizontal="center" vertical="center"/>
    </xf>
    <xf numFmtId="0" fontId="12" fillId="18" borderId="0" xfId="0" applyFont="1" applyFill="1" applyBorder="1" applyAlignment="1">
      <alignment horizontal="left"/>
    </xf>
    <xf numFmtId="0" fontId="14" fillId="18" borderId="0" xfId="0" quotePrefix="1" applyFont="1" applyFill="1" applyBorder="1" applyAlignment="1">
      <alignment horizontal="left"/>
    </xf>
    <xf numFmtId="0" fontId="50" fillId="18" borderId="0" xfId="0" applyFont="1" applyFill="1" applyBorder="1"/>
    <xf numFmtId="0" fontId="0" fillId="18" borderId="0" xfId="0" quotePrefix="1" applyFill="1"/>
    <xf numFmtId="174" fontId="0" fillId="18" borderId="0" xfId="0" quotePrefix="1" applyNumberFormat="1" applyFill="1"/>
    <xf numFmtId="174" fontId="0" fillId="18" borderId="0" xfId="0" quotePrefix="1" applyNumberFormat="1" applyFill="1" applyAlignment="1"/>
    <xf numFmtId="169" fontId="0" fillId="18" borderId="0" xfId="0" applyNumberFormat="1" applyFill="1"/>
    <xf numFmtId="0" fontId="3" fillId="18" borderId="0" xfId="0" quotePrefix="1" applyFont="1" applyFill="1"/>
    <xf numFmtId="169" fontId="3" fillId="18" borderId="0" xfId="0" applyNumberFormat="1" applyFont="1" applyFill="1"/>
    <xf numFmtId="169" fontId="3" fillId="18" borderId="3" xfId="0" applyNumberFormat="1" applyFont="1" applyFill="1" applyBorder="1"/>
    <xf numFmtId="174" fontId="0" fillId="18" borderId="35" xfId="0" applyNumberFormat="1" applyFill="1" applyBorder="1"/>
    <xf numFmtId="38" fontId="51" fillId="0" borderId="0" xfId="0" applyNumberFormat="1" applyFont="1" applyFill="1" applyBorder="1" applyAlignment="1">
      <alignment horizontal="center"/>
    </xf>
    <xf numFmtId="38" fontId="49" fillId="0" borderId="0" xfId="0" applyNumberFormat="1" applyFont="1" applyFill="1" applyBorder="1"/>
    <xf numFmtId="38" fontId="51" fillId="0" borderId="36" xfId="0" applyNumberFormat="1" applyFont="1" applyFill="1" applyBorder="1" applyAlignment="1">
      <alignment horizontal="center"/>
    </xf>
    <xf numFmtId="38" fontId="49" fillId="0" borderId="0" xfId="0" applyNumberFormat="1" applyFont="1" applyFill="1" applyBorder="1" applyAlignment="1">
      <alignment horizontal="center"/>
    </xf>
    <xf numFmtId="38" fontId="49" fillId="0" borderId="0" xfId="0" applyNumberFormat="1" applyFont="1" applyBorder="1" applyAlignment="1">
      <alignment horizontal="center"/>
    </xf>
    <xf numFmtId="38" fontId="49" fillId="0" borderId="0" xfId="0" applyNumberFormat="1" applyFont="1" applyBorder="1"/>
    <xf numFmtId="38" fontId="0" fillId="0" borderId="0" xfId="0" applyNumberFormat="1" applyBorder="1"/>
    <xf numFmtId="38" fontId="54" fillId="0" borderId="0" xfId="0" applyNumberFormat="1" applyFont="1" applyFill="1" applyBorder="1" applyAlignment="1">
      <alignment horizontal="center"/>
    </xf>
    <xf numFmtId="169" fontId="3" fillId="22" borderId="1" xfId="0" applyNumberFormat="1" applyFont="1" applyFill="1" applyBorder="1" applyAlignment="1">
      <alignment horizontal="center"/>
    </xf>
    <xf numFmtId="169" fontId="3" fillId="22" borderId="6" xfId="0" applyNumberFormat="1" applyFont="1" applyFill="1" applyBorder="1"/>
    <xf numFmtId="169" fontId="3" fillId="22" borderId="37" xfId="0" applyNumberFormat="1" applyFont="1" applyFill="1" applyBorder="1"/>
    <xf numFmtId="0" fontId="0" fillId="2" borderId="0" xfId="0" applyFill="1"/>
    <xf numFmtId="0" fontId="60" fillId="2" borderId="0" xfId="0" applyFont="1" applyFill="1"/>
    <xf numFmtId="174" fontId="3" fillId="18" borderId="0" xfId="0" quotePrefix="1" applyNumberFormat="1" applyFont="1" applyFill="1" applyAlignment="1">
      <alignment horizontal="center"/>
    </xf>
    <xf numFmtId="174" fontId="0" fillId="18" borderId="0" xfId="0" applyNumberFormat="1" applyFill="1" applyAlignment="1">
      <alignment horizontal="center"/>
    </xf>
    <xf numFmtId="183" fontId="42" fillId="0" borderId="24" xfId="0" applyNumberFormat="1" applyFont="1" applyFill="1" applyBorder="1" applyAlignment="1">
      <alignment vertical="center"/>
    </xf>
    <xf numFmtId="0" fontId="42" fillId="0" borderId="0" xfId="0" applyFont="1" applyFill="1" applyBorder="1" applyAlignment="1">
      <alignment vertical="center"/>
    </xf>
    <xf numFmtId="183" fontId="42" fillId="0" borderId="0" xfId="0" applyNumberFormat="1" applyFont="1" applyFill="1" applyBorder="1" applyAlignment="1">
      <alignment vertical="center"/>
    </xf>
    <xf numFmtId="0" fontId="61" fillId="18" borderId="0" xfId="0" applyFont="1" applyFill="1"/>
    <xf numFmtId="0" fontId="62" fillId="2" borderId="0" xfId="0" applyFont="1" applyFill="1" applyAlignment="1">
      <alignment horizontal="left"/>
    </xf>
    <xf numFmtId="0" fontId="8" fillId="0" borderId="0" xfId="0" quotePrefix="1" applyFont="1" applyFill="1" applyAlignment="1">
      <alignment horizontal="center" wrapText="1"/>
    </xf>
    <xf numFmtId="0" fontId="62" fillId="18" borderId="0" xfId="0" applyFont="1" applyFill="1" applyAlignment="1">
      <alignment horizontal="left"/>
    </xf>
    <xf numFmtId="0" fontId="0" fillId="0" borderId="1" xfId="0" applyBorder="1"/>
    <xf numFmtId="0" fontId="0" fillId="0" borderId="6" xfId="0" applyBorder="1"/>
    <xf numFmtId="173" fontId="0" fillId="0" borderId="0" xfId="15" applyNumberFormat="1" applyFont="1" applyBorder="1"/>
    <xf numFmtId="0" fontId="0" fillId="0" borderId="7" xfId="0" applyBorder="1"/>
    <xf numFmtId="0" fontId="0" fillId="2" borderId="0" xfId="0" applyFill="1" applyBorder="1" applyProtection="1">
      <protection locked="0"/>
    </xf>
    <xf numFmtId="0" fontId="51" fillId="18" borderId="13" xfId="0" applyFont="1" applyFill="1" applyBorder="1"/>
    <xf numFmtId="174" fontId="65" fillId="23" borderId="7" xfId="15" applyNumberFormat="1" applyFont="1" applyFill="1" applyBorder="1"/>
    <xf numFmtId="174" fontId="65" fillId="23" borderId="15" xfId="15" applyNumberFormat="1" applyFont="1" applyFill="1" applyBorder="1"/>
    <xf numFmtId="173" fontId="65" fillId="23" borderId="6" xfId="15" applyNumberFormat="1" applyFont="1" applyFill="1" applyBorder="1" applyAlignment="1">
      <alignment horizontal="center"/>
    </xf>
    <xf numFmtId="173" fontId="65" fillId="23" borderId="0" xfId="15" applyNumberFormat="1" applyFont="1" applyFill="1" applyBorder="1" applyAlignment="1">
      <alignment horizontal="center"/>
    </xf>
    <xf numFmtId="174" fontId="65" fillId="23" borderId="0" xfId="15" applyNumberFormat="1" applyFont="1" applyFill="1" applyBorder="1"/>
    <xf numFmtId="0" fontId="3" fillId="18" borderId="38" xfId="0" applyFont="1" applyFill="1" applyBorder="1" applyAlignment="1">
      <alignment horizontal="left"/>
    </xf>
    <xf numFmtId="0" fontId="0" fillId="18" borderId="38" xfId="0" applyFill="1" applyBorder="1" applyAlignment="1">
      <alignment horizontal="center"/>
    </xf>
    <xf numFmtId="174" fontId="3" fillId="18" borderId="0" xfId="0" applyNumberFormat="1" applyFont="1" applyFill="1" applyBorder="1" applyAlignment="1">
      <alignment horizontal="center" wrapText="1"/>
    </xf>
    <xf numFmtId="174" fontId="3" fillId="18" borderId="0" xfId="0" applyNumberFormat="1" applyFont="1" applyFill="1" applyBorder="1" applyAlignment="1">
      <alignment horizontal="center"/>
    </xf>
    <xf numFmtId="174" fontId="0" fillId="18" borderId="32" xfId="0" applyNumberFormat="1" applyFill="1" applyBorder="1"/>
    <xf numFmtId="0" fontId="0" fillId="18" borderId="39" xfId="0" applyFill="1" applyBorder="1"/>
    <xf numFmtId="174" fontId="3" fillId="18" borderId="0" xfId="0" applyNumberFormat="1" applyFont="1" applyFill="1" applyBorder="1"/>
    <xf numFmtId="0" fontId="26" fillId="18" borderId="40" xfId="0" applyFont="1" applyFill="1" applyBorder="1"/>
    <xf numFmtId="0" fontId="25" fillId="18" borderId="41" xfId="0" applyFont="1" applyFill="1" applyBorder="1"/>
    <xf numFmtId="169" fontId="68" fillId="18" borderId="0" xfId="0" applyNumberFormat="1" applyFont="1" applyFill="1" applyBorder="1"/>
    <xf numFmtId="169" fontId="68" fillId="18" borderId="14" xfId="0" applyNumberFormat="1" applyFont="1" applyFill="1" applyBorder="1"/>
    <xf numFmtId="0" fontId="26" fillId="18" borderId="42" xfId="0" applyFont="1" applyFill="1" applyBorder="1"/>
    <xf numFmtId="0" fontId="26" fillId="18" borderId="4" xfId="0" applyFont="1" applyFill="1" applyBorder="1"/>
    <xf numFmtId="0" fontId="26" fillId="18" borderId="27" xfId="0" applyFont="1" applyFill="1" applyBorder="1"/>
    <xf numFmtId="0" fontId="26" fillId="18" borderId="0" xfId="0" applyFont="1" applyFill="1"/>
    <xf numFmtId="169" fontId="3" fillId="22" borderId="6" xfId="0" applyNumberFormat="1" applyFont="1" applyFill="1" applyBorder="1" applyAlignment="1">
      <alignment horizontal="center"/>
    </xf>
    <xf numFmtId="183" fontId="9" fillId="18" borderId="0" xfId="15" applyNumberFormat="1" applyFont="1" applyFill="1" applyBorder="1" applyAlignment="1">
      <alignment vertical="center"/>
    </xf>
    <xf numFmtId="0" fontId="3" fillId="0" borderId="43" xfId="0" applyFont="1" applyBorder="1"/>
    <xf numFmtId="0" fontId="3" fillId="0" borderId="44" xfId="0" applyFont="1" applyBorder="1"/>
    <xf numFmtId="173" fontId="0" fillId="9" borderId="0" xfId="15" applyNumberFormat="1" applyFont="1" applyFill="1" applyBorder="1"/>
    <xf numFmtId="173" fontId="0" fillId="9" borderId="29" xfId="15" applyNumberFormat="1" applyFont="1" applyFill="1" applyBorder="1"/>
    <xf numFmtId="173" fontId="0" fillId="9" borderId="15" xfId="15" applyNumberFormat="1" applyFont="1" applyFill="1" applyBorder="1"/>
    <xf numFmtId="173" fontId="0" fillId="9" borderId="34" xfId="15" applyNumberFormat="1" applyFont="1" applyFill="1" applyBorder="1"/>
    <xf numFmtId="0" fontId="3" fillId="18" borderId="0" xfId="0" quotePrefix="1" applyFont="1" applyFill="1" applyAlignment="1">
      <alignment horizontal="center" wrapText="1"/>
    </xf>
    <xf numFmtId="174" fontId="9" fillId="18" borderId="0" xfId="0" applyNumberFormat="1" applyFont="1" applyFill="1"/>
    <xf numFmtId="169" fontId="9" fillId="22" borderId="6" xfId="0" applyNumberFormat="1" applyFont="1" applyFill="1" applyBorder="1"/>
    <xf numFmtId="0" fontId="56" fillId="18" borderId="0" xfId="0" applyFont="1" applyFill="1" applyBorder="1"/>
    <xf numFmtId="0" fontId="49" fillId="18" borderId="0" xfId="0" applyFont="1" applyFill="1" applyBorder="1"/>
    <xf numFmtId="0" fontId="50" fillId="18" borderId="0" xfId="0" applyFont="1" applyFill="1" applyBorder="1" applyProtection="1">
      <protection locked="0"/>
    </xf>
    <xf numFmtId="0" fontId="49" fillId="18" borderId="14" xfId="0" applyFont="1" applyFill="1" applyBorder="1" applyProtection="1">
      <protection locked="0"/>
    </xf>
    <xf numFmtId="0" fontId="0" fillId="18" borderId="14" xfId="0" applyFill="1" applyBorder="1" applyProtection="1">
      <protection locked="0"/>
    </xf>
    <xf numFmtId="0" fontId="12" fillId="18" borderId="0" xfId="0" applyFont="1" applyFill="1" applyBorder="1" applyAlignment="1" applyProtection="1">
      <alignment horizontal="left" indent="1"/>
      <protection locked="0"/>
    </xf>
    <xf numFmtId="0" fontId="50" fillId="18" borderId="0" xfId="0" applyFont="1" applyFill="1" applyBorder="1" applyAlignment="1" applyProtection="1">
      <alignment horizontal="left" indent="2"/>
      <protection locked="0"/>
    </xf>
    <xf numFmtId="0" fontId="0" fillId="18" borderId="0" xfId="0" applyFill="1" applyBorder="1" applyAlignment="1" applyProtection="1">
      <alignment horizontal="left" indent="2"/>
      <protection locked="0"/>
    </xf>
    <xf numFmtId="0" fontId="52" fillId="18" borderId="0" xfId="0" applyFont="1" applyFill="1" applyBorder="1"/>
    <xf numFmtId="174" fontId="49" fillId="18" borderId="0" xfId="0" applyNumberFormat="1" applyFont="1" applyFill="1" applyBorder="1"/>
    <xf numFmtId="0" fontId="51" fillId="18" borderId="26" xfId="0" applyFont="1" applyFill="1" applyBorder="1"/>
    <xf numFmtId="174" fontId="49" fillId="18" borderId="4" xfId="0" applyNumberFormat="1" applyFont="1" applyFill="1" applyBorder="1"/>
    <xf numFmtId="173" fontId="64" fillId="18" borderId="13" xfId="15" applyNumberFormat="1" applyFont="1" applyFill="1" applyBorder="1"/>
    <xf numFmtId="173" fontId="64" fillId="18" borderId="0" xfId="15" applyNumberFormat="1" applyFont="1" applyFill="1" applyBorder="1"/>
    <xf numFmtId="173" fontId="64" fillId="18" borderId="14" xfId="15" applyNumberFormat="1" applyFont="1" applyFill="1" applyBorder="1"/>
    <xf numFmtId="173" fontId="64" fillId="18" borderId="0" xfId="15" applyNumberFormat="1" applyFont="1" applyFill="1"/>
    <xf numFmtId="0" fontId="58" fillId="18" borderId="0" xfId="0" applyFont="1" applyFill="1" applyBorder="1" applyAlignment="1">
      <alignment horizontal="left" indent="1"/>
    </xf>
    <xf numFmtId="0" fontId="51" fillId="18" borderId="0" xfId="0" applyFont="1" applyFill="1" applyBorder="1" applyAlignment="1" applyProtection="1">
      <alignment horizontal="left"/>
      <protection locked="0"/>
    </xf>
    <xf numFmtId="0" fontId="26" fillId="18" borderId="11" xfId="0" applyFont="1" applyFill="1" applyBorder="1"/>
    <xf numFmtId="0" fontId="26" fillId="18" borderId="12" xfId="0" applyFont="1" applyFill="1" applyBorder="1"/>
    <xf numFmtId="169" fontId="68" fillId="18" borderId="0" xfId="0" applyNumberFormat="1" applyFont="1" applyFill="1" applyBorder="1" applyAlignment="1">
      <alignment horizontal="left"/>
    </xf>
    <xf numFmtId="0" fontId="49" fillId="18" borderId="13" xfId="0" applyFont="1" applyFill="1" applyBorder="1"/>
    <xf numFmtId="0" fontId="49" fillId="18" borderId="11" xfId="0" applyFont="1" applyFill="1" applyBorder="1"/>
    <xf numFmtId="0" fontId="51" fillId="18" borderId="11" xfId="0" applyFont="1" applyFill="1" applyBorder="1" applyAlignment="1">
      <alignment horizontal="center"/>
    </xf>
    <xf numFmtId="0" fontId="51" fillId="18" borderId="11" xfId="0" applyFont="1" applyFill="1" applyBorder="1"/>
    <xf numFmtId="0" fontId="49" fillId="18" borderId="12" xfId="0" applyFont="1" applyFill="1" applyBorder="1"/>
    <xf numFmtId="0" fontId="49" fillId="18" borderId="0" xfId="0" applyFont="1" applyFill="1"/>
    <xf numFmtId="0" fontId="49" fillId="18" borderId="45" xfId="0" applyFont="1" applyFill="1" applyBorder="1"/>
    <xf numFmtId="0" fontId="49" fillId="18" borderId="15" xfId="0" applyFont="1" applyFill="1" applyBorder="1"/>
    <xf numFmtId="0" fontId="51" fillId="18" borderId="15" xfId="0" applyFont="1" applyFill="1" applyBorder="1" applyAlignment="1">
      <alignment horizontal="center"/>
    </xf>
    <xf numFmtId="0" fontId="51" fillId="18" borderId="46" xfId="0" applyFont="1" applyFill="1" applyBorder="1" applyAlignment="1">
      <alignment horizontal="center"/>
    </xf>
    <xf numFmtId="0" fontId="51" fillId="18" borderId="0" xfId="0" applyFont="1" applyFill="1" applyBorder="1" applyAlignment="1">
      <alignment horizontal="center"/>
    </xf>
    <xf numFmtId="0" fontId="63" fillId="18" borderId="29" xfId="0" applyFont="1" applyFill="1" applyBorder="1"/>
    <xf numFmtId="169" fontId="49" fillId="18" borderId="47" xfId="0" applyNumberFormat="1" applyFont="1" applyFill="1" applyBorder="1"/>
    <xf numFmtId="169" fontId="49" fillId="18" borderId="0" xfId="0" applyNumberFormat="1" applyFont="1" applyFill="1" applyBorder="1"/>
    <xf numFmtId="169" fontId="49" fillId="18" borderId="0" xfId="0" applyNumberFormat="1" applyFont="1" applyFill="1" applyBorder="1" applyProtection="1">
      <protection locked="0"/>
    </xf>
    <xf numFmtId="169" fontId="49" fillId="18" borderId="28" xfId="0" applyNumberFormat="1" applyFont="1" applyFill="1" applyBorder="1"/>
    <xf numFmtId="0" fontId="49" fillId="18" borderId="14" xfId="0" applyFont="1" applyFill="1" applyBorder="1"/>
    <xf numFmtId="0" fontId="49" fillId="18" borderId="0" xfId="0" applyFont="1" applyFill="1" applyBorder="1" applyAlignment="1" applyProtection="1">
      <alignment horizontal="left" indent="4"/>
      <protection locked="0"/>
    </xf>
    <xf numFmtId="169" fontId="49" fillId="18" borderId="29" xfId="0" applyNumberFormat="1" applyFont="1" applyFill="1" applyBorder="1"/>
    <xf numFmtId="0" fontId="51" fillId="18" borderId="0" xfId="0" applyFont="1" applyFill="1" applyBorder="1" applyAlignment="1">
      <alignment horizontal="left"/>
    </xf>
    <xf numFmtId="0" fontId="63" fillId="18" borderId="48" xfId="0" applyFont="1" applyFill="1" applyBorder="1"/>
    <xf numFmtId="169" fontId="49" fillId="18" borderId="49" xfId="0" applyNumberFormat="1" applyFont="1" applyFill="1" applyBorder="1"/>
    <xf numFmtId="169" fontId="49" fillId="18" borderId="4" xfId="0" applyNumberFormat="1" applyFont="1" applyFill="1" applyBorder="1"/>
    <xf numFmtId="169" fontId="49" fillId="18" borderId="48" xfId="0" applyNumberFormat="1" applyFont="1" applyFill="1" applyBorder="1"/>
    <xf numFmtId="0" fontId="49" fillId="18" borderId="27" xfId="0" applyFont="1" applyFill="1" applyBorder="1"/>
    <xf numFmtId="0" fontId="51" fillId="18" borderId="0" xfId="0" applyFont="1" applyFill="1" applyBorder="1"/>
    <xf numFmtId="0" fontId="49" fillId="18" borderId="0" xfId="0" applyFont="1" applyFill="1" applyBorder="1" applyAlignment="1" applyProtection="1">
      <alignment horizontal="left" indent="1"/>
      <protection locked="0"/>
    </xf>
    <xf numFmtId="0" fontId="5" fillId="0" borderId="0" xfId="0" quotePrefix="1" applyFont="1" applyFill="1" applyAlignment="1"/>
    <xf numFmtId="0" fontId="25" fillId="18" borderId="0" xfId="0" applyFont="1" applyFill="1"/>
    <xf numFmtId="0" fontId="0" fillId="24" borderId="1" xfId="0" applyFill="1" applyBorder="1"/>
    <xf numFmtId="169" fontId="51" fillId="18" borderId="28" xfId="0" quotePrefix="1" applyNumberFormat="1" applyFont="1" applyFill="1" applyBorder="1" applyAlignment="1">
      <alignment horizontal="center"/>
    </xf>
    <xf numFmtId="169" fontId="51" fillId="18" borderId="29" xfId="0" quotePrefix="1" applyNumberFormat="1" applyFont="1" applyFill="1" applyBorder="1" applyAlignment="1">
      <alignment horizontal="center"/>
    </xf>
    <xf numFmtId="169" fontId="51" fillId="18" borderId="48" xfId="0" quotePrefix="1" applyNumberFormat="1" applyFont="1" applyFill="1" applyBorder="1" applyAlignment="1">
      <alignment horizontal="center"/>
    </xf>
    <xf numFmtId="169" fontId="68" fillId="18" borderId="14" xfId="0" applyNumberFormat="1" applyFont="1" applyFill="1" applyBorder="1" applyAlignment="1">
      <alignment horizontal="left"/>
    </xf>
    <xf numFmtId="173" fontId="9" fillId="18" borderId="0" xfId="15" applyNumberFormat="1" applyFont="1" applyFill="1" applyBorder="1"/>
    <xf numFmtId="0" fontId="49" fillId="18" borderId="0" xfId="0" applyFont="1" applyFill="1" applyBorder="1" applyAlignment="1" applyProtection="1">
      <alignment horizontal="left"/>
      <protection locked="0"/>
    </xf>
    <xf numFmtId="0" fontId="48" fillId="18" borderId="0" xfId="0" applyFont="1" applyFill="1" applyBorder="1" applyAlignment="1" applyProtection="1">
      <alignment horizontal="left"/>
      <protection locked="0"/>
    </xf>
    <xf numFmtId="0" fontId="48" fillId="18" borderId="0" xfId="0" applyFont="1" applyFill="1" applyBorder="1" applyAlignment="1" applyProtection="1">
      <protection locked="0"/>
    </xf>
    <xf numFmtId="0" fontId="3" fillId="24" borderId="0" xfId="0" applyFont="1" applyFill="1"/>
    <xf numFmtId="173" fontId="3" fillId="18" borderId="0" xfId="15" applyNumberFormat="1" applyFont="1" applyFill="1" applyBorder="1"/>
    <xf numFmtId="0" fontId="3" fillId="24" borderId="0" xfId="0" applyFont="1" applyFill="1" applyAlignment="1">
      <alignment horizontal="left"/>
    </xf>
    <xf numFmtId="0" fontId="3" fillId="24" borderId="0" xfId="0" applyFont="1" applyFill="1" applyAlignment="1">
      <alignment horizontal="center"/>
    </xf>
    <xf numFmtId="38" fontId="3" fillId="18" borderId="3" xfId="0" applyNumberFormat="1" applyFont="1" applyFill="1" applyBorder="1"/>
    <xf numFmtId="0" fontId="0" fillId="18" borderId="3" xfId="0" applyFill="1" applyBorder="1"/>
    <xf numFmtId="173" fontId="65" fillId="18" borderId="13" xfId="15" applyNumberFormat="1" applyFont="1" applyFill="1" applyBorder="1"/>
    <xf numFmtId="173" fontId="66" fillId="18" borderId="47" xfId="15" applyNumberFormat="1" applyFont="1" applyFill="1" applyBorder="1" applyAlignment="1">
      <alignment horizontal="center"/>
    </xf>
    <xf numFmtId="173" fontId="66" fillId="18" borderId="0" xfId="15" applyNumberFormat="1" applyFont="1" applyFill="1" applyBorder="1" applyAlignment="1">
      <alignment horizontal="center"/>
    </xf>
    <xf numFmtId="173" fontId="67" fillId="18" borderId="6" xfId="15" applyNumberFormat="1" applyFont="1" applyFill="1" applyBorder="1" applyAlignment="1">
      <alignment horizontal="center"/>
    </xf>
    <xf numFmtId="173" fontId="66" fillId="18" borderId="6" xfId="15" applyNumberFormat="1" applyFont="1" applyFill="1" applyBorder="1" applyAlignment="1">
      <alignment horizontal="center"/>
    </xf>
    <xf numFmtId="173" fontId="67" fillId="18" borderId="0" xfId="15" applyNumberFormat="1" applyFont="1" applyFill="1" applyBorder="1" applyAlignment="1">
      <alignment horizontal="center"/>
    </xf>
    <xf numFmtId="173" fontId="66" fillId="18" borderId="50" xfId="15" applyNumberFormat="1" applyFont="1" applyFill="1" applyBorder="1" applyAlignment="1">
      <alignment horizontal="center"/>
    </xf>
    <xf numFmtId="173" fontId="64" fillId="18" borderId="0" xfId="15" applyNumberFormat="1" applyFont="1" applyFill="1" applyBorder="1" applyAlignment="1">
      <alignment horizontal="center"/>
    </xf>
    <xf numFmtId="173" fontId="64" fillId="18" borderId="6" xfId="15" applyNumberFormat="1" applyFont="1" applyFill="1" applyBorder="1" applyAlignment="1">
      <alignment horizontal="center"/>
    </xf>
    <xf numFmtId="173" fontId="64" fillId="18" borderId="50" xfId="15" applyNumberFormat="1" applyFont="1" applyFill="1" applyBorder="1" applyAlignment="1">
      <alignment horizontal="center"/>
    </xf>
    <xf numFmtId="174" fontId="64" fillId="18" borderId="0" xfId="15" applyNumberFormat="1" applyFont="1" applyFill="1" applyBorder="1"/>
    <xf numFmtId="174" fontId="64" fillId="18" borderId="6" xfId="15" applyNumberFormat="1" applyFont="1" applyFill="1" applyBorder="1"/>
    <xf numFmtId="174" fontId="64" fillId="18" borderId="50" xfId="15" applyNumberFormat="1" applyFont="1" applyFill="1" applyBorder="1"/>
    <xf numFmtId="174" fontId="64" fillId="18" borderId="15" xfId="15" applyNumberFormat="1" applyFont="1" applyFill="1" applyBorder="1"/>
    <xf numFmtId="174" fontId="64" fillId="18" borderId="7" xfId="15" applyNumberFormat="1" applyFont="1" applyFill="1" applyBorder="1"/>
    <xf numFmtId="174" fontId="64" fillId="18" borderId="51" xfId="15" applyNumberFormat="1" applyFont="1" applyFill="1" applyBorder="1"/>
    <xf numFmtId="173" fontId="64" fillId="18" borderId="26" xfId="15" applyNumberFormat="1" applyFont="1" applyFill="1" applyBorder="1"/>
    <xf numFmtId="173" fontId="64" fillId="18" borderId="4" xfId="15" applyNumberFormat="1" applyFont="1" applyFill="1" applyBorder="1"/>
    <xf numFmtId="173" fontId="64" fillId="18" borderId="27" xfId="15" applyNumberFormat="1" applyFont="1" applyFill="1" applyBorder="1"/>
    <xf numFmtId="174" fontId="65" fillId="23" borderId="6" xfId="15" applyNumberFormat="1" applyFont="1" applyFill="1" applyBorder="1"/>
    <xf numFmtId="169" fontId="50" fillId="14" borderId="1" xfId="0" applyNumberFormat="1" applyFont="1" applyFill="1" applyBorder="1" applyAlignment="1">
      <alignment horizontal="center"/>
    </xf>
    <xf numFmtId="169" fontId="50" fillId="18" borderId="0" xfId="0" applyNumberFormat="1" applyFont="1" applyFill="1" applyAlignment="1">
      <alignment horizontal="center"/>
    </xf>
    <xf numFmtId="174" fontId="50" fillId="14" borderId="1" xfId="0" applyNumberFormat="1" applyFont="1" applyFill="1" applyBorder="1"/>
    <xf numFmtId="0" fontId="50" fillId="18" borderId="0" xfId="0" applyFont="1" applyFill="1"/>
    <xf numFmtId="174" fontId="50" fillId="0" borderId="37" xfId="0" applyNumberFormat="1" applyFont="1" applyFill="1" applyBorder="1"/>
    <xf numFmtId="0" fontId="50" fillId="14" borderId="1" xfId="0" applyFont="1" applyFill="1" applyBorder="1"/>
    <xf numFmtId="38" fontId="51" fillId="18" borderId="27" xfId="15" applyNumberFormat="1" applyFont="1" applyFill="1" applyBorder="1"/>
    <xf numFmtId="173" fontId="50" fillId="18" borderId="0" xfId="15" applyNumberFormat="1" applyFont="1" applyFill="1" applyBorder="1"/>
    <xf numFmtId="173" fontId="12" fillId="18" borderId="0" xfId="15" applyNumberFormat="1" applyFont="1" applyFill="1" applyBorder="1"/>
    <xf numFmtId="0" fontId="51" fillId="0" borderId="52" xfId="0" applyFont="1" applyFill="1" applyBorder="1"/>
    <xf numFmtId="174" fontId="50" fillId="24" borderId="0" xfId="0" applyNumberFormat="1" applyFont="1" applyFill="1" applyBorder="1"/>
    <xf numFmtId="3" fontId="0" fillId="24" borderId="0" xfId="0" applyNumberFormat="1" applyFill="1"/>
    <xf numFmtId="174" fontId="50" fillId="24" borderId="3" xfId="0" applyNumberFormat="1" applyFont="1" applyFill="1" applyBorder="1"/>
    <xf numFmtId="174" fontId="12" fillId="24" borderId="3" xfId="0" applyNumberFormat="1" applyFont="1" applyFill="1" applyBorder="1"/>
    <xf numFmtId="174" fontId="50" fillId="24" borderId="1" xfId="0" applyNumberFormat="1" applyFont="1" applyFill="1" applyBorder="1"/>
    <xf numFmtId="173" fontId="9" fillId="18" borderId="14" xfId="15" applyNumberFormat="1" applyFont="1" applyFill="1" applyBorder="1" applyAlignment="1">
      <alignment horizontal="center"/>
    </xf>
    <xf numFmtId="38" fontId="49" fillId="18" borderId="14" xfId="15" applyNumberFormat="1" applyFont="1" applyFill="1" applyBorder="1"/>
    <xf numFmtId="38" fontId="51" fillId="18" borderId="53" xfId="15" applyNumberFormat="1" applyFont="1" applyFill="1" applyBorder="1"/>
    <xf numFmtId="38" fontId="49" fillId="18" borderId="46" xfId="15" applyNumberFormat="1" applyFont="1" applyFill="1" applyBorder="1"/>
    <xf numFmtId="183" fontId="61" fillId="19" borderId="0" xfId="0" applyNumberFormat="1" applyFont="1" applyFill="1" applyBorder="1" applyAlignment="1">
      <alignment vertical="center"/>
    </xf>
    <xf numFmtId="0" fontId="25" fillId="0" borderId="32" xfId="0" applyFont="1" applyFill="1" applyBorder="1" applyAlignment="1">
      <alignment horizontal="center"/>
    </xf>
    <xf numFmtId="0" fontId="49" fillId="0" borderId="13" xfId="0" applyFont="1" applyFill="1" applyBorder="1"/>
    <xf numFmtId="169" fontId="57" fillId="0" borderId="38" xfId="0" applyNumberFormat="1" applyFont="1" applyFill="1" applyBorder="1" applyAlignment="1">
      <alignment horizontal="left"/>
    </xf>
    <xf numFmtId="169" fontId="57" fillId="0" borderId="38" xfId="0" applyNumberFormat="1" applyFont="1" applyFill="1" applyBorder="1"/>
    <xf numFmtId="0" fontId="49" fillId="0" borderId="26" xfId="0" applyFont="1" applyFill="1" applyBorder="1"/>
    <xf numFmtId="169" fontId="57" fillId="0" borderId="54" xfId="0" applyNumberFormat="1" applyFont="1" applyFill="1" applyBorder="1"/>
    <xf numFmtId="38" fontId="51" fillId="0" borderId="55" xfId="0" applyNumberFormat="1" applyFont="1" applyFill="1" applyBorder="1" applyAlignment="1">
      <alignment horizontal="center"/>
    </xf>
    <xf numFmtId="38" fontId="49" fillId="0" borderId="56" xfId="0" applyNumberFormat="1" applyFont="1" applyFill="1" applyBorder="1" applyAlignment="1">
      <alignment horizontal="center"/>
    </xf>
    <xf numFmtId="38" fontId="49" fillId="0" borderId="32" xfId="0" applyNumberFormat="1" applyFont="1" applyFill="1" applyBorder="1" applyAlignment="1">
      <alignment horizontal="center"/>
    </xf>
    <xf numFmtId="0" fontId="69" fillId="13" borderId="57" xfId="0" applyFont="1" applyFill="1" applyBorder="1" applyAlignment="1">
      <alignment horizontal="centerContinuous"/>
    </xf>
    <xf numFmtId="0" fontId="25" fillId="13" borderId="54" xfId="0" applyFont="1" applyFill="1" applyBorder="1" applyAlignment="1">
      <alignment horizontal="center" wrapText="1"/>
    </xf>
    <xf numFmtId="0" fontId="69" fillId="0" borderId="57" xfId="0" applyFont="1" applyFill="1" applyBorder="1" applyAlignment="1">
      <alignment horizontal="centerContinuous"/>
    </xf>
    <xf numFmtId="0" fontId="27" fillId="0" borderId="54" xfId="0" applyFont="1" applyFill="1" applyBorder="1" applyAlignment="1">
      <alignment horizontal="center" wrapText="1"/>
    </xf>
    <xf numFmtId="38" fontId="51" fillId="0" borderId="56" xfId="0" applyNumberFormat="1" applyFont="1" applyFill="1" applyBorder="1" applyAlignment="1">
      <alignment horizontal="center"/>
    </xf>
    <xf numFmtId="38" fontId="51" fillId="0" borderId="32" xfId="0" applyNumberFormat="1" applyFont="1" applyFill="1" applyBorder="1" applyAlignment="1">
      <alignment horizontal="center"/>
    </xf>
    <xf numFmtId="0" fontId="50" fillId="18" borderId="47" xfId="0" applyFont="1" applyFill="1" applyBorder="1" applyProtection="1">
      <protection locked="0"/>
    </xf>
    <xf numFmtId="0" fontId="3" fillId="0" borderId="13" xfId="0" applyFont="1" applyFill="1" applyBorder="1" applyAlignment="1">
      <alignment horizontal="center"/>
    </xf>
    <xf numFmtId="0" fontId="3" fillId="0" borderId="0" xfId="0" applyFont="1" applyFill="1" applyAlignment="1">
      <alignment horizontal="center"/>
    </xf>
    <xf numFmtId="0" fontId="49" fillId="18" borderId="0" xfId="0" applyFont="1" applyFill="1" applyBorder="1" applyAlignment="1" applyProtection="1">
      <protection locked="0"/>
    </xf>
    <xf numFmtId="0" fontId="69" fillId="25" borderId="57" xfId="0" applyFont="1" applyFill="1" applyBorder="1" applyAlignment="1">
      <alignment horizontal="centerContinuous"/>
    </xf>
    <xf numFmtId="0" fontId="27" fillId="25" borderId="54" xfId="0" applyFont="1" applyFill="1" applyBorder="1" applyAlignment="1">
      <alignment horizontal="center" wrapText="1"/>
    </xf>
    <xf numFmtId="0" fontId="17" fillId="22" borderId="57" xfId="0" applyFont="1" applyFill="1" applyBorder="1" applyAlignment="1">
      <alignment horizontal="center"/>
    </xf>
    <xf numFmtId="0" fontId="25" fillId="22" borderId="54" xfId="0" applyFont="1" applyFill="1" applyBorder="1" applyAlignment="1">
      <alignment horizontal="center" wrapText="1"/>
    </xf>
    <xf numFmtId="174" fontId="3" fillId="22" borderId="10" xfId="0" applyNumberFormat="1" applyFont="1" applyFill="1" applyBorder="1" applyAlignment="1">
      <alignment horizontal="center" wrapText="1"/>
    </xf>
    <xf numFmtId="174" fontId="3" fillId="22" borderId="30" xfId="0" applyNumberFormat="1" applyFont="1" applyFill="1" applyBorder="1" applyAlignment="1">
      <alignment horizontal="center" wrapText="1"/>
    </xf>
    <xf numFmtId="174" fontId="3" fillId="22" borderId="12" xfId="0" applyNumberFormat="1" applyFont="1" applyFill="1" applyBorder="1" applyAlignment="1">
      <alignment horizontal="center" wrapText="1"/>
    </xf>
    <xf numFmtId="174" fontId="3" fillId="22" borderId="26" xfId="0" applyNumberFormat="1" applyFont="1" applyFill="1" applyBorder="1" applyAlignment="1">
      <alignment horizontal="center"/>
    </xf>
    <xf numFmtId="9" fontId="3" fillId="22" borderId="58" xfId="0" applyNumberFormat="1" applyFont="1" applyFill="1" applyBorder="1" applyAlignment="1">
      <alignment horizontal="center"/>
    </xf>
    <xf numFmtId="174" fontId="3" fillId="22" borderId="27" xfId="0" applyNumberFormat="1" applyFont="1" applyFill="1" applyBorder="1" applyAlignment="1">
      <alignment horizontal="center"/>
    </xf>
    <xf numFmtId="173" fontId="65" fillId="22" borderId="30" xfId="15" applyNumberFormat="1" applyFont="1" applyFill="1" applyBorder="1" applyAlignment="1">
      <alignment horizontal="center"/>
    </xf>
    <xf numFmtId="173" fontId="65" fillId="22" borderId="59" xfId="15" applyNumberFormat="1" applyFont="1" applyFill="1" applyBorder="1" applyAlignment="1">
      <alignment horizontal="center"/>
    </xf>
    <xf numFmtId="173" fontId="65" fillId="22" borderId="60" xfId="15" applyNumberFormat="1" applyFont="1" applyFill="1" applyBorder="1" applyAlignment="1">
      <alignment horizontal="center"/>
    </xf>
    <xf numFmtId="173" fontId="65" fillId="22" borderId="58" xfId="15" applyNumberFormat="1" applyFont="1" applyFill="1" applyBorder="1" applyAlignment="1">
      <alignment horizontal="center"/>
    </xf>
    <xf numFmtId="173" fontId="65" fillId="22" borderId="48" xfId="15" applyNumberFormat="1" applyFont="1" applyFill="1" applyBorder="1" applyAlignment="1">
      <alignment horizontal="center"/>
    </xf>
    <xf numFmtId="173" fontId="65" fillId="22" borderId="61" xfId="15" applyNumberFormat="1" applyFont="1" applyFill="1" applyBorder="1" applyAlignment="1">
      <alignment horizontal="center"/>
    </xf>
    <xf numFmtId="200" fontId="3" fillId="22" borderId="62" xfId="0" applyNumberFormat="1" applyFont="1" applyFill="1" applyBorder="1" applyAlignment="1">
      <alignment horizontal="center"/>
    </xf>
    <xf numFmtId="174" fontId="3" fillId="22" borderId="49" xfId="0" applyNumberFormat="1" applyFont="1" applyFill="1" applyBorder="1" applyAlignment="1">
      <alignment horizontal="center"/>
    </xf>
    <xf numFmtId="174" fontId="50" fillId="18" borderId="47" xfId="0" applyNumberFormat="1" applyFont="1" applyFill="1" applyBorder="1" applyAlignment="1"/>
    <xf numFmtId="174" fontId="3" fillId="18" borderId="63" xfId="0" applyNumberFormat="1" applyFont="1" applyFill="1" applyBorder="1"/>
    <xf numFmtId="0" fontId="3" fillId="22" borderId="62" xfId="0" applyFont="1" applyFill="1" applyBorder="1" applyAlignment="1">
      <alignment horizontal="center"/>
    </xf>
    <xf numFmtId="0" fontId="3" fillId="22" borderId="49" xfId="0" applyFont="1" applyFill="1" applyBorder="1" applyAlignment="1">
      <alignment horizontal="center"/>
    </xf>
    <xf numFmtId="0" fontId="0" fillId="22" borderId="62" xfId="0" applyFill="1" applyBorder="1"/>
    <xf numFmtId="174" fontId="50" fillId="18" borderId="47" xfId="0" applyNumberFormat="1" applyFont="1" applyFill="1" applyBorder="1"/>
    <xf numFmtId="0" fontId="0" fillId="22" borderId="60" xfId="0" applyFill="1" applyBorder="1"/>
    <xf numFmtId="0" fontId="3" fillId="22" borderId="61" xfId="0" applyFont="1" applyFill="1" applyBorder="1"/>
    <xf numFmtId="0" fontId="0" fillId="18" borderId="50" xfId="0" applyFill="1" applyBorder="1"/>
    <xf numFmtId="174" fontId="3" fillId="18" borderId="50" xfId="0" applyNumberFormat="1" applyFont="1" applyFill="1" applyBorder="1"/>
    <xf numFmtId="174" fontId="3" fillId="18" borderId="64" xfId="0" applyNumberFormat="1" applyFont="1" applyFill="1" applyBorder="1"/>
    <xf numFmtId="173" fontId="9" fillId="18" borderId="41" xfId="15" applyNumberFormat="1" applyFont="1" applyFill="1" applyBorder="1" applyAlignment="1">
      <alignment horizontal="center"/>
    </xf>
    <xf numFmtId="38" fontId="49" fillId="18" borderId="41" xfId="15" applyNumberFormat="1" applyFont="1" applyFill="1" applyBorder="1"/>
    <xf numFmtId="38" fontId="51" fillId="18" borderId="8" xfId="15" applyNumberFormat="1" applyFont="1" applyFill="1" applyBorder="1"/>
    <xf numFmtId="38" fontId="51" fillId="18" borderId="42" xfId="15" applyNumberFormat="1" applyFont="1" applyFill="1" applyBorder="1"/>
    <xf numFmtId="173" fontId="9" fillId="18" borderId="6" xfId="15" applyNumberFormat="1" applyFont="1" applyFill="1" applyBorder="1" applyAlignment="1">
      <alignment horizontal="center"/>
    </xf>
    <xf numFmtId="38" fontId="49" fillId="18" borderId="6" xfId="15" applyNumberFormat="1" applyFont="1" applyFill="1" applyBorder="1"/>
    <xf numFmtId="38" fontId="51" fillId="18" borderId="1" xfId="15" applyNumberFormat="1" applyFont="1" applyFill="1" applyBorder="1"/>
    <xf numFmtId="38" fontId="51" fillId="18" borderId="58" xfId="15" applyNumberFormat="1" applyFont="1" applyFill="1" applyBorder="1"/>
    <xf numFmtId="0" fontId="25" fillId="18" borderId="65" xfId="0" applyFont="1" applyFill="1" applyBorder="1"/>
    <xf numFmtId="0" fontId="25" fillId="18" borderId="15" xfId="0" applyFont="1" applyFill="1" applyBorder="1" applyAlignment="1">
      <alignment horizontal="center"/>
    </xf>
    <xf numFmtId="0" fontId="25" fillId="18" borderId="46" xfId="0" applyFont="1" applyFill="1" applyBorder="1" applyAlignment="1">
      <alignment horizontal="center"/>
    </xf>
    <xf numFmtId="171" fontId="3" fillId="18" borderId="19" xfId="15" applyFont="1" applyFill="1" applyBorder="1" applyAlignment="1">
      <alignment horizontal="left" vertical="center" indent="2"/>
    </xf>
    <xf numFmtId="0" fontId="3" fillId="22" borderId="40" xfId="15" applyNumberFormat="1" applyFont="1" applyFill="1" applyBorder="1" applyAlignment="1">
      <alignment horizontal="center"/>
    </xf>
    <xf numFmtId="173" fontId="3" fillId="22" borderId="30" xfId="15" applyNumberFormat="1" applyFont="1" applyFill="1" applyBorder="1"/>
    <xf numFmtId="173" fontId="3" fillId="22" borderId="12" xfId="15" applyNumberFormat="1" applyFont="1" applyFill="1" applyBorder="1"/>
    <xf numFmtId="173" fontId="3" fillId="22" borderId="7" xfId="15" applyNumberFormat="1" applyFont="1" applyFill="1" applyBorder="1" applyAlignment="1">
      <alignment horizontal="center"/>
    </xf>
    <xf numFmtId="173" fontId="3" fillId="22" borderId="46" xfId="15" applyNumberFormat="1" applyFont="1" applyFill="1" applyBorder="1" applyAlignment="1">
      <alignment horizontal="center"/>
    </xf>
    <xf numFmtId="174" fontId="12" fillId="14" borderId="5" xfId="0" applyNumberFormat="1" applyFont="1" applyFill="1" applyBorder="1" applyAlignment="1">
      <alignment vertical="center"/>
    </xf>
    <xf numFmtId="174" fontId="12" fillId="14" borderId="6" xfId="0" applyNumberFormat="1" applyFont="1" applyFill="1" applyBorder="1" applyAlignment="1">
      <alignment vertical="center"/>
    </xf>
    <xf numFmtId="174" fontId="12" fillId="14" borderId="7" xfId="0" applyNumberFormat="1" applyFont="1" applyFill="1" applyBorder="1" applyAlignment="1">
      <alignment vertical="center"/>
    </xf>
    <xf numFmtId="174" fontId="15" fillId="19" borderId="0" xfId="0" applyNumberFormat="1" applyFont="1" applyFill="1" applyBorder="1" applyAlignment="1">
      <alignment vertical="center"/>
    </xf>
    <xf numFmtId="0" fontId="3" fillId="17" borderId="0" xfId="0" applyFont="1" applyFill="1" applyBorder="1"/>
    <xf numFmtId="0" fontId="0" fillId="17" borderId="0" xfId="0" applyFill="1" applyBorder="1"/>
    <xf numFmtId="0" fontId="3" fillId="17" borderId="0" xfId="0" applyFont="1" applyFill="1" applyBorder="1" applyAlignment="1">
      <alignment horizontal="center" wrapText="1"/>
    </xf>
    <xf numFmtId="174" fontId="0" fillId="0" borderId="0" xfId="0" applyNumberFormat="1" applyBorder="1"/>
    <xf numFmtId="0" fontId="3" fillId="0" borderId="0" xfId="0" applyFont="1" applyFill="1" applyBorder="1"/>
    <xf numFmtId="0" fontId="4" fillId="0" borderId="0" xfId="0" applyFont="1" applyBorder="1"/>
    <xf numFmtId="174" fontId="3" fillId="0" borderId="0" xfId="0" applyNumberFormat="1" applyFont="1" applyBorder="1"/>
    <xf numFmtId="38" fontId="3" fillId="0" borderId="0" xfId="0" applyNumberFormat="1" applyFont="1" applyFill="1" applyAlignment="1">
      <alignment horizontal="center"/>
    </xf>
    <xf numFmtId="0" fontId="0" fillId="26" borderId="5" xfId="0" applyFill="1" applyBorder="1"/>
    <xf numFmtId="0" fontId="0" fillId="26" borderId="6" xfId="0" applyFill="1" applyBorder="1"/>
    <xf numFmtId="0" fontId="0" fillId="26" borderId="7" xfId="0" applyFill="1" applyBorder="1"/>
    <xf numFmtId="0" fontId="0" fillId="26" borderId="1" xfId="0" applyFill="1" applyBorder="1"/>
    <xf numFmtId="0" fontId="8" fillId="18" borderId="0" xfId="0" applyFont="1" applyFill="1"/>
    <xf numFmtId="38" fontId="49" fillId="18" borderId="65" xfId="15" applyNumberFormat="1" applyFont="1" applyFill="1" applyBorder="1"/>
    <xf numFmtId="38" fontId="49" fillId="18" borderId="7" xfId="15" applyNumberFormat="1" applyFont="1" applyFill="1" applyBorder="1"/>
    <xf numFmtId="175" fontId="7" fillId="18" borderId="7" xfId="0" applyNumberFormat="1" applyFont="1" applyFill="1" applyBorder="1"/>
    <xf numFmtId="175" fontId="3" fillId="18" borderId="7" xfId="0" applyNumberFormat="1" applyFont="1" applyFill="1" applyBorder="1"/>
    <xf numFmtId="0" fontId="6" fillId="18" borderId="0" xfId="0" quotePrefix="1" applyFont="1" applyFill="1" applyBorder="1" applyAlignment="1">
      <alignment horizontal="center"/>
    </xf>
    <xf numFmtId="175" fontId="7" fillId="18" borderId="0" xfId="0" applyNumberFormat="1" applyFont="1" applyFill="1" applyBorder="1"/>
    <xf numFmtId="175" fontId="6" fillId="18" borderId="0" xfId="0" applyNumberFormat="1" applyFont="1" applyFill="1" applyBorder="1"/>
    <xf numFmtId="175" fontId="6" fillId="18" borderId="0" xfId="0" applyNumberFormat="1" applyFont="1" applyFill="1" applyBorder="1" applyAlignment="1">
      <alignment horizontal="right"/>
    </xf>
    <xf numFmtId="175" fontId="14" fillId="18" borderId="0" xfId="0" applyNumberFormat="1" applyFont="1" applyFill="1" applyBorder="1"/>
    <xf numFmtId="0" fontId="69" fillId="18" borderId="0" xfId="0" applyFont="1" applyFill="1" applyBorder="1" applyAlignment="1">
      <alignment horizontal="center"/>
    </xf>
    <xf numFmtId="0" fontId="0" fillId="0" borderId="0" xfId="0" applyBorder="1" applyAlignment="1"/>
    <xf numFmtId="0" fontId="0" fillId="18" borderId="57" xfId="0" applyFill="1" applyBorder="1"/>
    <xf numFmtId="0" fontId="6" fillId="18" borderId="57" xfId="0" quotePrefix="1" applyFont="1" applyFill="1" applyBorder="1" applyAlignment="1">
      <alignment horizontal="center"/>
    </xf>
    <xf numFmtId="175" fontId="6" fillId="18" borderId="38" xfId="0" applyNumberFormat="1" applyFont="1" applyFill="1" applyBorder="1"/>
    <xf numFmtId="0" fontId="51" fillId="18" borderId="54" xfId="0" applyFont="1" applyFill="1" applyBorder="1" applyAlignment="1">
      <alignment horizontal="center"/>
    </xf>
    <xf numFmtId="174" fontId="8" fillId="0" borderId="0" xfId="0" quotePrefix="1" applyNumberFormat="1" applyFont="1" applyFill="1"/>
    <xf numFmtId="3" fontId="8" fillId="0" borderId="0" xfId="0" quotePrefix="1" applyNumberFormat="1" applyFont="1" applyFill="1"/>
    <xf numFmtId="174" fontId="6" fillId="9" borderId="0" xfId="0" quotePrefix="1" applyNumberFormat="1" applyFont="1" applyFill="1"/>
    <xf numFmtId="3" fontId="6" fillId="9" borderId="0" xfId="0" quotePrefix="1" applyNumberFormat="1" applyFont="1" applyFill="1"/>
    <xf numFmtId="174" fontId="6" fillId="9" borderId="0" xfId="0" applyNumberFormat="1" applyFont="1" applyFill="1"/>
    <xf numFmtId="3" fontId="6" fillId="9" borderId="0" xfId="0" applyNumberFormat="1" applyFont="1" applyFill="1"/>
    <xf numFmtId="174" fontId="7" fillId="9" borderId="3" xfId="0" applyNumberFormat="1" applyFont="1" applyFill="1" applyBorder="1"/>
    <xf numFmtId="3" fontId="7" fillId="9" borderId="3" xfId="0" applyNumberFormat="1" applyFont="1" applyFill="1" applyBorder="1"/>
    <xf numFmtId="174" fontId="6" fillId="0" borderId="0" xfId="0" quotePrefix="1" applyNumberFormat="1" applyFont="1" applyFill="1"/>
    <xf numFmtId="3" fontId="6" fillId="0" borderId="0" xfId="0" quotePrefix="1" applyNumberFormat="1" applyFont="1" applyFill="1"/>
    <xf numFmtId="174" fontId="6" fillId="0" borderId="0" xfId="0" applyNumberFormat="1" applyFont="1" applyFill="1"/>
    <xf numFmtId="3" fontId="6" fillId="0" borderId="0" xfId="0" applyNumberFormat="1" applyFont="1" applyFill="1"/>
    <xf numFmtId="174" fontId="7" fillId="0" borderId="3" xfId="0" applyNumberFormat="1" applyFont="1" applyFill="1" applyBorder="1"/>
    <xf numFmtId="3" fontId="7" fillId="0" borderId="3" xfId="0" applyNumberFormat="1" applyFont="1" applyFill="1" applyBorder="1"/>
    <xf numFmtId="175" fontId="14" fillId="18" borderId="38" xfId="0" applyNumberFormat="1" applyFont="1" applyFill="1" applyBorder="1" applyAlignment="1">
      <alignment horizontal="left" indent="1"/>
    </xf>
    <xf numFmtId="175" fontId="50" fillId="18" borderId="38" xfId="0" applyNumberFormat="1" applyFont="1" applyFill="1" applyBorder="1" applyAlignment="1">
      <alignment horizontal="left" indent="1"/>
    </xf>
    <xf numFmtId="175" fontId="50" fillId="18" borderId="54" xfId="0" applyNumberFormat="1" applyFont="1" applyFill="1" applyBorder="1" applyAlignment="1">
      <alignment horizontal="left" indent="1"/>
    </xf>
    <xf numFmtId="169" fontId="15" fillId="19" borderId="15" xfId="0" applyNumberFormat="1" applyFont="1" applyFill="1" applyBorder="1" applyAlignment="1">
      <alignment horizontal="center" vertical="center"/>
    </xf>
    <xf numFmtId="169" fontId="3" fillId="0" borderId="0" xfId="0" applyNumberFormat="1" applyFont="1" applyFill="1" applyAlignment="1">
      <alignment horizontal="center"/>
    </xf>
    <xf numFmtId="174" fontId="7" fillId="18" borderId="0" xfId="0" applyNumberFormat="1" applyFont="1" applyFill="1" applyBorder="1"/>
    <xf numFmtId="0" fontId="8" fillId="18" borderId="0" xfId="0" quotePrefix="1" applyFont="1" applyFill="1" applyAlignment="1">
      <alignment horizontal="center" wrapText="1"/>
    </xf>
    <xf numFmtId="174" fontId="7" fillId="9" borderId="0" xfId="0" applyNumberFormat="1" applyFont="1" applyFill="1" applyBorder="1"/>
    <xf numFmtId="0" fontId="62" fillId="2" borderId="0" xfId="0" applyFont="1" applyFill="1"/>
    <xf numFmtId="174" fontId="5" fillId="0" borderId="0" xfId="0" applyNumberFormat="1" applyFont="1" applyFill="1"/>
    <xf numFmtId="3" fontId="5" fillId="0" borderId="0" xfId="0" applyNumberFormat="1" applyFont="1" applyFill="1"/>
    <xf numFmtId="3" fontId="0" fillId="18" borderId="0" xfId="0" applyNumberFormat="1" applyFill="1"/>
    <xf numFmtId="203" fontId="0" fillId="18" borderId="0" xfId="0" applyNumberFormat="1" applyFill="1"/>
    <xf numFmtId="169" fontId="49" fillId="18" borderId="4" xfId="0" applyNumberFormat="1" applyFont="1" applyFill="1" applyBorder="1" applyProtection="1">
      <protection locked="0"/>
    </xf>
    <xf numFmtId="169" fontId="9" fillId="18" borderId="0" xfId="0" applyNumberFormat="1" applyFont="1" applyFill="1"/>
    <xf numFmtId="0" fontId="0" fillId="24" borderId="0" xfId="0" quotePrefix="1" applyFill="1"/>
    <xf numFmtId="169" fontId="3" fillId="24" borderId="0" xfId="0" applyNumberFormat="1" applyFont="1" applyFill="1"/>
    <xf numFmtId="174" fontId="0" fillId="24" borderId="0" xfId="0" applyNumberFormat="1" applyFill="1"/>
    <xf numFmtId="169" fontId="3" fillId="24" borderId="6" xfId="0" applyNumberFormat="1" applyFont="1" applyFill="1" applyBorder="1"/>
    <xf numFmtId="0" fontId="0" fillId="24" borderId="0" xfId="0" applyFill="1"/>
    <xf numFmtId="169" fontId="9" fillId="24" borderId="6" xfId="0" applyNumberFormat="1" applyFont="1" applyFill="1" applyBorder="1"/>
    <xf numFmtId="0" fontId="3" fillId="24" borderId="0" xfId="0" quotePrefix="1" applyFont="1" applyFill="1"/>
    <xf numFmtId="0" fontId="3" fillId="0" borderId="0" xfId="0" applyFont="1" applyFill="1" applyBorder="1" applyAlignment="1">
      <alignment horizontal="center" wrapText="1"/>
    </xf>
    <xf numFmtId="174" fontId="0" fillId="0" borderId="0" xfId="0" applyNumberFormat="1" applyFill="1" applyBorder="1"/>
    <xf numFmtId="174" fontId="3" fillId="0" borderId="0" xfId="0" applyNumberFormat="1" applyFont="1" applyFill="1" applyBorder="1"/>
    <xf numFmtId="0" fontId="51" fillId="18" borderId="0" xfId="0" applyFont="1" applyFill="1" applyBorder="1" applyAlignment="1">
      <alignment horizontal="right"/>
    </xf>
    <xf numFmtId="169" fontId="51" fillId="18" borderId="0" xfId="0" applyNumberFormat="1" applyFont="1" applyFill="1" applyBorder="1" applyAlignment="1">
      <alignment horizontal="right"/>
    </xf>
    <xf numFmtId="1" fontId="14" fillId="18" borderId="38" xfId="0" applyNumberFormat="1" applyFont="1" applyFill="1" applyBorder="1" applyAlignment="1">
      <alignment horizontal="left" indent="1"/>
    </xf>
    <xf numFmtId="175" fontId="13" fillId="18" borderId="38" xfId="0" applyNumberFormat="1" applyFont="1" applyFill="1" applyBorder="1" applyAlignment="1">
      <alignment horizontal="left" indent="1"/>
    </xf>
    <xf numFmtId="0" fontId="50" fillId="18" borderId="0" xfId="0" applyFont="1" applyFill="1" applyBorder="1" applyAlignment="1">
      <alignment horizontal="left"/>
    </xf>
    <xf numFmtId="0" fontId="13" fillId="18" borderId="0" xfId="0" quotePrefix="1" applyFont="1" applyFill="1" applyBorder="1" applyAlignment="1">
      <alignment horizontal="left"/>
    </xf>
    <xf numFmtId="0" fontId="14" fillId="18" borderId="0" xfId="0" applyFont="1" applyFill="1" applyBorder="1" applyAlignment="1">
      <alignment horizontal="left"/>
    </xf>
    <xf numFmtId="0" fontId="59" fillId="18" borderId="0" xfId="0" quotePrefix="1" applyFont="1" applyFill="1" applyBorder="1" applyAlignment="1">
      <alignment horizontal="left"/>
    </xf>
    <xf numFmtId="176" fontId="13" fillId="18" borderId="0" xfId="0" quotePrefix="1" applyNumberFormat="1" applyFont="1" applyFill="1" applyBorder="1" applyAlignment="1">
      <alignment horizontal="left"/>
    </xf>
    <xf numFmtId="176" fontId="6" fillId="18" borderId="0" xfId="0" applyNumberFormat="1" applyFont="1" applyFill="1" applyBorder="1" applyAlignment="1">
      <alignment horizontal="left"/>
    </xf>
    <xf numFmtId="176" fontId="13" fillId="18" borderId="0" xfId="0" applyNumberFormat="1" applyFont="1" applyFill="1" applyBorder="1" applyAlignment="1">
      <alignment horizontal="left"/>
    </xf>
    <xf numFmtId="0" fontId="13" fillId="18" borderId="0" xfId="0" applyFont="1" applyFill="1" applyBorder="1" applyAlignment="1">
      <alignment horizontal="left"/>
    </xf>
    <xf numFmtId="0" fontId="58" fillId="18" borderId="0" xfId="0" applyFont="1" applyFill="1" applyBorder="1" applyAlignment="1">
      <alignment horizontal="left"/>
    </xf>
    <xf numFmtId="9" fontId="7" fillId="18" borderId="0" xfId="0" applyNumberFormat="1" applyFont="1" applyFill="1" applyBorder="1"/>
    <xf numFmtId="0" fontId="72" fillId="18" borderId="0" xfId="0" applyFont="1" applyFill="1"/>
    <xf numFmtId="174" fontId="58" fillId="18" borderId="0" xfId="0" applyNumberFormat="1" applyFont="1" applyFill="1" applyBorder="1"/>
    <xf numFmtId="0" fontId="0" fillId="18" borderId="50" xfId="0" applyFill="1" applyBorder="1" applyAlignment="1">
      <alignment wrapText="1"/>
    </xf>
    <xf numFmtId="174" fontId="12" fillId="18" borderId="0" xfId="15" applyNumberFormat="1" applyFont="1" applyFill="1" applyBorder="1"/>
    <xf numFmtId="9" fontId="49" fillId="18" borderId="14" xfId="15" applyNumberFormat="1" applyFont="1" applyFill="1" applyBorder="1"/>
    <xf numFmtId="9" fontId="49" fillId="18" borderId="27" xfId="15" applyNumberFormat="1" applyFont="1" applyFill="1" applyBorder="1"/>
    <xf numFmtId="9" fontId="49" fillId="18" borderId="36" xfId="15" applyNumberFormat="1" applyFont="1" applyFill="1" applyBorder="1"/>
    <xf numFmtId="9" fontId="12" fillId="18" borderId="0" xfId="15" applyNumberFormat="1" applyFont="1" applyFill="1" applyBorder="1"/>
    <xf numFmtId="174" fontId="64" fillId="9" borderId="6" xfId="15" applyNumberFormat="1" applyFont="1" applyFill="1" applyBorder="1"/>
    <xf numFmtId="173" fontId="65" fillId="22" borderId="57" xfId="15" applyNumberFormat="1" applyFont="1" applyFill="1" applyBorder="1" applyAlignment="1">
      <alignment horizontal="center"/>
    </xf>
    <xf numFmtId="177" fontId="65" fillId="22" borderId="54" xfId="15" quotePrefix="1" applyNumberFormat="1" applyFont="1" applyFill="1" applyBorder="1" applyAlignment="1">
      <alignment horizontal="center"/>
    </xf>
    <xf numFmtId="174" fontId="64" fillId="9" borderId="7" xfId="15" applyNumberFormat="1" applyFont="1" applyFill="1" applyBorder="1"/>
    <xf numFmtId="173" fontId="64" fillId="9" borderId="6" xfId="15" applyNumberFormat="1" applyFont="1" applyFill="1" applyBorder="1"/>
    <xf numFmtId="173" fontId="64" fillId="9" borderId="6" xfId="15" applyNumberFormat="1" applyFont="1" applyFill="1" applyBorder="1" applyAlignment="1">
      <alignment horizontal="center"/>
    </xf>
    <xf numFmtId="174" fontId="65" fillId="9" borderId="7" xfId="15" applyNumberFormat="1" applyFont="1" applyFill="1" applyBorder="1"/>
    <xf numFmtId="0" fontId="58" fillId="18" borderId="0" xfId="0" applyFont="1" applyFill="1" applyBorder="1" applyAlignment="1">
      <alignment horizontal="center" wrapText="1"/>
    </xf>
    <xf numFmtId="9" fontId="1" fillId="13" borderId="1" xfId="39" applyFill="1" applyBorder="1" applyAlignment="1">
      <alignment horizontal="center"/>
    </xf>
    <xf numFmtId="9" fontId="3" fillId="9" borderId="1" xfId="39" applyFont="1" applyFill="1" applyBorder="1" applyAlignment="1">
      <alignment horizontal="center"/>
    </xf>
    <xf numFmtId="9" fontId="1" fillId="9" borderId="1" xfId="39" applyFill="1" applyBorder="1" applyAlignment="1">
      <alignment horizontal="center"/>
    </xf>
    <xf numFmtId="9" fontId="1" fillId="0" borderId="0" xfId="39" applyFill="1" applyBorder="1" applyAlignment="1">
      <alignment horizontal="center"/>
    </xf>
    <xf numFmtId="9" fontId="62" fillId="0" borderId="0" xfId="0" applyNumberFormat="1" applyFont="1" applyFill="1" applyBorder="1"/>
    <xf numFmtId="208" fontId="0" fillId="18" borderId="6" xfId="0" applyNumberFormat="1" applyFill="1" applyBorder="1" applyAlignment="1">
      <alignment horizontal="center"/>
    </xf>
    <xf numFmtId="9" fontId="1" fillId="0" borderId="0" xfId="39" applyAlignment="1">
      <alignment horizontal="center"/>
    </xf>
    <xf numFmtId="9" fontId="1" fillId="0" borderId="0" xfId="39" applyFill="1" applyBorder="1" applyAlignment="1">
      <alignment textRotation="55"/>
    </xf>
    <xf numFmtId="9" fontId="1" fillId="0" borderId="0" xfId="39" applyFill="1" applyBorder="1" applyAlignment="1">
      <alignment horizontal="right"/>
    </xf>
    <xf numFmtId="208" fontId="0" fillId="0" borderId="0" xfId="0" applyNumberFormat="1"/>
    <xf numFmtId="9" fontId="0" fillId="0" borderId="0" xfId="0" applyNumberFormat="1"/>
    <xf numFmtId="9" fontId="1" fillId="0" borderId="0" xfId="39" applyBorder="1" applyAlignment="1">
      <alignment textRotation="55"/>
    </xf>
    <xf numFmtId="1" fontId="1" fillId="0" borderId="6" xfId="39" applyNumberFormat="1" applyBorder="1" applyAlignment="1"/>
    <xf numFmtId="9" fontId="0" fillId="0" borderId="0" xfId="0" applyNumberFormat="1" applyFill="1"/>
    <xf numFmtId="208" fontId="0" fillId="0" borderId="0" xfId="0" applyNumberFormat="1" applyFill="1"/>
    <xf numFmtId="9" fontId="54" fillId="0" borderId="32" xfId="39" applyFont="1" applyBorder="1" applyAlignment="1">
      <alignment horizontal="center" vertical="center" wrapText="1"/>
    </xf>
    <xf numFmtId="9" fontId="3" fillId="0" borderId="57" xfId="39" applyFont="1" applyBorder="1" applyAlignment="1">
      <alignment horizontal="center" vertical="center" wrapText="1"/>
    </xf>
    <xf numFmtId="0" fontId="0" fillId="0" borderId="44" xfId="0" applyFill="1" applyBorder="1" applyAlignment="1">
      <alignment textRotation="75"/>
    </xf>
    <xf numFmtId="0" fontId="0" fillId="0" borderId="1" xfId="0" applyBorder="1" applyAlignment="1">
      <alignment textRotation="75"/>
    </xf>
    <xf numFmtId="0" fontId="0" fillId="0" borderId="1" xfId="0" applyFill="1" applyBorder="1" applyAlignment="1">
      <alignment textRotation="75"/>
    </xf>
    <xf numFmtId="0" fontId="3" fillId="13" borderId="1" xfId="0" applyFont="1" applyFill="1" applyBorder="1" applyAlignment="1">
      <alignment textRotation="75"/>
    </xf>
    <xf numFmtId="208" fontId="3" fillId="0" borderId="0" xfId="0" applyNumberFormat="1" applyFont="1" applyFill="1"/>
    <xf numFmtId="9" fontId="1" fillId="13" borderId="1" xfId="39" applyFill="1" applyBorder="1" applyAlignment="1">
      <alignment horizontal="center" wrapText="1"/>
    </xf>
    <xf numFmtId="9" fontId="1" fillId="0" borderId="7" xfId="39" applyBorder="1" applyAlignment="1">
      <alignment horizontal="center" wrapText="1"/>
    </xf>
    <xf numFmtId="9" fontId="1" fillId="13" borderId="7" xfId="39" applyFill="1" applyBorder="1" applyAlignment="1">
      <alignment horizontal="right" wrapText="1"/>
    </xf>
    <xf numFmtId="0" fontId="3" fillId="0" borderId="0" xfId="0" applyFont="1" applyAlignment="1">
      <alignment horizontal="right"/>
    </xf>
    <xf numFmtId="208" fontId="3" fillId="0" borderId="0" xfId="0" applyNumberFormat="1" applyFont="1" applyAlignment="1">
      <alignment horizontal="right"/>
    </xf>
    <xf numFmtId="9" fontId="1" fillId="0" borderId="1" xfId="39" applyFont="1" applyBorder="1" applyAlignment="1"/>
    <xf numFmtId="9" fontId="1" fillId="0" borderId="1" xfId="39" applyBorder="1" applyAlignment="1"/>
    <xf numFmtId="9" fontId="1" fillId="13" borderId="1" xfId="39" applyFill="1" applyBorder="1" applyAlignment="1">
      <alignment horizontal="right"/>
    </xf>
    <xf numFmtId="208" fontId="0" fillId="13" borderId="0" xfId="0" applyNumberFormat="1" applyFill="1"/>
    <xf numFmtId="9" fontId="3" fillId="9" borderId="1" xfId="39" applyFont="1" applyFill="1" applyBorder="1"/>
    <xf numFmtId="9" fontId="3" fillId="13" borderId="1" xfId="39" applyFont="1" applyFill="1" applyBorder="1"/>
    <xf numFmtId="0" fontId="3" fillId="9" borderId="0" xfId="0" applyFont="1" applyFill="1"/>
    <xf numFmtId="9" fontId="3" fillId="9" borderId="0" xfId="0" applyNumberFormat="1" applyFont="1" applyFill="1"/>
    <xf numFmtId="9" fontId="3" fillId="13" borderId="1" xfId="39" applyFont="1" applyFill="1" applyBorder="1" applyAlignment="1">
      <alignment horizontal="right"/>
    </xf>
    <xf numFmtId="0" fontId="0" fillId="9" borderId="0" xfId="0" applyFill="1"/>
    <xf numFmtId="9" fontId="0" fillId="9" borderId="0" xfId="0" applyNumberFormat="1" applyFill="1"/>
    <xf numFmtId="9" fontId="9" fillId="13" borderId="1" xfId="39" applyFont="1" applyFill="1" applyBorder="1" applyAlignment="1">
      <alignment horizontal="right"/>
    </xf>
    <xf numFmtId="9" fontId="3" fillId="9" borderId="1" xfId="39" applyFont="1" applyFill="1" applyBorder="1" applyAlignment="1">
      <alignment horizontal="right"/>
    </xf>
    <xf numFmtId="9" fontId="1" fillId="9" borderId="1" xfId="39" applyFill="1" applyBorder="1" applyAlignment="1"/>
    <xf numFmtId="208" fontId="0" fillId="13" borderId="3" xfId="0" applyNumberFormat="1" applyFill="1" applyBorder="1"/>
    <xf numFmtId="208" fontId="0" fillId="0" borderId="0" xfId="0" applyNumberFormat="1" applyBorder="1"/>
    <xf numFmtId="9" fontId="0" fillId="0" borderId="0" xfId="0" applyNumberFormat="1" applyBorder="1"/>
    <xf numFmtId="9" fontId="1" fillId="0" borderId="0" xfId="39" applyBorder="1" applyAlignment="1">
      <alignment horizontal="center"/>
    </xf>
    <xf numFmtId="9" fontId="1" fillId="13" borderId="0" xfId="39" applyFill="1" applyBorder="1" applyAlignment="1">
      <alignment horizontal="right"/>
    </xf>
    <xf numFmtId="9" fontId="1" fillId="0" borderId="1" xfId="39" applyBorder="1" applyAlignment="1">
      <alignment textRotation="55"/>
    </xf>
    <xf numFmtId="9" fontId="1" fillId="13" borderId="0" xfId="39" applyFill="1" applyAlignment="1">
      <alignment horizontal="right"/>
    </xf>
    <xf numFmtId="0" fontId="0" fillId="0" borderId="0" xfId="0" applyFill="1" applyBorder="1" applyAlignment="1">
      <alignment horizontal="right"/>
    </xf>
    <xf numFmtId="0" fontId="0" fillId="0" borderId="0" xfId="0" applyFill="1" applyBorder="1" applyAlignment="1">
      <alignment horizontal="left"/>
    </xf>
    <xf numFmtId="0" fontId="0" fillId="0" borderId="66" xfId="0" applyBorder="1"/>
    <xf numFmtId="173" fontId="64" fillId="0" borderId="0" xfId="15" applyNumberFormat="1" applyFont="1" applyFill="1" applyBorder="1"/>
    <xf numFmtId="174" fontId="0" fillId="0" borderId="67" xfId="0" applyNumberFormat="1" applyBorder="1"/>
    <xf numFmtId="174" fontId="0" fillId="0" borderId="68" xfId="0" applyNumberFormat="1" applyBorder="1"/>
    <xf numFmtId="17" fontId="0" fillId="24" borderId="66" xfId="0" applyNumberFormat="1" applyFill="1" applyBorder="1"/>
    <xf numFmtId="17" fontId="0" fillId="24" borderId="69" xfId="0" applyNumberFormat="1" applyFill="1" applyBorder="1"/>
    <xf numFmtId="17" fontId="0" fillId="0" borderId="69" xfId="0" applyNumberFormat="1" applyBorder="1"/>
    <xf numFmtId="174" fontId="0" fillId="0" borderId="70" xfId="0" applyNumberFormat="1" applyBorder="1"/>
    <xf numFmtId="1" fontId="58" fillId="0" borderId="0" xfId="0" applyNumberFormat="1" applyFont="1" applyFill="1" applyBorder="1" applyAlignment="1">
      <alignment horizontal="center" wrapText="1"/>
    </xf>
    <xf numFmtId="0" fontId="58" fillId="24" borderId="57" xfId="0" applyFont="1" applyFill="1" applyBorder="1" applyAlignment="1">
      <alignment horizontal="center"/>
    </xf>
    <xf numFmtId="0" fontId="58" fillId="0" borderId="0" xfId="0" applyFont="1" applyBorder="1" applyAlignment="1">
      <alignment horizontal="center"/>
    </xf>
    <xf numFmtId="0" fontId="58" fillId="24" borderId="57" xfId="0" applyFont="1" applyFill="1" applyBorder="1" applyAlignment="1">
      <alignment wrapText="1"/>
    </xf>
    <xf numFmtId="174" fontId="0" fillId="24" borderId="66" xfId="0" applyNumberFormat="1" applyFill="1" applyBorder="1"/>
    <xf numFmtId="174" fontId="0" fillId="24" borderId="69" xfId="0" applyNumberFormat="1" applyFill="1" applyBorder="1"/>
    <xf numFmtId="174" fontId="0" fillId="0" borderId="69" xfId="0" applyNumberFormat="1" applyFill="1" applyBorder="1"/>
    <xf numFmtId="174" fontId="0" fillId="0" borderId="70" xfId="0" applyNumberFormat="1" applyFill="1" applyBorder="1"/>
    <xf numFmtId="174" fontId="0" fillId="24" borderId="38" xfId="0" applyNumberFormat="1" applyFill="1" applyBorder="1"/>
    <xf numFmtId="3" fontId="0" fillId="24" borderId="38" xfId="0" applyNumberFormat="1" applyFill="1" applyBorder="1"/>
    <xf numFmtId="174" fontId="0" fillId="0" borderId="71" xfId="0" applyNumberFormat="1" applyFill="1" applyBorder="1"/>
    <xf numFmtId="174" fontId="0" fillId="0" borderId="72" xfId="0" applyNumberFormat="1" applyFill="1" applyBorder="1"/>
    <xf numFmtId="174" fontId="0" fillId="24" borderId="71" xfId="0" applyNumberFormat="1" applyFill="1" applyBorder="1"/>
    <xf numFmtId="3" fontId="0" fillId="0" borderId="0" xfId="0" applyNumberFormat="1"/>
    <xf numFmtId="0" fontId="0" fillId="24" borderId="38" xfId="0" applyFill="1" applyBorder="1"/>
    <xf numFmtId="174" fontId="0" fillId="24" borderId="73" xfId="0" applyNumberFormat="1" applyFill="1" applyBorder="1"/>
    <xf numFmtId="174" fontId="0" fillId="24" borderId="74" xfId="0" applyNumberFormat="1" applyFill="1" applyBorder="1"/>
    <xf numFmtId="174" fontId="0" fillId="0" borderId="74" xfId="0" applyNumberFormat="1" applyBorder="1"/>
    <xf numFmtId="174" fontId="0" fillId="0" borderId="75" xfId="0" applyNumberFormat="1" applyBorder="1"/>
    <xf numFmtId="3" fontId="3" fillId="0" borderId="43" xfId="0" applyNumberFormat="1" applyFont="1" applyBorder="1"/>
    <xf numFmtId="3" fontId="3" fillId="24" borderId="36" xfId="0" applyNumberFormat="1" applyFont="1" applyFill="1" applyBorder="1"/>
    <xf numFmtId="3" fontId="3" fillId="0" borderId="0" xfId="0" applyNumberFormat="1" applyFont="1" applyBorder="1"/>
    <xf numFmtId="174" fontId="3" fillId="9" borderId="32" xfId="0" applyNumberFormat="1" applyFont="1" applyFill="1" applyBorder="1"/>
    <xf numFmtId="1" fontId="58" fillId="0" borderId="0" xfId="0" applyNumberFormat="1" applyFont="1" applyFill="1" applyBorder="1"/>
    <xf numFmtId="0" fontId="58" fillId="24" borderId="38" xfId="0" applyFont="1" applyFill="1" applyBorder="1" applyAlignment="1">
      <alignment horizontal="right"/>
    </xf>
    <xf numFmtId="0" fontId="58" fillId="0" borderId="0" xfId="0" applyFont="1" applyBorder="1" applyAlignment="1">
      <alignment horizontal="right"/>
    </xf>
    <xf numFmtId="0" fontId="58" fillId="24" borderId="38" xfId="0" applyFont="1" applyFill="1" applyBorder="1" applyAlignment="1">
      <alignment horizontal="center" wrapText="1"/>
    </xf>
    <xf numFmtId="174" fontId="3" fillId="0" borderId="43" xfId="0" applyNumberFormat="1" applyFont="1" applyBorder="1"/>
    <xf numFmtId="174" fontId="3" fillId="24" borderId="36" xfId="0" applyNumberFormat="1" applyFont="1" applyFill="1" applyBorder="1"/>
    <xf numFmtId="0" fontId="0" fillId="24" borderId="54" xfId="0" applyFill="1" applyBorder="1"/>
    <xf numFmtId="0" fontId="3" fillId="0" borderId="13" xfId="0" applyFont="1" applyBorder="1"/>
    <xf numFmtId="0" fontId="73" fillId="0" borderId="0" xfId="0" applyFont="1" applyBorder="1"/>
    <xf numFmtId="0" fontId="58" fillId="0" borderId="0" xfId="0" applyFont="1" applyBorder="1"/>
    <xf numFmtId="0" fontId="58" fillId="0" borderId="14" xfId="0" applyFont="1" applyBorder="1"/>
    <xf numFmtId="174" fontId="0" fillId="24" borderId="0" xfId="0" applyNumberFormat="1" applyFill="1" applyBorder="1"/>
    <xf numFmtId="0" fontId="0" fillId="0" borderId="0" xfId="0" applyBorder="1" applyAlignment="1">
      <alignment wrapText="1"/>
    </xf>
    <xf numFmtId="2" fontId="0" fillId="0" borderId="0" xfId="0" applyNumberFormat="1" applyBorder="1" applyAlignment="1">
      <alignment wrapText="1"/>
    </xf>
    <xf numFmtId="3" fontId="0" fillId="0" borderId="14" xfId="0" applyNumberFormat="1" applyBorder="1"/>
    <xf numFmtId="0" fontId="9" fillId="0" borderId="0" xfId="0" applyFont="1" applyBorder="1"/>
    <xf numFmtId="9" fontId="3" fillId="0" borderId="0" xfId="0" applyNumberFormat="1" applyFont="1" applyBorder="1"/>
    <xf numFmtId="1" fontId="58" fillId="0" borderId="0" xfId="0" applyNumberFormat="1" applyFont="1" applyBorder="1"/>
    <xf numFmtId="4" fontId="0" fillId="0" borderId="0" xfId="0" applyNumberFormat="1" applyBorder="1"/>
    <xf numFmtId="0" fontId="58" fillId="0" borderId="13" xfId="0" applyFont="1" applyBorder="1"/>
    <xf numFmtId="0" fontId="0" fillId="0" borderId="26" xfId="0" applyBorder="1"/>
    <xf numFmtId="0" fontId="0" fillId="0" borderId="4" xfId="0" applyBorder="1"/>
    <xf numFmtId="16" fontId="18" fillId="18" borderId="0" xfId="0" quotePrefix="1" applyNumberFormat="1" applyFont="1" applyFill="1" applyBorder="1" applyAlignment="1">
      <alignment horizontal="left"/>
    </xf>
    <xf numFmtId="0" fontId="3" fillId="0" borderId="14" xfId="0" applyFont="1" applyFill="1" applyBorder="1" applyAlignment="1">
      <alignment horizontal="center"/>
    </xf>
    <xf numFmtId="0" fontId="3" fillId="0" borderId="13" xfId="0" applyFont="1" applyBorder="1" applyAlignment="1">
      <alignment horizontal="left"/>
    </xf>
    <xf numFmtId="0" fontId="5" fillId="0" borderId="13" xfId="0" quotePrefix="1" applyFont="1" applyBorder="1"/>
    <xf numFmtId="9" fontId="0" fillId="0" borderId="14" xfId="0" applyNumberFormat="1" applyFill="1" applyBorder="1"/>
    <xf numFmtId="0" fontId="7" fillId="9" borderId="13" xfId="0" quotePrefix="1" applyFont="1" applyFill="1" applyBorder="1"/>
    <xf numFmtId="0" fontId="5" fillId="9" borderId="13" xfId="0" quotePrefix="1" applyFont="1" applyFill="1" applyBorder="1"/>
    <xf numFmtId="0" fontId="0" fillId="0" borderId="4" xfId="0" applyBorder="1" applyAlignment="1">
      <alignment horizontal="center"/>
    </xf>
    <xf numFmtId="9" fontId="1" fillId="0" borderId="4" xfId="39" applyFill="1" applyBorder="1" applyAlignment="1">
      <alignment horizontal="right"/>
    </xf>
    <xf numFmtId="0" fontId="3" fillId="0" borderId="13" xfId="0" applyFont="1" applyFill="1" applyBorder="1"/>
    <xf numFmtId="0" fontId="18" fillId="18" borderId="0" xfId="0" quotePrefix="1" applyFont="1" applyFill="1" applyBorder="1" applyAlignment="1">
      <alignment horizontal="left"/>
    </xf>
    <xf numFmtId="0" fontId="0" fillId="24" borderId="11" xfId="0" applyFill="1" applyBorder="1"/>
    <xf numFmtId="0" fontId="0" fillId="0" borderId="14" xfId="0" applyFill="1" applyBorder="1" applyAlignment="1">
      <alignment horizontal="right"/>
    </xf>
    <xf numFmtId="0" fontId="0" fillId="0" borderId="0" xfId="0" applyFill="1" applyBorder="1" applyAlignment="1">
      <alignment horizontal="center" wrapText="1"/>
    </xf>
    <xf numFmtId="0" fontId="0" fillId="0" borderId="33" xfId="0" applyFill="1" applyBorder="1"/>
    <xf numFmtId="0" fontId="0" fillId="0" borderId="2" xfId="0" applyFill="1" applyBorder="1" applyAlignment="1">
      <alignment horizontal="center"/>
    </xf>
    <xf numFmtId="0" fontId="3" fillId="0" borderId="2" xfId="0" applyFont="1" applyFill="1" applyBorder="1" applyAlignment="1">
      <alignment horizontal="center" wrapText="1"/>
    </xf>
    <xf numFmtId="0" fontId="3" fillId="0" borderId="2" xfId="0" applyFont="1" applyFill="1" applyBorder="1" applyAlignment="1">
      <alignment horizontal="center"/>
    </xf>
    <xf numFmtId="0" fontId="3" fillId="0" borderId="2" xfId="0" applyFont="1" applyFill="1" applyBorder="1" applyAlignment="1">
      <alignment horizontal="left"/>
    </xf>
    <xf numFmtId="1" fontId="3" fillId="0" borderId="28" xfId="0" applyNumberFormat="1" applyFont="1" applyFill="1" applyBorder="1" applyAlignment="1">
      <alignment horizontal="center" wrapText="1"/>
    </xf>
    <xf numFmtId="1" fontId="3" fillId="0" borderId="0" xfId="0" applyNumberFormat="1" applyFont="1" applyFill="1" applyBorder="1" applyAlignment="1">
      <alignment horizontal="center" wrapText="1"/>
    </xf>
    <xf numFmtId="1" fontId="3" fillId="24" borderId="1" xfId="0" applyNumberFormat="1" applyFont="1" applyFill="1" applyBorder="1" applyAlignment="1">
      <alignment horizontal="center" wrapText="1"/>
    </xf>
    <xf numFmtId="1" fontId="3" fillId="0" borderId="0" xfId="0" applyNumberFormat="1" applyFont="1" applyFill="1" applyBorder="1" applyAlignment="1">
      <alignment horizontal="right" wrapText="1"/>
    </xf>
    <xf numFmtId="1" fontId="51" fillId="13" borderId="1" xfId="0" applyNumberFormat="1" applyFont="1" applyFill="1" applyBorder="1" applyAlignment="1">
      <alignment horizontal="center"/>
    </xf>
    <xf numFmtId="1" fontId="51" fillId="15" borderId="1" xfId="0" applyNumberFormat="1" applyFont="1" applyFill="1" applyBorder="1" applyAlignment="1">
      <alignment horizontal="right" wrapText="1"/>
    </xf>
    <xf numFmtId="1" fontId="51" fillId="0" borderId="1" xfId="0" applyNumberFormat="1" applyFont="1" applyFill="1" applyBorder="1" applyAlignment="1">
      <alignment horizontal="right" wrapText="1"/>
    </xf>
    <xf numFmtId="0" fontId="0" fillId="0" borderId="47" xfId="0" applyFill="1" applyBorder="1" applyAlignment="1">
      <alignment horizontal="center"/>
    </xf>
    <xf numFmtId="3" fontId="0" fillId="0" borderId="0" xfId="0" applyNumberFormat="1" applyFill="1" applyBorder="1"/>
    <xf numFmtId="3" fontId="0" fillId="0" borderId="0" xfId="0" applyNumberFormat="1" applyFill="1" applyBorder="1" applyAlignment="1">
      <alignment horizontal="left"/>
    </xf>
    <xf numFmtId="3" fontId="0" fillId="0" borderId="29" xfId="0" applyNumberFormat="1" applyFill="1" applyBorder="1" applyAlignment="1">
      <alignment horizontal="right"/>
    </xf>
    <xf numFmtId="3" fontId="0" fillId="0" borderId="0" xfId="0" applyNumberFormat="1" applyFill="1" applyBorder="1" applyAlignment="1">
      <alignment horizontal="right"/>
    </xf>
    <xf numFmtId="3" fontId="0" fillId="24" borderId="6" xfId="0" applyNumberFormat="1" applyFill="1" applyBorder="1" applyAlignment="1">
      <alignment horizontal="right"/>
    </xf>
    <xf numFmtId="3" fontId="0" fillId="13" borderId="6" xfId="0" applyNumberFormat="1" applyFill="1" applyBorder="1" applyAlignment="1">
      <alignment horizontal="right"/>
    </xf>
    <xf numFmtId="3" fontId="0" fillId="15" borderId="6" xfId="0" applyNumberFormat="1" applyFill="1" applyBorder="1" applyAlignment="1">
      <alignment horizontal="right"/>
    </xf>
    <xf numFmtId="3" fontId="0" fillId="0" borderId="6" xfId="0" applyNumberFormat="1" applyFill="1" applyBorder="1" applyAlignment="1">
      <alignment horizontal="right"/>
    </xf>
    <xf numFmtId="3" fontId="0" fillId="0" borderId="0" xfId="0" applyNumberFormat="1" applyAlignment="1">
      <alignment horizontal="right"/>
    </xf>
    <xf numFmtId="0" fontId="0" fillId="13" borderId="6" xfId="0" applyFill="1" applyBorder="1" applyAlignment="1">
      <alignment horizontal="right"/>
    </xf>
    <xf numFmtId="0" fontId="0" fillId="0" borderId="6" xfId="0" applyFill="1" applyBorder="1" applyAlignment="1">
      <alignment horizontal="right"/>
    </xf>
    <xf numFmtId="0" fontId="0" fillId="15" borderId="0" xfId="0" applyFill="1"/>
    <xf numFmtId="0" fontId="0" fillId="15" borderId="6" xfId="0" applyFill="1" applyBorder="1"/>
    <xf numFmtId="0" fontId="0" fillId="0" borderId="6" xfId="0" applyFill="1" applyBorder="1"/>
    <xf numFmtId="0" fontId="51" fillId="0" borderId="13" xfId="0" applyFont="1" applyFill="1" applyBorder="1"/>
    <xf numFmtId="0" fontId="51" fillId="0" borderId="31" xfId="0" applyFont="1" applyFill="1" applyBorder="1"/>
    <xf numFmtId="0" fontId="51" fillId="0" borderId="15" xfId="0" applyFont="1" applyFill="1" applyBorder="1"/>
    <xf numFmtId="3" fontId="51" fillId="0" borderId="15" xfId="0" applyNumberFormat="1" applyFont="1" applyFill="1" applyBorder="1"/>
    <xf numFmtId="0" fontId="51" fillId="0" borderId="15" xfId="0" applyFont="1" applyFill="1" applyBorder="1" applyAlignment="1">
      <alignment horizontal="left"/>
    </xf>
    <xf numFmtId="3" fontId="51" fillId="0" borderId="34" xfId="0" applyNumberFormat="1" applyFont="1" applyFill="1" applyBorder="1" applyAlignment="1">
      <alignment horizontal="right"/>
    </xf>
    <xf numFmtId="3" fontId="51" fillId="0" borderId="0" xfId="0" applyNumberFormat="1" applyFont="1" applyFill="1" applyBorder="1" applyAlignment="1">
      <alignment horizontal="right"/>
    </xf>
    <xf numFmtId="3" fontId="3" fillId="24" borderId="1" xfId="0" applyNumberFormat="1" applyFont="1" applyFill="1" applyBorder="1"/>
    <xf numFmtId="3" fontId="51" fillId="0" borderId="0" xfId="0" applyNumberFormat="1" applyFont="1" applyFill="1" applyBorder="1"/>
    <xf numFmtId="3" fontId="3" fillId="13" borderId="1" xfId="0" applyNumberFormat="1" applyFont="1" applyFill="1" applyBorder="1"/>
    <xf numFmtId="3" fontId="3" fillId="15" borderId="1" xfId="0" applyNumberFormat="1" applyFont="1" applyFill="1" applyBorder="1"/>
    <xf numFmtId="3" fontId="3" fillId="0" borderId="1" xfId="0" applyNumberFormat="1" applyFont="1" applyFill="1" applyBorder="1"/>
    <xf numFmtId="0" fontId="51" fillId="0" borderId="14" xfId="0" applyFont="1" applyFill="1" applyBorder="1"/>
    <xf numFmtId="0" fontId="51" fillId="0" borderId="0" xfId="0" applyFont="1" applyFill="1" applyBorder="1"/>
    <xf numFmtId="0" fontId="51" fillId="0" borderId="0" xfId="0" applyFont="1" applyFill="1"/>
    <xf numFmtId="3" fontId="51" fillId="0" borderId="0" xfId="0" applyNumberFormat="1" applyFont="1" applyBorder="1"/>
    <xf numFmtId="0" fontId="51" fillId="0" borderId="0" xfId="0" applyFont="1"/>
    <xf numFmtId="0" fontId="3" fillId="0" borderId="0" xfId="0" applyFont="1" applyFill="1" applyBorder="1" applyAlignment="1">
      <alignment horizontal="right"/>
    </xf>
    <xf numFmtId="0" fontId="0" fillId="0" borderId="0" xfId="0" applyBorder="1" applyAlignment="1">
      <alignment horizontal="right"/>
    </xf>
    <xf numFmtId="3" fontId="3" fillId="0" borderId="0" xfId="0" applyNumberFormat="1" applyFont="1" applyFill="1" applyBorder="1" applyAlignment="1">
      <alignment horizontal="right"/>
    </xf>
    <xf numFmtId="3" fontId="3" fillId="0" borderId="0" xfId="0" applyNumberFormat="1" applyFont="1" applyFill="1" applyAlignment="1">
      <alignment horizontal="right"/>
    </xf>
    <xf numFmtId="9" fontId="3" fillId="0" borderId="0" xfId="0" applyNumberFormat="1" applyFont="1" applyFill="1" applyBorder="1" applyAlignment="1">
      <alignment horizontal="right"/>
    </xf>
    <xf numFmtId="0" fontId="0" fillId="0" borderId="0" xfId="0" applyFill="1" applyBorder="1" applyAlignment="1"/>
    <xf numFmtId="0" fontId="0" fillId="0" borderId="0" xfId="0" applyFill="1" applyBorder="1" applyAlignment="1">
      <alignment horizontal="center"/>
    </xf>
    <xf numFmtId="0" fontId="49" fillId="0" borderId="0" xfId="0" applyFont="1" applyFill="1" applyBorder="1"/>
    <xf numFmtId="0" fontId="51" fillId="24" borderId="76" xfId="0" applyFont="1" applyFill="1" applyBorder="1" applyAlignment="1">
      <alignment horizontal="center" wrapText="1"/>
    </xf>
    <xf numFmtId="0" fontId="51" fillId="24" borderId="1" xfId="0" applyFont="1" applyFill="1" applyBorder="1" applyAlignment="1">
      <alignment horizontal="center" wrapText="1"/>
    </xf>
    <xf numFmtId="0" fontId="51" fillId="0" borderId="0" xfId="0" applyFont="1" applyFill="1" applyBorder="1" applyAlignment="1">
      <alignment horizontal="center"/>
    </xf>
    <xf numFmtId="0" fontId="49" fillId="0" borderId="0" xfId="0" applyFont="1" applyBorder="1"/>
    <xf numFmtId="0" fontId="73" fillId="0" borderId="0" xfId="0" applyFont="1" applyBorder="1" applyAlignment="1">
      <alignment horizontal="right"/>
    </xf>
    <xf numFmtId="0" fontId="51" fillId="0" borderId="0" xfId="0" applyFont="1" applyFill="1" applyBorder="1" applyAlignment="1">
      <alignment horizontal="center" wrapText="1"/>
    </xf>
    <xf numFmtId="1" fontId="51" fillId="24" borderId="76" xfId="0" applyNumberFormat="1" applyFont="1" applyFill="1" applyBorder="1" applyAlignment="1">
      <alignment horizontal="center" wrapText="1"/>
    </xf>
    <xf numFmtId="1" fontId="51" fillId="24" borderId="1" xfId="0" applyNumberFormat="1" applyFont="1" applyFill="1" applyBorder="1" applyAlignment="1">
      <alignment horizontal="center" wrapText="1"/>
    </xf>
    <xf numFmtId="1" fontId="73" fillId="0" borderId="0" xfId="0" applyNumberFormat="1" applyFont="1" applyFill="1" applyBorder="1" applyAlignment="1">
      <alignment horizontal="right" wrapText="1"/>
    </xf>
    <xf numFmtId="1" fontId="51" fillId="0" borderId="0" xfId="0" applyNumberFormat="1" applyFont="1" applyFill="1" applyBorder="1" applyAlignment="1">
      <alignment horizontal="center"/>
    </xf>
    <xf numFmtId="1" fontId="51" fillId="15" borderId="76" xfId="0" applyNumberFormat="1" applyFont="1" applyFill="1" applyBorder="1" applyAlignment="1">
      <alignment horizontal="center"/>
    </xf>
    <xf numFmtId="1" fontId="51" fillId="0" borderId="1" xfId="0" applyNumberFormat="1" applyFont="1" applyFill="1" applyBorder="1" applyAlignment="1">
      <alignment horizontal="center"/>
    </xf>
    <xf numFmtId="1" fontId="51" fillId="0" borderId="44" xfId="0" applyNumberFormat="1" applyFont="1" applyFill="1" applyBorder="1" applyAlignment="1">
      <alignment horizontal="center"/>
    </xf>
    <xf numFmtId="0" fontId="51" fillId="0" borderId="14" xfId="0" applyFont="1" applyFill="1" applyBorder="1" applyAlignment="1">
      <alignment horizontal="left"/>
    </xf>
    <xf numFmtId="0" fontId="49" fillId="0" borderId="0" xfId="0" applyFont="1"/>
    <xf numFmtId="0" fontId="3" fillId="24" borderId="47" xfId="0" applyFont="1" applyFill="1" applyBorder="1" applyAlignment="1">
      <alignment horizontal="center"/>
    </xf>
    <xf numFmtId="0" fontId="3" fillId="24" borderId="6" xfId="0" applyFont="1" applyFill="1" applyBorder="1" applyAlignment="1">
      <alignment horizontal="center"/>
    </xf>
    <xf numFmtId="0" fontId="3" fillId="13" borderId="6" xfId="0" applyFont="1" applyFill="1" applyBorder="1" applyAlignment="1">
      <alignment horizontal="center"/>
    </xf>
    <xf numFmtId="174" fontId="3" fillId="15" borderId="47" xfId="0" applyNumberFormat="1" applyFont="1" applyFill="1" applyBorder="1"/>
    <xf numFmtId="0" fontId="3" fillId="0" borderId="47" xfId="0" applyFont="1" applyFill="1" applyBorder="1" applyAlignment="1">
      <alignment horizontal="center"/>
    </xf>
    <xf numFmtId="0" fontId="3" fillId="0" borderId="5" xfId="0" applyFont="1" applyFill="1" applyBorder="1" applyAlignment="1">
      <alignment horizontal="center"/>
    </xf>
    <xf numFmtId="0" fontId="3" fillId="0" borderId="14" xfId="0" applyFont="1" applyFill="1" applyBorder="1" applyAlignment="1">
      <alignment horizontal="right"/>
    </xf>
    <xf numFmtId="3" fontId="3" fillId="24" borderId="47" xfId="0" applyNumberFormat="1" applyFont="1" applyFill="1" applyBorder="1" applyAlignment="1">
      <alignment horizontal="right"/>
    </xf>
    <xf numFmtId="3" fontId="3" fillId="24" borderId="6" xfId="0" applyNumberFormat="1" applyFont="1" applyFill="1" applyBorder="1" applyAlignment="1">
      <alignment horizontal="right"/>
    </xf>
    <xf numFmtId="3" fontId="9" fillId="0" borderId="0" xfId="0" applyNumberFormat="1" applyFont="1" applyFill="1" applyBorder="1" applyAlignment="1">
      <alignment horizontal="right"/>
    </xf>
    <xf numFmtId="3" fontId="3" fillId="13" borderId="6" xfId="0" applyNumberFormat="1" applyFont="1" applyFill="1" applyBorder="1" applyAlignment="1">
      <alignment horizontal="right"/>
    </xf>
    <xf numFmtId="3" fontId="3" fillId="0" borderId="6" xfId="0" applyNumberFormat="1" applyFont="1" applyFill="1" applyBorder="1" applyAlignment="1">
      <alignment horizontal="right"/>
    </xf>
    <xf numFmtId="37" fontId="74" fillId="0" borderId="14" xfId="0" applyNumberFormat="1" applyFont="1"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3" fillId="15" borderId="47" xfId="0" applyFont="1" applyFill="1" applyBorder="1" applyAlignment="1">
      <alignment horizontal="center"/>
    </xf>
    <xf numFmtId="0" fontId="3" fillId="0" borderId="6" xfId="0" applyFont="1" applyFill="1" applyBorder="1" applyAlignment="1">
      <alignment horizontal="center"/>
    </xf>
    <xf numFmtId="37" fontId="3" fillId="0" borderId="14" xfId="0" applyNumberFormat="1" applyFont="1" applyFill="1" applyBorder="1" applyAlignment="1">
      <alignment horizontal="right"/>
    </xf>
    <xf numFmtId="0" fontId="5" fillId="0" borderId="0" xfId="0" quotePrefix="1" applyFont="1" applyFill="1" applyBorder="1"/>
    <xf numFmtId="174" fontId="0" fillId="24" borderId="47" xfId="0" applyNumberFormat="1" applyFill="1" applyBorder="1" applyAlignment="1"/>
    <xf numFmtId="174" fontId="0" fillId="24" borderId="6" xfId="0" applyNumberFormat="1" applyFill="1" applyBorder="1" applyAlignment="1"/>
    <xf numFmtId="174" fontId="0" fillId="0" borderId="0" xfId="0" applyNumberFormat="1" applyFill="1" applyBorder="1" applyAlignment="1"/>
    <xf numFmtId="174" fontId="0" fillId="24" borderId="47" xfId="0" applyNumberFormat="1" applyFill="1" applyBorder="1"/>
    <xf numFmtId="174" fontId="0" fillId="24" borderId="6" xfId="0" applyNumberFormat="1" applyFill="1" applyBorder="1"/>
    <xf numFmtId="174" fontId="0" fillId="13" borderId="6" xfId="0" applyNumberFormat="1" applyFill="1" applyBorder="1"/>
    <xf numFmtId="174" fontId="0" fillId="15" borderId="47" xfId="0" applyNumberFormat="1" applyFill="1" applyBorder="1"/>
    <xf numFmtId="174" fontId="0" fillId="0" borderId="47" xfId="0" applyNumberFormat="1" applyFill="1" applyBorder="1"/>
    <xf numFmtId="174" fontId="0" fillId="0" borderId="6" xfId="0" applyNumberFormat="1" applyFill="1" applyBorder="1"/>
    <xf numFmtId="37" fontId="0" fillId="0" borderId="14" xfId="0" applyNumberFormat="1" applyFill="1" applyBorder="1" applyAlignment="1">
      <alignment horizontal="right"/>
    </xf>
    <xf numFmtId="0" fontId="7" fillId="0" borderId="0" xfId="0" quotePrefix="1" applyFont="1" applyFill="1" applyBorder="1"/>
    <xf numFmtId="174" fontId="3" fillId="24" borderId="47" xfId="0" applyNumberFormat="1" applyFont="1" applyFill="1" applyBorder="1" applyAlignment="1"/>
    <xf numFmtId="174" fontId="3" fillId="0" borderId="0" xfId="0" applyNumberFormat="1" applyFont="1" applyFill="1" applyBorder="1" applyAlignment="1"/>
    <xf numFmtId="174" fontId="3" fillId="24" borderId="47" xfId="0" applyNumberFormat="1" applyFont="1" applyFill="1" applyBorder="1"/>
    <xf numFmtId="174" fontId="3" fillId="24" borderId="6" xfId="0" applyNumberFormat="1" applyFont="1" applyFill="1" applyBorder="1"/>
    <xf numFmtId="174" fontId="9" fillId="0" borderId="0" xfId="0" applyNumberFormat="1" applyFont="1" applyFill="1" applyBorder="1" applyAlignment="1">
      <alignment horizontal="right"/>
    </xf>
    <xf numFmtId="174" fontId="3" fillId="13" borderId="6" xfId="0" applyNumberFormat="1" applyFont="1" applyFill="1" applyBorder="1"/>
    <xf numFmtId="174" fontId="3" fillId="0" borderId="47" xfId="0" applyNumberFormat="1" applyFont="1" applyFill="1" applyBorder="1"/>
    <xf numFmtId="174" fontId="3" fillId="0" borderId="6" xfId="0" applyNumberFormat="1" applyFont="1" applyFill="1" applyBorder="1"/>
    <xf numFmtId="0" fontId="74" fillId="0" borderId="0" xfId="0" applyFont="1"/>
    <xf numFmtId="174" fontId="0" fillId="0" borderId="0" xfId="0" applyNumberFormat="1" applyFill="1" applyBorder="1" applyAlignment="1">
      <alignment horizontal="right"/>
    </xf>
    <xf numFmtId="174" fontId="0" fillId="24" borderId="47" xfId="0" applyNumberFormat="1" applyFill="1" applyBorder="1" applyAlignment="1">
      <alignment horizontal="right"/>
    </xf>
    <xf numFmtId="174" fontId="0" fillId="24" borderId="6" xfId="0" applyNumberFormat="1" applyFill="1" applyBorder="1" applyAlignment="1">
      <alignment horizontal="right"/>
    </xf>
    <xf numFmtId="174" fontId="0" fillId="13" borderId="6" xfId="0" applyNumberFormat="1" applyFill="1" applyBorder="1" applyAlignment="1">
      <alignment horizontal="right"/>
    </xf>
    <xf numFmtId="174" fontId="0" fillId="15" borderId="47" xfId="0" applyNumberFormat="1" applyFill="1" applyBorder="1" applyAlignment="1">
      <alignment horizontal="right"/>
    </xf>
    <xf numFmtId="174" fontId="0" fillId="0" borderId="47" xfId="0" applyNumberFormat="1" applyFill="1" applyBorder="1" applyAlignment="1">
      <alignment horizontal="right"/>
    </xf>
    <xf numFmtId="174" fontId="0" fillId="0" borderId="6" xfId="0" applyNumberFormat="1" applyFill="1" applyBorder="1" applyAlignment="1">
      <alignment horizontal="right"/>
    </xf>
    <xf numFmtId="0" fontId="5" fillId="0" borderId="0" xfId="0" applyFont="1" applyFill="1" applyBorder="1"/>
    <xf numFmtId="174" fontId="3" fillId="0" borderId="0" xfId="0" applyNumberFormat="1" applyFont="1" applyFill="1" applyBorder="1" applyAlignment="1">
      <alignment horizontal="right"/>
    </xf>
    <xf numFmtId="0" fontId="3" fillId="0" borderId="27" xfId="0" applyFont="1" applyBorder="1"/>
    <xf numFmtId="174" fontId="9" fillId="0" borderId="0" xfId="0" applyNumberFormat="1" applyFont="1" applyFill="1" applyBorder="1" applyAlignment="1">
      <alignment horizontal="right" wrapText="1"/>
    </xf>
    <xf numFmtId="174" fontId="3" fillId="0" borderId="14" xfId="0" applyNumberFormat="1" applyFont="1" applyFill="1" applyBorder="1"/>
    <xf numFmtId="174" fontId="3" fillId="24" borderId="6" xfId="0" applyNumberFormat="1" applyFont="1" applyFill="1" applyBorder="1" applyAlignment="1"/>
    <xf numFmtId="174" fontId="0" fillId="0" borderId="7" xfId="0" applyNumberFormat="1" applyFill="1" applyBorder="1"/>
    <xf numFmtId="174" fontId="7" fillId="24" borderId="76" xfId="0" quotePrefix="1" applyNumberFormat="1" applyFont="1" applyFill="1" applyBorder="1" applyAlignment="1"/>
    <xf numFmtId="174" fontId="7" fillId="24" borderId="1" xfId="0" quotePrefix="1" applyNumberFormat="1" applyFont="1" applyFill="1" applyBorder="1" applyAlignment="1"/>
    <xf numFmtId="174" fontId="7" fillId="0" borderId="0" xfId="0" quotePrefix="1" applyNumberFormat="1" applyFont="1" applyFill="1" applyBorder="1" applyAlignment="1"/>
    <xf numFmtId="174" fontId="7" fillId="0" borderId="0" xfId="0" quotePrefix="1" applyNumberFormat="1" applyFont="1" applyFill="1" applyBorder="1" applyAlignment="1">
      <alignment horizontal="right"/>
    </xf>
    <xf numFmtId="174" fontId="7" fillId="0" borderId="0" xfId="0" quotePrefix="1" applyNumberFormat="1" applyFont="1" applyFill="1" applyBorder="1"/>
    <xf numFmtId="174" fontId="7" fillId="24" borderId="77" xfId="0" quotePrefix="1" applyNumberFormat="1" applyFont="1" applyFill="1" applyBorder="1"/>
    <xf numFmtId="174" fontId="7" fillId="24" borderId="37" xfId="0" quotePrefix="1" applyNumberFormat="1" applyFont="1" applyFill="1" applyBorder="1"/>
    <xf numFmtId="174" fontId="7" fillId="13" borderId="37" xfId="0" quotePrefix="1" applyNumberFormat="1" applyFont="1" applyFill="1" applyBorder="1"/>
    <xf numFmtId="174" fontId="7" fillId="15" borderId="77" xfId="0" quotePrefix="1" applyNumberFormat="1" applyFont="1" applyFill="1" applyBorder="1"/>
    <xf numFmtId="174" fontId="7" fillId="0" borderId="37" xfId="0" quotePrefix="1" applyNumberFormat="1" applyFont="1" applyFill="1" applyBorder="1"/>
    <xf numFmtId="174" fontId="7" fillId="0" borderId="35" xfId="0" quotePrefix="1" applyNumberFormat="1" applyFont="1" applyFill="1" applyBorder="1"/>
    <xf numFmtId="0" fontId="7" fillId="0" borderId="0" xfId="0" applyFont="1" applyFill="1" applyBorder="1"/>
    <xf numFmtId="174" fontId="7" fillId="24" borderId="31" xfId="0" quotePrefix="1" applyNumberFormat="1" applyFont="1" applyFill="1" applyBorder="1" applyAlignment="1"/>
    <xf numFmtId="174" fontId="7" fillId="24" borderId="7" xfId="0" quotePrefix="1" applyNumberFormat="1" applyFont="1" applyFill="1" applyBorder="1" applyAlignment="1"/>
    <xf numFmtId="174" fontId="7" fillId="24" borderId="31" xfId="0" quotePrefix="1" applyNumberFormat="1" applyFont="1" applyFill="1" applyBorder="1"/>
    <xf numFmtId="174" fontId="7" fillId="24" borderId="7" xfId="0" quotePrefix="1" applyNumberFormat="1" applyFont="1" applyFill="1" applyBorder="1"/>
    <xf numFmtId="174" fontId="7" fillId="13" borderId="7" xfId="0" quotePrefix="1" applyNumberFormat="1" applyFont="1" applyFill="1" applyBorder="1"/>
    <xf numFmtId="174" fontId="7" fillId="15" borderId="31" xfId="0" quotePrefix="1" applyNumberFormat="1" applyFont="1" applyFill="1" applyBorder="1"/>
    <xf numFmtId="174" fontId="7" fillId="0" borderId="7" xfId="0" quotePrefix="1" applyNumberFormat="1" applyFont="1" applyFill="1" applyBorder="1"/>
    <xf numFmtId="174" fontId="7" fillId="0" borderId="34" xfId="0" quotePrefix="1" applyNumberFormat="1" applyFont="1" applyFill="1" applyBorder="1"/>
    <xf numFmtId="0" fontId="75" fillId="0" borderId="10" xfId="0" applyFont="1" applyFill="1" applyBorder="1"/>
    <xf numFmtId="174" fontId="7" fillId="0" borderId="11" xfId="0" applyNumberFormat="1" applyFont="1" applyFill="1" applyBorder="1" applyAlignment="1">
      <alignment horizontal="right" wrapText="1"/>
    </xf>
    <xf numFmtId="174" fontId="7" fillId="0" borderId="11" xfId="0" applyNumberFormat="1" applyFont="1" applyFill="1" applyBorder="1" applyAlignment="1">
      <alignment horizontal="right"/>
    </xf>
    <xf numFmtId="174" fontId="7" fillId="0" borderId="11" xfId="0" quotePrefix="1" applyNumberFormat="1" applyFont="1" applyFill="1" applyBorder="1" applyAlignment="1">
      <alignment horizontal="right"/>
    </xf>
    <xf numFmtId="0" fontId="3" fillId="0" borderId="12" xfId="0" applyFont="1" applyBorder="1" applyAlignment="1">
      <alignment horizontal="right"/>
    </xf>
    <xf numFmtId="174" fontId="75" fillId="0" borderId="10" xfId="0" applyNumberFormat="1" applyFont="1" applyFill="1" applyBorder="1" applyAlignment="1">
      <alignment horizontal="right"/>
    </xf>
    <xf numFmtId="174" fontId="7" fillId="0" borderId="11" xfId="0" quotePrefix="1" applyNumberFormat="1" applyFont="1" applyFill="1" applyBorder="1"/>
    <xf numFmtId="174" fontId="7" fillId="0" borderId="12" xfId="0" quotePrefix="1" applyNumberFormat="1" applyFont="1" applyFill="1" applyBorder="1"/>
    <xf numFmtId="3" fontId="0" fillId="0" borderId="0" xfId="0" applyNumberFormat="1" applyBorder="1"/>
    <xf numFmtId="3" fontId="7" fillId="0" borderId="0" xfId="0" quotePrefix="1" applyNumberFormat="1" applyFont="1" applyFill="1" applyBorder="1" applyAlignment="1"/>
    <xf numFmtId="3" fontId="7" fillId="0" borderId="0" xfId="0" quotePrefix="1" applyNumberFormat="1" applyFont="1" applyFill="1" applyBorder="1" applyAlignment="1">
      <alignment horizontal="right"/>
    </xf>
    <xf numFmtId="174" fontId="6" fillId="0" borderId="13" xfId="0" applyNumberFormat="1" applyFont="1" applyFill="1" applyBorder="1" applyAlignment="1">
      <alignment horizontal="right"/>
    </xf>
    <xf numFmtId="174" fontId="7" fillId="0" borderId="14" xfId="0" quotePrefix="1" applyNumberFormat="1" applyFont="1" applyFill="1" applyBorder="1"/>
    <xf numFmtId="9" fontId="7" fillId="0" borderId="0" xfId="0" quotePrefix="1" applyNumberFormat="1" applyFont="1" applyFill="1" applyBorder="1"/>
    <xf numFmtId="9" fontId="7" fillId="0" borderId="14" xfId="0" quotePrefix="1" applyNumberFormat="1" applyFont="1" applyFill="1" applyBorder="1"/>
    <xf numFmtId="3" fontId="7" fillId="0" borderId="0" xfId="0" quotePrefix="1" applyNumberFormat="1" applyFont="1" applyFill="1" applyBorder="1"/>
    <xf numFmtId="3" fontId="7" fillId="0" borderId="14" xfId="0" quotePrefix="1" applyNumberFormat="1" applyFont="1" applyFill="1" applyBorder="1"/>
    <xf numFmtId="174" fontId="7" fillId="0" borderId="13" xfId="0" quotePrefix="1" applyNumberFormat="1" applyFont="1" applyFill="1" applyBorder="1"/>
    <xf numFmtId="3" fontId="3" fillId="0" borderId="53" xfId="0" applyNumberFormat="1" applyFont="1" applyBorder="1"/>
    <xf numFmtId="0" fontId="7" fillId="0" borderId="26" xfId="0" quotePrefix="1" applyFont="1" applyFill="1" applyBorder="1"/>
    <xf numFmtId="174" fontId="7" fillId="0" borderId="4" xfId="0" quotePrefix="1" applyNumberFormat="1" applyFont="1" applyFill="1" applyBorder="1" applyAlignment="1"/>
    <xf numFmtId="174" fontId="7" fillId="0" borderId="4" xfId="0" quotePrefix="1" applyNumberFormat="1" applyFont="1" applyFill="1" applyBorder="1" applyAlignment="1">
      <alignment horizontal="right"/>
    </xf>
    <xf numFmtId="0" fontId="0" fillId="0" borderId="26" xfId="0" applyFill="1" applyBorder="1"/>
    <xf numFmtId="0" fontId="0" fillId="0" borderId="4" xfId="0" applyFill="1" applyBorder="1" applyAlignment="1">
      <alignment horizontal="left" wrapText="1" shrinkToFit="1"/>
    </xf>
    <xf numFmtId="174" fontId="0" fillId="0" borderId="4" xfId="0" applyNumberFormat="1" applyFill="1" applyBorder="1" applyAlignment="1">
      <alignment horizontal="left"/>
    </xf>
    <xf numFmtId="174" fontId="0" fillId="0" borderId="4" xfId="0" applyNumberFormat="1" applyFill="1" applyBorder="1"/>
    <xf numFmtId="0" fontId="3" fillId="0" borderId="27" xfId="0" applyFont="1" applyFill="1" applyBorder="1" applyAlignment="1">
      <alignment horizontal="right"/>
    </xf>
    <xf numFmtId="3" fontId="0" fillId="0" borderId="0" xfId="0" applyNumberFormat="1" applyBorder="1" applyAlignment="1">
      <alignment horizontal="left"/>
    </xf>
    <xf numFmtId="3" fontId="3" fillId="0" borderId="0" xfId="0" applyNumberFormat="1" applyFont="1" applyBorder="1" applyAlignment="1">
      <alignment horizontal="right"/>
    </xf>
    <xf numFmtId="0" fontId="0" fillId="0" borderId="0" xfId="0" applyBorder="1" applyAlignment="1">
      <alignment horizontal="left"/>
    </xf>
    <xf numFmtId="0" fontId="0" fillId="0" borderId="0" xfId="0" applyAlignment="1">
      <alignment horizontal="right"/>
    </xf>
    <xf numFmtId="0" fontId="0" fillId="0" borderId="0" xfId="0" applyFill="1" applyAlignment="1">
      <alignment horizontal="right"/>
    </xf>
    <xf numFmtId="0" fontId="0" fillId="0" borderId="0" xfId="0" applyAlignment="1">
      <alignment horizontal="left"/>
    </xf>
    <xf numFmtId="0" fontId="0" fillId="24" borderId="0" xfId="0" applyFill="1" applyBorder="1"/>
    <xf numFmtId="174" fontId="3" fillId="22" borderId="59" xfId="0" applyNumberFormat="1" applyFont="1" applyFill="1" applyBorder="1" applyAlignment="1">
      <alignment horizontal="center" wrapText="1"/>
    </xf>
    <xf numFmtId="0" fontId="6" fillId="18" borderId="29" xfId="0" quotePrefix="1" applyFont="1" applyFill="1" applyBorder="1" applyAlignment="1">
      <alignment horizontal="center"/>
    </xf>
    <xf numFmtId="0" fontId="0" fillId="24" borderId="32" xfId="0" applyFill="1" applyBorder="1"/>
    <xf numFmtId="0" fontId="0" fillId="24" borderId="10" xfId="0" applyFill="1" applyBorder="1"/>
    <xf numFmtId="0" fontId="0" fillId="24" borderId="12" xfId="0" applyFill="1" applyBorder="1"/>
    <xf numFmtId="0" fontId="0" fillId="24" borderId="26" xfId="0" applyFill="1" applyBorder="1"/>
    <xf numFmtId="0" fontId="0" fillId="24" borderId="4" xfId="0" applyFill="1" applyBorder="1"/>
    <xf numFmtId="0" fontId="0" fillId="24" borderId="27" xfId="0" applyFill="1" applyBorder="1"/>
    <xf numFmtId="0" fontId="49" fillId="0" borderId="10" xfId="0" applyFont="1" applyFill="1" applyBorder="1"/>
    <xf numFmtId="174" fontId="3" fillId="22" borderId="40" xfId="0" applyNumberFormat="1" applyFont="1" applyFill="1" applyBorder="1" applyAlignment="1">
      <alignment horizontal="center" wrapText="1"/>
    </xf>
    <xf numFmtId="9" fontId="3" fillId="22" borderId="42" xfId="0" applyNumberFormat="1" applyFont="1" applyFill="1" applyBorder="1" applyAlignment="1">
      <alignment horizontal="center"/>
    </xf>
    <xf numFmtId="9" fontId="0" fillId="22" borderId="57" xfId="0" applyNumberFormat="1" applyFill="1" applyBorder="1"/>
    <xf numFmtId="9" fontId="0" fillId="22" borderId="54" xfId="0" applyNumberFormat="1" applyFill="1" applyBorder="1"/>
    <xf numFmtId="9" fontId="3" fillId="22" borderId="11" xfId="0" applyNumberFormat="1" applyFont="1" applyFill="1" applyBorder="1"/>
    <xf numFmtId="9" fontId="3" fillId="22" borderId="4" xfId="0" applyNumberFormat="1" applyFont="1" applyFill="1" applyBorder="1"/>
    <xf numFmtId="173" fontId="3" fillId="0" borderId="0" xfId="15" applyNumberFormat="1" applyFont="1" applyFill="1" applyBorder="1"/>
    <xf numFmtId="171" fontId="46" fillId="18" borderId="19" xfId="15" applyFont="1" applyFill="1" applyBorder="1" applyAlignment="1">
      <alignment horizontal="left" vertical="center"/>
    </xf>
    <xf numFmtId="0" fontId="58" fillId="0" borderId="0" xfId="0" applyFont="1" applyFill="1" applyBorder="1"/>
    <xf numFmtId="174" fontId="0" fillId="18" borderId="10" xfId="0" applyNumberFormat="1" applyFill="1" applyBorder="1"/>
    <xf numFmtId="173" fontId="3" fillId="22" borderId="65" xfId="15" applyNumberFormat="1" applyFont="1" applyFill="1" applyBorder="1" applyAlignment="1">
      <alignment horizontal="center"/>
    </xf>
    <xf numFmtId="0" fontId="56" fillId="18" borderId="11" xfId="0" applyFont="1" applyFill="1" applyBorder="1"/>
    <xf numFmtId="0" fontId="26" fillId="18" borderId="0" xfId="0" applyFont="1" applyFill="1" applyBorder="1"/>
    <xf numFmtId="0" fontId="54" fillId="18" borderId="0" xfId="0" applyFont="1" applyFill="1" applyBorder="1" applyAlignment="1">
      <alignment horizontal="center"/>
    </xf>
    <xf numFmtId="38" fontId="51" fillId="18" borderId="0" xfId="0" applyNumberFormat="1" applyFont="1" applyFill="1" applyBorder="1" applyAlignment="1">
      <alignment horizontal="center"/>
    </xf>
    <xf numFmtId="38" fontId="49" fillId="18" borderId="0" xfId="0" applyNumberFormat="1" applyFont="1" applyFill="1" applyBorder="1"/>
    <xf numFmtId="38" fontId="49" fillId="18" borderId="0" xfId="0" applyNumberFormat="1" applyFont="1" applyFill="1" applyBorder="1" applyAlignment="1">
      <alignment horizontal="center"/>
    </xf>
    <xf numFmtId="38" fontId="0" fillId="18" borderId="0" xfId="0" applyNumberFormat="1" applyFill="1" applyBorder="1"/>
    <xf numFmtId="169" fontId="3" fillId="18" borderId="0" xfId="0" applyNumberFormat="1" applyFont="1" applyFill="1" applyBorder="1" applyAlignment="1">
      <alignment horizontal="center"/>
    </xf>
    <xf numFmtId="38" fontId="3" fillId="18" borderId="0" xfId="0" applyNumberFormat="1" applyFont="1" applyFill="1" applyBorder="1" applyAlignment="1">
      <alignment horizontal="center"/>
    </xf>
    <xf numFmtId="0" fontId="3" fillId="18" borderId="15" xfId="0" applyFont="1" applyFill="1" applyBorder="1" applyAlignment="1">
      <alignment horizontal="center"/>
    </xf>
    <xf numFmtId="169" fontId="3" fillId="18" borderId="15" xfId="0" applyNumberFormat="1" applyFont="1" applyFill="1" applyBorder="1" applyAlignment="1">
      <alignment horizontal="center"/>
    </xf>
    <xf numFmtId="0" fontId="76" fillId="18" borderId="0" xfId="0" applyFont="1" applyFill="1" applyBorder="1"/>
    <xf numFmtId="0" fontId="18" fillId="13" borderId="57" xfId="0" applyFont="1" applyFill="1" applyBorder="1" applyAlignment="1">
      <alignment horizontal="centerContinuous"/>
    </xf>
    <xf numFmtId="0" fontId="18" fillId="25" borderId="57" xfId="0" applyFont="1" applyFill="1" applyBorder="1" applyAlignment="1">
      <alignment horizontal="centerContinuous"/>
    </xf>
    <xf numFmtId="0" fontId="18" fillId="0" borderId="57" xfId="0" applyFont="1" applyFill="1" applyBorder="1" applyAlignment="1">
      <alignment horizontal="centerContinuous"/>
    </xf>
    <xf numFmtId="174" fontId="72" fillId="18" borderId="13" xfId="0" applyNumberFormat="1" applyFont="1" applyFill="1" applyBorder="1" applyAlignment="1">
      <alignment horizontal="left" indent="1"/>
    </xf>
    <xf numFmtId="3" fontId="3" fillId="0" borderId="32" xfId="0" applyNumberFormat="1" applyFont="1" applyFill="1" applyBorder="1" applyAlignment="1">
      <alignment horizontal="center"/>
    </xf>
    <xf numFmtId="9" fontId="1" fillId="24" borderId="0" xfId="39" applyFill="1" applyBorder="1" applyAlignment="1">
      <alignment textRotation="55"/>
    </xf>
    <xf numFmtId="0" fontId="58" fillId="24" borderId="10" xfId="0" applyFont="1" applyFill="1" applyBorder="1"/>
    <xf numFmtId="9" fontId="1" fillId="24" borderId="11" xfId="39" applyFill="1" applyBorder="1" applyAlignment="1">
      <alignment horizontal="center"/>
    </xf>
    <xf numFmtId="9" fontId="1" fillId="24" borderId="11" xfId="39" applyFill="1" applyBorder="1" applyAlignment="1">
      <alignment textRotation="55"/>
    </xf>
    <xf numFmtId="0" fontId="3" fillId="24" borderId="13" xfId="0" applyFont="1" applyFill="1" applyBorder="1"/>
    <xf numFmtId="9" fontId="1" fillId="24" borderId="0" xfId="39" applyFill="1" applyBorder="1" applyAlignment="1">
      <alignment horizontal="center"/>
    </xf>
    <xf numFmtId="9" fontId="1" fillId="24" borderId="4" xfId="39" applyFill="1" applyBorder="1" applyAlignment="1">
      <alignment horizontal="center"/>
    </xf>
    <xf numFmtId="9" fontId="1" fillId="24" borderId="4" xfId="39" applyFill="1" applyBorder="1" applyAlignment="1">
      <alignment textRotation="55"/>
    </xf>
    <xf numFmtId="0" fontId="0" fillId="24" borderId="14" xfId="0" applyFill="1" applyBorder="1"/>
    <xf numFmtId="9" fontId="1" fillId="0" borderId="0" xfId="39" applyFill="1" applyAlignment="1">
      <alignment horizontal="right"/>
    </xf>
    <xf numFmtId="9" fontId="0" fillId="0" borderId="78" xfId="0" applyNumberFormat="1" applyFill="1" applyBorder="1"/>
    <xf numFmtId="9" fontId="1" fillId="24" borderId="12" xfId="39" applyFill="1" applyBorder="1" applyAlignment="1">
      <alignment textRotation="55"/>
    </xf>
    <xf numFmtId="9" fontId="1" fillId="24" borderId="14" xfId="39" applyFill="1" applyBorder="1" applyAlignment="1">
      <alignment textRotation="55"/>
    </xf>
    <xf numFmtId="0" fontId="3" fillId="24" borderId="13" xfId="0" quotePrefix="1" applyFont="1" applyFill="1" applyBorder="1"/>
    <xf numFmtId="0" fontId="3" fillId="24" borderId="26" xfId="0" quotePrefix="1" applyFont="1" applyFill="1" applyBorder="1"/>
    <xf numFmtId="174" fontId="0" fillId="24" borderId="70" xfId="0" applyNumberFormat="1" applyFill="1" applyBorder="1"/>
    <xf numFmtId="0" fontId="58" fillId="24" borderId="13" xfId="0" applyFont="1" applyFill="1" applyBorder="1"/>
    <xf numFmtId="1" fontId="51" fillId="13" borderId="7" xfId="0" applyNumberFormat="1" applyFont="1" applyFill="1" applyBorder="1" applyAlignment="1">
      <alignment horizontal="center"/>
    </xf>
    <xf numFmtId="0" fontId="3" fillId="18" borderId="50" xfId="0" applyFont="1" applyFill="1" applyBorder="1"/>
    <xf numFmtId="0" fontId="3" fillId="18" borderId="20" xfId="0" applyFont="1" applyFill="1" applyBorder="1" applyAlignment="1">
      <alignment vertical="center" wrapText="1"/>
    </xf>
    <xf numFmtId="0" fontId="58" fillId="0" borderId="0" xfId="0" applyFont="1" applyBorder="1" applyAlignment="1">
      <alignment horizontal="left"/>
    </xf>
    <xf numFmtId="0" fontId="0" fillId="18" borderId="15" xfId="0" applyFill="1" applyBorder="1"/>
    <xf numFmtId="174" fontId="3" fillId="18" borderId="1" xfId="0" applyNumberFormat="1" applyFont="1" applyFill="1" applyBorder="1" applyAlignment="1">
      <alignment horizontal="right"/>
    </xf>
    <xf numFmtId="208" fontId="3" fillId="18" borderId="1" xfId="0" applyNumberFormat="1" applyFont="1" applyFill="1" applyBorder="1" applyAlignment="1">
      <alignment horizontal="center"/>
    </xf>
    <xf numFmtId="3" fontId="3" fillId="18" borderId="1" xfId="0" applyNumberFormat="1" applyFont="1" applyFill="1" applyBorder="1" applyAlignment="1">
      <alignment horizontal="center"/>
    </xf>
    <xf numFmtId="174" fontId="3" fillId="0" borderId="54" xfId="0" applyNumberFormat="1" applyFont="1" applyFill="1" applyBorder="1" applyAlignment="1">
      <alignment horizontal="right"/>
    </xf>
    <xf numFmtId="174" fontId="0" fillId="18" borderId="7" xfId="0" applyNumberFormat="1" applyFill="1" applyBorder="1" applyAlignment="1">
      <alignment horizontal="right"/>
    </xf>
    <xf numFmtId="0" fontId="72" fillId="18" borderId="0" xfId="0" applyFont="1" applyFill="1" applyBorder="1"/>
    <xf numFmtId="0" fontId="71" fillId="0" borderId="54" xfId="0" applyFont="1" applyBorder="1" applyAlignment="1">
      <alignment wrapText="1"/>
    </xf>
    <xf numFmtId="0" fontId="69" fillId="18" borderId="57" xfId="0" applyFont="1" applyFill="1" applyBorder="1" applyAlignment="1">
      <alignment horizontal="center"/>
    </xf>
    <xf numFmtId="0" fontId="0" fillId="0" borderId="54" xfId="0" applyBorder="1" applyAlignment="1"/>
    <xf numFmtId="0" fontId="69" fillId="25" borderId="57" xfId="0" applyFont="1" applyFill="1" applyBorder="1" applyAlignment="1">
      <alignment horizontal="center" wrapText="1"/>
    </xf>
    <xf numFmtId="0" fontId="0" fillId="0" borderId="54" xfId="0" applyBorder="1" applyAlignment="1">
      <alignment wrapText="1"/>
    </xf>
    <xf numFmtId="0" fontId="3" fillId="0" borderId="15" xfId="0" applyFont="1" applyFill="1" applyBorder="1" applyAlignment="1">
      <alignment horizontal="center"/>
    </xf>
    <xf numFmtId="0" fontId="3" fillId="0" borderId="2" xfId="0" applyFont="1" applyFill="1" applyBorder="1" applyAlignment="1">
      <alignment horizontal="center"/>
    </xf>
    <xf numFmtId="0" fontId="3" fillId="0" borderId="76" xfId="0" applyFont="1" applyFill="1" applyBorder="1" applyAlignment="1">
      <alignment horizontal="center"/>
    </xf>
    <xf numFmtId="0" fontId="3" fillId="0" borderId="43" xfId="0" applyFont="1" applyFill="1" applyBorder="1" applyAlignment="1">
      <alignment horizontal="center"/>
    </xf>
    <xf numFmtId="0" fontId="3" fillId="0" borderId="44" xfId="0" applyFont="1" applyFill="1" applyBorder="1" applyAlignment="1">
      <alignment horizontal="center"/>
    </xf>
    <xf numFmtId="174" fontId="0" fillId="18" borderId="0" xfId="0" applyNumberFormat="1" applyFill="1" applyBorder="1" applyAlignment="1">
      <alignment wrapText="1"/>
    </xf>
    <xf numFmtId="0" fontId="0" fillId="0" borderId="0" xfId="0" applyAlignment="1">
      <alignment wrapText="1"/>
    </xf>
    <xf numFmtId="0" fontId="0" fillId="18" borderId="13" xfId="0" applyFill="1" applyBorder="1" applyAlignment="1">
      <alignment wrapText="1"/>
    </xf>
    <xf numFmtId="0" fontId="0" fillId="0" borderId="14" xfId="0" applyBorder="1" applyAlignment="1">
      <alignment wrapText="1"/>
    </xf>
    <xf numFmtId="0" fontId="16" fillId="18" borderId="13" xfId="0" applyFont="1" applyFill="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40" fillId="18" borderId="76" xfId="0" applyFont="1" applyFill="1" applyBorder="1" applyAlignment="1">
      <alignment horizontal="center" vertical="center" wrapText="1"/>
    </xf>
    <xf numFmtId="0" fontId="40" fillId="18" borderId="43" xfId="0" applyFont="1" applyFill="1" applyBorder="1" applyAlignment="1">
      <alignment horizontal="center" vertical="center" wrapText="1"/>
    </xf>
    <xf numFmtId="0" fontId="40" fillId="18" borderId="44" xfId="0" applyFont="1" applyFill="1" applyBorder="1" applyAlignment="1">
      <alignment horizontal="center" vertical="center" wrapText="1"/>
    </xf>
    <xf numFmtId="0" fontId="41" fillId="18" borderId="0" xfId="0" applyFont="1" applyFill="1" applyBorder="1" applyAlignment="1">
      <alignment horizontal="center" vertical="center"/>
    </xf>
    <xf numFmtId="0" fontId="16" fillId="18" borderId="0" xfId="0" applyFont="1" applyFill="1" applyBorder="1" applyAlignment="1">
      <alignment horizontal="center"/>
    </xf>
    <xf numFmtId="0" fontId="16" fillId="18" borderId="14" xfId="0" applyFont="1" applyFill="1" applyBorder="1" applyAlignment="1">
      <alignment horizontal="center"/>
    </xf>
    <xf numFmtId="0" fontId="15" fillId="17" borderId="0" xfId="0" applyFont="1" applyFill="1" applyBorder="1" applyAlignment="1">
      <alignment horizontal="center" vertical="center" textRotation="90" wrapText="1"/>
    </xf>
    <xf numFmtId="0" fontId="15" fillId="17" borderId="0" xfId="0" applyFont="1" applyFill="1" applyAlignment="1">
      <alignment horizontal="center" vertical="center" textRotation="90" wrapText="1"/>
    </xf>
    <xf numFmtId="0" fontId="16" fillId="18" borderId="0" xfId="0" applyFont="1" applyFill="1" applyAlignment="1">
      <alignment horizontal="center"/>
    </xf>
    <xf numFmtId="0" fontId="0" fillId="0" borderId="0" xfId="0" applyAlignment="1">
      <alignment horizontal="center"/>
    </xf>
  </cellXfs>
  <cellStyles count="65">
    <cellStyle name="=C:\WINNT\SYSTEM32\COMMAND.COM" xfId="1"/>
    <cellStyle name="0dp" xfId="2"/>
    <cellStyle name="1dp" xfId="3"/>
    <cellStyle name="2dp" xfId="4"/>
    <cellStyle name="3dp" xfId="5"/>
    <cellStyle name="4a/c" xfId="6"/>
    <cellStyle name="4dp" xfId="7"/>
    <cellStyle name="8dp" xfId="8"/>
    <cellStyle name="a/c" xfId="9"/>
    <cellStyle name="Box" xfId="10"/>
    <cellStyle name="Cash (0)" xfId="11"/>
    <cellStyle name="Changed" xfId="12"/>
    <cellStyle name="Check" xfId="13"/>
    <cellStyle name="Colourless" xfId="14"/>
    <cellStyle name="Comma" xfId="15" builtinId="3"/>
    <cellStyle name="Credit" xfId="16"/>
    <cellStyle name="Date-day" xfId="17"/>
    <cellStyle name="Date-mmmdd" xfId="18"/>
    <cellStyle name="Date-mmm-dd" xfId="19"/>
    <cellStyle name="Date-month" xfId="20"/>
    <cellStyle name="Date-short" xfId="21"/>
    <cellStyle name="Date-weekday" xfId="22"/>
    <cellStyle name="Date-year" xfId="23"/>
    <cellStyle name="Day" xfId="24"/>
    <cellStyle name="DebtTrading" xfId="25"/>
    <cellStyle name="Entry" xfId="26"/>
    <cellStyle name="Executive" xfId="27"/>
    <cellStyle name="Gas" xfId="28"/>
    <cellStyle name="Grey" xfId="29"/>
    <cellStyle name="Large12" xfId="30"/>
    <cellStyle name="Large14" xfId="31"/>
    <cellStyle name="Large16" xfId="32"/>
    <cellStyle name="Link in" xfId="33"/>
    <cellStyle name="Link out" xfId="34"/>
    <cellStyle name="Marketing" xfId="35"/>
    <cellStyle name="New" xfId="36"/>
    <cellStyle name="Normal" xfId="0" builtinId="0"/>
    <cellStyle name="Output" xfId="37" builtinId="21" customBuiltin="1"/>
    <cellStyle name="Outstanding" xfId="38"/>
    <cellStyle name="Percent" xfId="39" builtinId="5"/>
    <cellStyle name="Percent1" xfId="40"/>
    <cellStyle name="Percent2" xfId="41"/>
    <cellStyle name="Percent4" xfId="42"/>
    <cellStyle name="Power" xfId="43"/>
    <cellStyle name="Predicted" xfId="44"/>
    <cellStyle name="Pricing" xfId="45"/>
    <cellStyle name="Rotated" xfId="46"/>
    <cellStyle name="SBZero" xfId="47"/>
    <cellStyle name="sum" xfId="48"/>
    <cellStyle name="Syndication" xfId="49"/>
    <cellStyle name="Time-minutes" xfId="50"/>
    <cellStyle name="Time-seconds" xfId="51"/>
    <cellStyle name="Title" xfId="52" builtinId="15" customBuiltin="1"/>
    <cellStyle name="total" xfId="53"/>
    <cellStyle name="Trading" xfId="54"/>
    <cellStyle name="Transportation" xfId="55"/>
    <cellStyle name="USD_day_analysis" xfId="56"/>
    <cellStyle name="Warning" xfId="57"/>
    <cellStyle name="Wrapped" xfId="58"/>
    <cellStyle name="xrate" xfId="59"/>
    <cellStyle name="year" xfId="60"/>
    <cellStyle name="Yesterday" xfId="61"/>
    <cellStyle name="Zero suppress" xfId="62"/>
    <cellStyle name="Zero suppress1" xfId="63"/>
    <cellStyle name="zpatchnumbers" xfId="64"/>
  </cellStyles>
  <dxfs count="1">
    <dxf>
      <font>
        <strike val="0"/>
        <condense val="0"/>
        <extend val="0"/>
        <color indexed="4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Expense v Gross Margin 3 Year Trend</a:t>
            </a:r>
          </a:p>
        </c:rich>
      </c:tx>
      <c:layout>
        <c:manualLayout>
          <c:xMode val="edge"/>
          <c:yMode val="edge"/>
          <c:x val="0.29580629749264947"/>
          <c:y val="3.5799522673031027E-2"/>
        </c:manualLayout>
      </c:layout>
      <c:overlay val="0"/>
      <c:spPr>
        <a:solidFill>
          <a:srgbClr val="FFCC00"/>
        </a:soli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4017686485659137"/>
          <c:y val="0.20763723150357996"/>
          <c:w val="0.66887543388263282"/>
          <c:h val="0.65632458233890212"/>
        </c:manualLayout>
      </c:layout>
      <c:barChart>
        <c:barDir val="col"/>
        <c:grouping val="clustered"/>
        <c:varyColors val="0"/>
        <c:ser>
          <c:idx val="1"/>
          <c:order val="0"/>
          <c:tx>
            <c:strRef>
              <c:f>'Gross Margin Summary '!$C$58</c:f>
              <c:strCache>
                <c:ptCount val="1"/>
                <c:pt idx="0">
                  <c:v>Total G&amp;A</c:v>
                </c:pt>
              </c:strCache>
            </c:strRef>
          </c:tx>
          <c:spPr>
            <a:gradFill rotWithShape="0">
              <a:gsLst>
                <a:gs pos="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7C7CFF" mc:Ignorable="a14" a14:legacySpreadsheetColorIndex="12">
                    <a:gamma/>
                    <a:tint val="51373"/>
                    <a:invGamma/>
                  </a:srgbClr>
                </a:gs>
              </a:gsLst>
              <a:lin ang="5400000" scaled="1"/>
            </a:gradFill>
            <a:ln w="12700">
              <a:solidFill>
                <a:srgbClr val="000000"/>
              </a:solidFill>
              <a:prstDash val="solid"/>
            </a:ln>
            <a:effectLst>
              <a:outerShdw dist="35921" dir="2700000" algn="br">
                <a:srgbClr val="000000"/>
              </a:outerShdw>
            </a:effectLst>
          </c:spPr>
          <c:invertIfNegative val="0"/>
          <c:cat>
            <c:numRef>
              <c:f>'Gross Margin Summary '!$D$57:$F$57</c:f>
              <c:numCache>
                <c:formatCode>General</c:formatCode>
                <c:ptCount val="3"/>
                <c:pt idx="0">
                  <c:v>2000</c:v>
                </c:pt>
                <c:pt idx="1">
                  <c:v>2001</c:v>
                </c:pt>
                <c:pt idx="2">
                  <c:v>2002</c:v>
                </c:pt>
              </c:numCache>
            </c:numRef>
          </c:cat>
          <c:val>
            <c:numRef>
              <c:f>'Gross Margin Summary '!$D$58:$F$58</c:f>
              <c:numCache>
                <c:formatCode>_-* #,##0_-;\-* #,##0_-;_-* "-"??_-;_-@_-</c:formatCode>
                <c:ptCount val="3"/>
                <c:pt idx="0">
                  <c:v>5177.5739999999996</c:v>
                </c:pt>
                <c:pt idx="1">
                  <c:v>9012.4474066666662</c:v>
                </c:pt>
                <c:pt idx="2">
                  <c:v>2649.837</c:v>
                </c:pt>
              </c:numCache>
            </c:numRef>
          </c:val>
          <c:extLst>
            <c:ext xmlns:c16="http://schemas.microsoft.com/office/drawing/2014/chart" uri="{C3380CC4-5D6E-409C-BE32-E72D297353CC}">
              <c16:uniqueId val="{00000000-38F5-48E7-A616-A6D27F9ECED4}"/>
            </c:ext>
          </c:extLst>
        </c:ser>
        <c:dLbls>
          <c:showLegendKey val="0"/>
          <c:showVal val="0"/>
          <c:showCatName val="0"/>
          <c:showSerName val="0"/>
          <c:showPercent val="0"/>
          <c:showBubbleSize val="0"/>
        </c:dLbls>
        <c:gapWidth val="150"/>
        <c:axId val="181215144"/>
        <c:axId val="1"/>
      </c:barChart>
      <c:lineChart>
        <c:grouping val="standard"/>
        <c:varyColors val="0"/>
        <c:ser>
          <c:idx val="0"/>
          <c:order val="1"/>
          <c:tx>
            <c:strRef>
              <c:f>'Gross Margin Summary '!$C$59</c:f>
              <c:strCache>
                <c:ptCount val="1"/>
                <c:pt idx="0">
                  <c:v>Gross Margin</c:v>
                </c:pt>
              </c:strCache>
            </c:strRef>
          </c:tx>
          <c:spPr>
            <a:ln w="38100">
              <a:solidFill>
                <a:srgbClr val="FF0000"/>
              </a:solidFill>
              <a:prstDash val="solid"/>
            </a:ln>
          </c:spPr>
          <c:marker>
            <c:symbol val="circle"/>
            <c:size val="9"/>
            <c:spPr>
              <a:solidFill>
                <a:srgbClr val="FF0000"/>
              </a:solidFill>
              <a:ln>
                <a:solidFill>
                  <a:srgbClr val="FF0000"/>
                </a:solidFill>
                <a:prstDash val="solid"/>
              </a:ln>
            </c:spPr>
          </c:marker>
          <c:val>
            <c:numRef>
              <c:f>'Gross Margin Summary '!$D$59:$F$59</c:f>
              <c:numCache>
                <c:formatCode>_-* #,##0_-;\-* #,##0_-;_-* "-"??_-;_-@_-</c:formatCode>
                <c:ptCount val="3"/>
                <c:pt idx="0">
                  <c:v>0</c:v>
                </c:pt>
                <c:pt idx="1">
                  <c:v>0.14599999999999999</c:v>
                </c:pt>
                <c:pt idx="2">
                  <c:v>0.21299999999999999</c:v>
                </c:pt>
              </c:numCache>
            </c:numRef>
          </c:val>
          <c:smooth val="1"/>
          <c:extLst>
            <c:ext xmlns:c16="http://schemas.microsoft.com/office/drawing/2014/chart" uri="{C3380CC4-5D6E-409C-BE32-E72D297353CC}">
              <c16:uniqueId val="{00000001-38F5-48E7-A616-A6D27F9ECED4}"/>
            </c:ext>
          </c:extLst>
        </c:ser>
        <c:dLbls>
          <c:showLegendKey val="0"/>
          <c:showVal val="0"/>
          <c:showCatName val="0"/>
          <c:showSerName val="0"/>
          <c:showPercent val="0"/>
          <c:showBubbleSize val="0"/>
        </c:dLbls>
        <c:marker val="1"/>
        <c:smooth val="0"/>
        <c:axId val="3"/>
        <c:axId val="4"/>
      </c:lineChart>
      <c:catAx>
        <c:axId val="18121514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$ 000's</a:t>
                </a:r>
              </a:p>
            </c:rich>
          </c:tx>
          <c:layout>
            <c:manualLayout>
              <c:xMode val="edge"/>
              <c:yMode val="edge"/>
              <c:x val="2.0971341986419183E-2"/>
              <c:y val="0.46300715990453462"/>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1215144"/>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1"/>
        <c:axPos val="l"/>
        <c:numFmt formatCode="_-* #,##0_-;\-* #,##0_-;_-* &quot;-&quot;??_-;_-@_-" sourceLinked="1"/>
        <c:majorTickMark val="out"/>
        <c:minorTickMark val="none"/>
        <c:tickLblPos val="nextTo"/>
        <c:crossAx val="3"/>
        <c:crosses val="autoZero"/>
        <c:crossBetween val="between"/>
      </c:valAx>
      <c:spPr>
        <a:solidFill>
          <a:srgbClr val="FFFFCC"/>
        </a:solidFill>
        <a:ln w="12700">
          <a:solidFill>
            <a:srgbClr val="808080"/>
          </a:solidFill>
          <a:prstDash val="solid"/>
        </a:ln>
      </c:spPr>
    </c:plotArea>
    <c:legend>
      <c:legendPos val="r"/>
      <c:layout>
        <c:manualLayout>
          <c:xMode val="edge"/>
          <c:yMode val="edge"/>
          <c:x val="0.82340111167730046"/>
          <c:y val="0.47494033412887832"/>
          <c:w val="0.16556322620857247"/>
          <c:h val="0.12171837708830548"/>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Cumulative Plan v CE2    Baseline &amp; 10% Cost Saving  </a:t>
            </a:r>
          </a:p>
        </c:rich>
      </c:tx>
      <c:layout>
        <c:manualLayout>
          <c:xMode val="edge"/>
          <c:yMode val="edge"/>
          <c:x val="0.34158439064097762"/>
          <c:y val="3.0821917808219183E-2"/>
        </c:manualLayout>
      </c:layout>
      <c:overlay val="0"/>
      <c:spPr>
        <a:gradFill rotWithShape="0">
          <a:gsLst>
            <a:gs pos="0">
              <a:srgbClr xmlns:mc="http://schemas.openxmlformats.org/markup-compatibility/2006" xmlns:a14="http://schemas.microsoft.com/office/drawing/2010/main" val="FFCC00" mc:Ignorable="a14" a14:legacySpreadsheetColorIndex="51"/>
            </a:gs>
            <a:gs pos="100000">
              <a:srgbClr xmlns:mc="http://schemas.openxmlformats.org/markup-compatibility/2006" xmlns:a14="http://schemas.microsoft.com/office/drawing/2010/main" val="FFF7D8" mc:Ignorable="a14" a14:legacySpreadsheetColorIndex="51">
                <a:gamma/>
                <a:tint val="15294"/>
                <a:invGamma/>
              </a:srgbClr>
            </a:gs>
          </a:gsLst>
          <a:lin ang="5400000" scaled="1"/>
        </a:gra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7.9207974641386111E-2"/>
          <c:y val="0.20034246575342468"/>
          <c:w val="0.79826786943271943"/>
          <c:h val="0.64212328767123295"/>
        </c:manualLayout>
      </c:layout>
      <c:barChart>
        <c:barDir val="col"/>
        <c:grouping val="clustered"/>
        <c:varyColors val="0"/>
        <c:ser>
          <c:idx val="1"/>
          <c:order val="0"/>
          <c:tx>
            <c:strRef>
              <c:f>'Cost Summary '!$B$96</c:f>
              <c:strCache>
                <c:ptCount val="1"/>
                <c:pt idx="0">
                  <c:v>2002 Plan</c:v>
                </c:pt>
              </c:strCache>
            </c:strRef>
          </c:tx>
          <c:spPr>
            <a:gradFill rotWithShape="0">
              <a:gsLst>
                <a:gs pos="0">
                  <a:srgbClr xmlns:mc="http://schemas.openxmlformats.org/markup-compatibility/2006" xmlns:a14="http://schemas.microsoft.com/office/drawing/2010/main" val="FF9900" mc:Ignorable="a14" a14:legacySpreadsheetColorIndex="52"/>
                </a:gs>
                <a:gs pos="100000">
                  <a:srgbClr xmlns:mc="http://schemas.openxmlformats.org/markup-compatibility/2006" xmlns:a14="http://schemas.microsoft.com/office/drawing/2010/main" val="FFAB2E" mc:Ignorable="a14" a14:legacySpreadsheetColorIndex="52">
                    <a:gamma/>
                    <a:tint val="81961"/>
                    <a:invGamma/>
                  </a:srgbClr>
                </a:gs>
              </a:gsLst>
              <a:lin ang="5400000" scaled="1"/>
            </a:gradFill>
            <a:ln w="12700">
              <a:solidFill>
                <a:srgbClr val="000000"/>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'!$C$96:$N$96</c:f>
              <c:numCache>
                <c:formatCode>_-* #,##0_-;\-* #,##0_-;_-* "-"_-;_-@_-</c:formatCode>
                <c:ptCount val="12"/>
                <c:pt idx="0">
                  <c:v>222.90308333333331</c:v>
                </c:pt>
                <c:pt idx="1">
                  <c:v>445.80616666666663</c:v>
                </c:pt>
                <c:pt idx="2">
                  <c:v>668.70924999999988</c:v>
                </c:pt>
                <c:pt idx="3">
                  <c:v>891.61233333333325</c:v>
                </c:pt>
                <c:pt idx="4">
                  <c:v>1114.5154166666666</c:v>
                </c:pt>
                <c:pt idx="5">
                  <c:v>1337.4185</c:v>
                </c:pt>
                <c:pt idx="6">
                  <c:v>1560.3215833333334</c:v>
                </c:pt>
                <c:pt idx="7">
                  <c:v>1783.2246666666667</c:v>
                </c:pt>
                <c:pt idx="8">
                  <c:v>2006.1277500000001</c:v>
                </c:pt>
                <c:pt idx="9">
                  <c:v>2229.0308333333332</c:v>
                </c:pt>
                <c:pt idx="10">
                  <c:v>2451.9339166666664</c:v>
                </c:pt>
                <c:pt idx="11">
                  <c:v>2674.8369999999995</c:v>
                </c:pt>
              </c:numCache>
            </c:numRef>
          </c:val>
          <c:extLst>
            <c:ext xmlns:c16="http://schemas.microsoft.com/office/drawing/2014/chart" uri="{C3380CC4-5D6E-409C-BE32-E72D297353CC}">
              <c16:uniqueId val="{00000000-19C3-4B92-AE1A-81B38292F2C5}"/>
            </c:ext>
          </c:extLst>
        </c:ser>
        <c:ser>
          <c:idx val="0"/>
          <c:order val="1"/>
          <c:tx>
            <c:strRef>
              <c:f>'Cost Summary '!$B$97</c:f>
              <c:strCache>
                <c:ptCount val="1"/>
                <c:pt idx="0">
                  <c:v>Actuals / CE2</c:v>
                </c:pt>
              </c:strCache>
            </c:strRef>
          </c:tx>
          <c:spPr>
            <a:gradFill rotWithShape="0">
              <a:gsLst>
                <a:gs pos="0">
                  <a:srgbClr xmlns:mc="http://schemas.openxmlformats.org/markup-compatibility/2006" xmlns:a14="http://schemas.microsoft.com/office/drawing/2010/main" val="339966" mc:Ignorable="a14" a14:legacySpreadsheetColorIndex="57"/>
                </a:gs>
                <a:gs pos="100000">
                  <a:srgbClr xmlns:mc="http://schemas.openxmlformats.org/markup-compatibility/2006" xmlns:a14="http://schemas.microsoft.com/office/drawing/2010/main" val="96CBB0" mc:Ignorable="a14" a14:legacySpreadsheetColorIndex="57">
                    <a:gamma/>
                    <a:tint val="51373"/>
                    <a:invGamma/>
                  </a:srgbClr>
                </a:gs>
              </a:gsLst>
              <a:lin ang="5400000" scaled="1"/>
            </a:gradFill>
            <a:ln w="25400">
              <a:solidFill>
                <a:srgbClr val="339966"/>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'!$C$97:$N$97</c:f>
              <c:numCache>
                <c:formatCode>_-* #,##0_-;\-* #,##0_-;_-* "-"_-;_-@_-</c:formatCode>
                <c:ptCount val="12"/>
                <c:pt idx="0">
                  <c:v>417.46278999999998</c:v>
                </c:pt>
                <c:pt idx="1">
                  <c:v>778.79514999999992</c:v>
                </c:pt>
                <c:pt idx="2">
                  <c:v>1375.3654099999999</c:v>
                </c:pt>
                <c:pt idx="3">
                  <c:v>2082.30836</c:v>
                </c:pt>
                <c:pt idx="4">
                  <c:v>2371.4445999999998</c:v>
                </c:pt>
                <c:pt idx="5">
                  <c:v>2661.3794399999997</c:v>
                </c:pt>
                <c:pt idx="6">
                  <c:v>3168.8745399999998</c:v>
                </c:pt>
                <c:pt idx="7">
                  <c:v>3864.5444399999997</c:v>
                </c:pt>
                <c:pt idx="8">
                  <c:v>5136.7250816666665</c:v>
                </c:pt>
                <c:pt idx="9">
                  <c:v>6428.6325233333337</c:v>
                </c:pt>
                <c:pt idx="10">
                  <c:v>7720.5399649999999</c:v>
                </c:pt>
                <c:pt idx="11">
                  <c:v>9012.4474066666662</c:v>
                </c:pt>
              </c:numCache>
            </c:numRef>
          </c:val>
          <c:extLst>
            <c:ext xmlns:c16="http://schemas.microsoft.com/office/drawing/2014/chart" uri="{C3380CC4-5D6E-409C-BE32-E72D297353CC}">
              <c16:uniqueId val="{00000001-19C3-4B92-AE1A-81B38292F2C5}"/>
            </c:ext>
          </c:extLst>
        </c:ser>
        <c:ser>
          <c:idx val="2"/>
          <c:order val="2"/>
          <c:tx>
            <c:strRef>
              <c:f>'Cost Summary '!$B$98</c:f>
              <c:strCache>
                <c:ptCount val="1"/>
                <c:pt idx="0">
                  <c:v>2001 Plan</c:v>
                </c:pt>
              </c:strCache>
            </c:strRef>
          </c:tx>
          <c:spPr>
            <a:solidFill>
              <a:srgbClr val="99CCFF"/>
            </a:solidFill>
            <a:ln w="38100">
              <a:solidFill>
                <a:srgbClr val="000000"/>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'!$C$98:$N$98</c:f>
              <c:numCache>
                <c:formatCode>_-* #,##0_-;\-* #,##0_-;_-* "-"_-;_-@_-</c:formatCode>
                <c:ptCount val="12"/>
                <c:pt idx="0">
                  <c:v>1114.7861940298496</c:v>
                </c:pt>
                <c:pt idx="1">
                  <c:v>2234.7724813432819</c:v>
                </c:pt>
                <c:pt idx="2">
                  <c:v>3354.758768656714</c:v>
                </c:pt>
                <c:pt idx="3">
                  <c:v>4474.7480410447724</c:v>
                </c:pt>
                <c:pt idx="4">
                  <c:v>5594.7343283582049</c:v>
                </c:pt>
                <c:pt idx="5">
                  <c:v>6714.7206156716375</c:v>
                </c:pt>
                <c:pt idx="6">
                  <c:v>7845.8106343283525</c:v>
                </c:pt>
                <c:pt idx="7">
                  <c:v>8976.8976679104417</c:v>
                </c:pt>
                <c:pt idx="8">
                  <c:v>10107.984701492531</c:v>
                </c:pt>
                <c:pt idx="9">
                  <c:v>11239.074720149247</c:v>
                </c:pt>
                <c:pt idx="10">
                  <c:v>12370.161753731336</c:v>
                </c:pt>
                <c:pt idx="11">
                  <c:v>13501.248787313425</c:v>
                </c:pt>
              </c:numCache>
            </c:numRef>
          </c:val>
          <c:extLst>
            <c:ext xmlns:c16="http://schemas.microsoft.com/office/drawing/2014/chart" uri="{C3380CC4-5D6E-409C-BE32-E72D297353CC}">
              <c16:uniqueId val="{00000002-19C3-4B92-AE1A-81B38292F2C5}"/>
            </c:ext>
          </c:extLst>
        </c:ser>
        <c:dLbls>
          <c:showLegendKey val="0"/>
          <c:showVal val="0"/>
          <c:showCatName val="0"/>
          <c:showSerName val="0"/>
          <c:showPercent val="0"/>
          <c:showBubbleSize val="0"/>
        </c:dLbls>
        <c:gapWidth val="150"/>
        <c:axId val="180927960"/>
        <c:axId val="1"/>
      </c:barChart>
      <c:lineChart>
        <c:grouping val="standard"/>
        <c:varyColors val="0"/>
        <c:ser>
          <c:idx val="3"/>
          <c:order val="3"/>
          <c:tx>
            <c:strRef>
              <c:f>'Cost Summary '!$B$99</c:f>
              <c:strCache>
                <c:ptCount val="1"/>
                <c:pt idx="0">
                  <c:v>10% Target</c:v>
                </c:pt>
              </c:strCache>
            </c:strRef>
          </c:tx>
          <c:spPr>
            <a:ln w="25400">
              <a:solidFill>
                <a:srgbClr val="000000"/>
              </a:solidFill>
              <a:prstDash val="lgDash"/>
            </a:ln>
          </c:spPr>
          <c:marker>
            <c:symbol val="dot"/>
            <c:size val="4"/>
            <c:spPr>
              <a:solidFill>
                <a:srgbClr val="000000"/>
              </a:solidFill>
              <a:ln>
                <a:solidFill>
                  <a:srgbClr val="000000"/>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'!$C$99:$N$99</c:f>
              <c:numCache>
                <c:formatCode>_-* #,##0_-;\-* #,##0_-;_-* "-"_-;_-@_-</c:formatCode>
                <c:ptCount val="12"/>
                <c:pt idx="0">
                  <c:v>675.9335554999999</c:v>
                </c:pt>
                <c:pt idx="1">
                  <c:v>1351.8671109999998</c:v>
                </c:pt>
                <c:pt idx="2">
                  <c:v>2027.8006664999998</c:v>
                </c:pt>
                <c:pt idx="3">
                  <c:v>2703.7342219999996</c:v>
                </c:pt>
                <c:pt idx="4">
                  <c:v>3379.6677774999994</c:v>
                </c:pt>
                <c:pt idx="5">
                  <c:v>4055.6013329999992</c:v>
                </c:pt>
                <c:pt idx="6">
                  <c:v>4731.5348884999994</c:v>
                </c:pt>
                <c:pt idx="7">
                  <c:v>5407.4684439999992</c:v>
                </c:pt>
                <c:pt idx="8">
                  <c:v>6083.401999499999</c:v>
                </c:pt>
                <c:pt idx="9">
                  <c:v>6759.3355549999987</c:v>
                </c:pt>
                <c:pt idx="10">
                  <c:v>7435.2691104999985</c:v>
                </c:pt>
                <c:pt idx="11">
                  <c:v>8111.2026659999983</c:v>
                </c:pt>
              </c:numCache>
            </c:numRef>
          </c:val>
          <c:smooth val="0"/>
          <c:extLst>
            <c:ext xmlns:c16="http://schemas.microsoft.com/office/drawing/2014/chart" uri="{C3380CC4-5D6E-409C-BE32-E72D297353CC}">
              <c16:uniqueId val="{00000003-19C3-4B92-AE1A-81B38292F2C5}"/>
            </c:ext>
          </c:extLst>
        </c:ser>
        <c:ser>
          <c:idx val="4"/>
          <c:order val="4"/>
          <c:tx>
            <c:strRef>
              <c:f>'Cost Summary '!$B$100</c:f>
              <c:strCache>
                <c:ptCount val="1"/>
                <c:pt idx="0">
                  <c:v>20% Target</c:v>
                </c:pt>
              </c:strCache>
            </c:strRef>
          </c:tx>
          <c:spPr>
            <a:ln w="25400">
              <a:solidFill>
                <a:srgbClr val="0000FF"/>
              </a:solidFill>
              <a:prstDash val="lgDashDot"/>
            </a:ln>
          </c:spPr>
          <c:marker>
            <c:symbol val="dot"/>
            <c:size val="7"/>
            <c:spPr>
              <a:noFill/>
              <a:ln>
                <a:solidFill>
                  <a:srgbClr val="0000FF"/>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'!$C$100:$N$100</c:f>
              <c:numCache>
                <c:formatCode>_-* #,##0_-;\-* #,##0_-;_-* "-"_-;_-@_-</c:formatCode>
                <c:ptCount val="12"/>
                <c:pt idx="0">
                  <c:v>600.82982711111106</c:v>
                </c:pt>
                <c:pt idx="1">
                  <c:v>1201.6596542222221</c:v>
                </c:pt>
                <c:pt idx="2">
                  <c:v>1802.4894813333331</c:v>
                </c:pt>
                <c:pt idx="3">
                  <c:v>2403.3193084444442</c:v>
                </c:pt>
                <c:pt idx="4">
                  <c:v>3004.1491355555554</c:v>
                </c:pt>
                <c:pt idx="5">
                  <c:v>3604.9789626666666</c:v>
                </c:pt>
                <c:pt idx="6">
                  <c:v>4205.8087897777777</c:v>
                </c:pt>
                <c:pt idx="7">
                  <c:v>4806.6386168888885</c:v>
                </c:pt>
                <c:pt idx="8">
                  <c:v>5407.4684439999992</c:v>
                </c:pt>
                <c:pt idx="9">
                  <c:v>6008.2982711111099</c:v>
                </c:pt>
                <c:pt idx="10">
                  <c:v>6609.1280982222206</c:v>
                </c:pt>
                <c:pt idx="11">
                  <c:v>7209.9579253333313</c:v>
                </c:pt>
              </c:numCache>
            </c:numRef>
          </c:val>
          <c:smooth val="0"/>
          <c:extLst>
            <c:ext xmlns:c16="http://schemas.microsoft.com/office/drawing/2014/chart" uri="{C3380CC4-5D6E-409C-BE32-E72D297353CC}">
              <c16:uniqueId val="{00000004-19C3-4B92-AE1A-81B38292F2C5}"/>
            </c:ext>
          </c:extLst>
        </c:ser>
        <c:ser>
          <c:idx val="5"/>
          <c:order val="5"/>
          <c:tx>
            <c:strRef>
              <c:f>'Cost Summary '!$B$102</c:f>
              <c:strCache>
                <c:ptCount val="1"/>
                <c:pt idx="0">
                  <c:v>Baseline</c:v>
                </c:pt>
              </c:strCache>
            </c:strRef>
          </c:tx>
          <c:spPr>
            <a:ln w="38100">
              <a:solidFill>
                <a:srgbClr val="FF0000"/>
              </a:solidFill>
              <a:prstDash val="solid"/>
            </a:ln>
          </c:spPr>
          <c:marker>
            <c:symbol val="dash"/>
            <c:size val="7"/>
            <c:spPr>
              <a:solidFill>
                <a:srgbClr val="FF0000"/>
              </a:solidFill>
              <a:ln>
                <a:solidFill>
                  <a:srgbClr val="FF0000"/>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'!$C$102:$N$102</c:f>
              <c:numCache>
                <c:formatCode>_-* #,##0_-;\-* #,##0_-;_-* "-"_-;_-@_-</c:formatCode>
                <c:ptCount val="12"/>
                <c:pt idx="0">
                  <c:v>362.94658333333336</c:v>
                </c:pt>
                <c:pt idx="1">
                  <c:v>725.89316666666673</c:v>
                </c:pt>
                <c:pt idx="2">
                  <c:v>1088.8397500000001</c:v>
                </c:pt>
                <c:pt idx="3">
                  <c:v>1451.7863333333335</c:v>
                </c:pt>
                <c:pt idx="4">
                  <c:v>1814.7329166666668</c:v>
                </c:pt>
                <c:pt idx="5">
                  <c:v>2177.6795000000002</c:v>
                </c:pt>
                <c:pt idx="6">
                  <c:v>2540.6260833333336</c:v>
                </c:pt>
                <c:pt idx="7">
                  <c:v>2903.5726666666669</c:v>
                </c:pt>
                <c:pt idx="8">
                  <c:v>3266.5192500000003</c:v>
                </c:pt>
                <c:pt idx="9">
                  <c:v>3629.4658333333336</c:v>
                </c:pt>
                <c:pt idx="10">
                  <c:v>3992.412416666667</c:v>
                </c:pt>
                <c:pt idx="11">
                  <c:v>4355.3590000000004</c:v>
                </c:pt>
              </c:numCache>
            </c:numRef>
          </c:val>
          <c:smooth val="0"/>
          <c:extLst>
            <c:ext xmlns:c16="http://schemas.microsoft.com/office/drawing/2014/chart" uri="{C3380CC4-5D6E-409C-BE32-E72D297353CC}">
              <c16:uniqueId val="{00000005-19C3-4B92-AE1A-81B38292F2C5}"/>
            </c:ext>
          </c:extLst>
        </c:ser>
        <c:dLbls>
          <c:showLegendKey val="0"/>
          <c:showVal val="0"/>
          <c:showCatName val="0"/>
          <c:showSerName val="0"/>
          <c:showPercent val="0"/>
          <c:showBubbleSize val="0"/>
        </c:dLbls>
        <c:marker val="1"/>
        <c:smooth val="0"/>
        <c:axId val="3"/>
        <c:axId val="4"/>
      </c:lineChart>
      <c:catAx>
        <c:axId val="18092796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a:t>$ 000's</a:t>
                </a:r>
              </a:p>
            </c:rich>
          </c:tx>
          <c:layout>
            <c:manualLayout>
              <c:xMode val="edge"/>
              <c:yMode val="edge"/>
              <c:x val="1.237624603771658E-2"/>
              <c:y val="0.46917808219178087"/>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092796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0"/>
        <c:lblAlgn val="ctr"/>
        <c:lblOffset val="100"/>
        <c:noMultiLvlLbl val="0"/>
      </c:catAx>
      <c:valAx>
        <c:axId val="4"/>
        <c:scaling>
          <c:orientation val="minMax"/>
        </c:scaling>
        <c:delete val="1"/>
        <c:axPos val="l"/>
        <c:numFmt formatCode="_-* #,##0_-;\-* #,##0_-;_-* &quot;-&quot;_-;_-@_-" sourceLinked="1"/>
        <c:majorTickMark val="out"/>
        <c:minorTickMark val="none"/>
        <c:tickLblPos val="nextTo"/>
        <c:crossAx val="3"/>
        <c:crosses val="autoZero"/>
        <c:crossBetween val="between"/>
      </c:valAx>
      <c:spPr>
        <a:gradFill rotWithShape="0">
          <a:gsLst>
            <a:gs pos="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FFFFE3" mc:Ignorable="a14" a14:legacySpreadsheetColorIndex="43">
                <a:gamma/>
                <a:tint val="27451"/>
                <a:invGamma/>
              </a:srgbClr>
            </a:gs>
          </a:gsLst>
          <a:lin ang="5400000" scaled="1"/>
        </a:gradFill>
        <a:ln w="12700">
          <a:solidFill>
            <a:srgbClr val="FFFFCC"/>
          </a:solidFill>
          <a:prstDash val="solid"/>
        </a:ln>
      </c:spPr>
    </c:plotArea>
    <c:legend>
      <c:legendPos val="r"/>
      <c:layout>
        <c:manualLayout>
          <c:xMode val="edge"/>
          <c:yMode val="edge"/>
          <c:x val="0.88737684090427882"/>
          <c:y val="0.43493150684931503"/>
          <c:w val="0.1045792790187051"/>
          <c:h val="0.2585616438356164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Headcount vs Cost per Head Comparison</a:t>
            </a:r>
          </a:p>
        </c:rich>
      </c:tx>
      <c:layout>
        <c:manualLayout>
          <c:xMode val="edge"/>
          <c:yMode val="edge"/>
          <c:x val="0.29109973690308999"/>
          <c:y val="3.0995186275198976E-2"/>
        </c:manualLayout>
      </c:layout>
      <c:overlay val="0"/>
      <c:spPr>
        <a:solidFill>
          <a:srgbClr val="FFCC00"/>
        </a:soli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9.3193800663219487E-2"/>
          <c:y val="0.13703134984824811"/>
          <c:w val="0.66911054633480049"/>
          <c:h val="0.78303628484713195"/>
        </c:manualLayout>
      </c:layout>
      <c:barChart>
        <c:barDir val="col"/>
        <c:grouping val="clustered"/>
        <c:varyColors val="0"/>
        <c:ser>
          <c:idx val="1"/>
          <c:order val="0"/>
          <c:tx>
            <c:strRef>
              <c:f>'Headcount Summary'!$I$13</c:f>
              <c:strCache>
                <c:ptCount val="1"/>
                <c:pt idx="0">
                  <c:v>Ave Headcount</c:v>
                </c:pt>
              </c:strCache>
            </c:strRef>
          </c:tx>
          <c:spPr>
            <a:solidFill>
              <a:srgbClr val="0000FF"/>
            </a:solidFill>
            <a:ln w="12700">
              <a:solidFill>
                <a:srgbClr val="000000"/>
              </a:solidFill>
              <a:prstDash val="solid"/>
            </a:ln>
          </c:spPr>
          <c:invertIfNegative val="0"/>
          <c:cat>
            <c:strRef>
              <c:f>'Headcount Summary'!$B$14:$B$16</c:f>
              <c:strCache>
                <c:ptCount val="3"/>
                <c:pt idx="0">
                  <c:v>2000 Actual</c:v>
                </c:pt>
                <c:pt idx="1">
                  <c:v>2001 Actual/CE2</c:v>
                </c:pt>
                <c:pt idx="2">
                  <c:v>2002 Plan</c:v>
                </c:pt>
              </c:strCache>
            </c:strRef>
          </c:cat>
          <c:val>
            <c:numRef>
              <c:f>'Headcount Summary'!$I$14:$I$16</c:f>
              <c:numCache>
                <c:formatCode>_-* #,##0_-;\-* #,##0_-;_-* "-"_-;_-@_-</c:formatCode>
                <c:ptCount val="3"/>
                <c:pt idx="0">
                  <c:v>21</c:v>
                </c:pt>
                <c:pt idx="1">
                  <c:v>19</c:v>
                </c:pt>
                <c:pt idx="2">
                  <c:v>10</c:v>
                </c:pt>
              </c:numCache>
            </c:numRef>
          </c:val>
          <c:extLst>
            <c:ext xmlns:c16="http://schemas.microsoft.com/office/drawing/2014/chart" uri="{C3380CC4-5D6E-409C-BE32-E72D297353CC}">
              <c16:uniqueId val="{00000000-6095-41AB-A1BA-7137DBC73601}"/>
            </c:ext>
          </c:extLst>
        </c:ser>
        <c:dLbls>
          <c:showLegendKey val="0"/>
          <c:showVal val="0"/>
          <c:showCatName val="0"/>
          <c:showSerName val="0"/>
          <c:showPercent val="0"/>
          <c:showBubbleSize val="0"/>
        </c:dLbls>
        <c:gapWidth val="150"/>
        <c:axId val="180028648"/>
        <c:axId val="1"/>
      </c:barChart>
      <c:lineChart>
        <c:grouping val="standard"/>
        <c:varyColors val="0"/>
        <c:ser>
          <c:idx val="0"/>
          <c:order val="1"/>
          <c:tx>
            <c:strRef>
              <c:f>'Headcount Summary'!$G$13</c:f>
              <c:strCache>
                <c:ptCount val="1"/>
                <c:pt idx="0">
                  <c:v>Cost per Head</c:v>
                </c:pt>
              </c:strCache>
            </c:strRef>
          </c:tx>
          <c:spPr>
            <a:ln w="25400">
              <a:solidFill>
                <a:srgbClr val="FF0000"/>
              </a:solidFill>
              <a:prstDash val="solid"/>
            </a:ln>
          </c:spPr>
          <c:marker>
            <c:symbol val="diamond"/>
            <c:size val="7"/>
            <c:spPr>
              <a:solidFill>
                <a:srgbClr val="000080"/>
              </a:solidFill>
              <a:ln>
                <a:solidFill>
                  <a:srgbClr val="FF0000"/>
                </a:solidFill>
                <a:prstDash val="solid"/>
              </a:ln>
            </c:spPr>
          </c:marker>
          <c:val>
            <c:numRef>
              <c:f>'Headcount Summary'!$G$14:$G$16</c:f>
              <c:numCache>
                <c:formatCode>_-* #,##0_-;\-* #,##0_-;_-* "-"_-;_-@_-</c:formatCode>
                <c:ptCount val="3"/>
                <c:pt idx="0">
                  <c:v>189127.19047619047</c:v>
                </c:pt>
                <c:pt idx="1">
                  <c:v>220097.32877192981</c:v>
                </c:pt>
                <c:pt idx="2">
                  <c:v>166043.1</c:v>
                </c:pt>
              </c:numCache>
            </c:numRef>
          </c:val>
          <c:smooth val="0"/>
          <c:extLst>
            <c:ext xmlns:c16="http://schemas.microsoft.com/office/drawing/2014/chart" uri="{C3380CC4-5D6E-409C-BE32-E72D297353CC}">
              <c16:uniqueId val="{00000001-6095-41AB-A1BA-7137DBC73601}"/>
            </c:ext>
          </c:extLst>
        </c:ser>
        <c:dLbls>
          <c:showLegendKey val="0"/>
          <c:showVal val="0"/>
          <c:showCatName val="0"/>
          <c:showSerName val="0"/>
          <c:showPercent val="0"/>
          <c:showBubbleSize val="0"/>
        </c:dLbls>
        <c:marker val="1"/>
        <c:smooth val="0"/>
        <c:axId val="3"/>
        <c:axId val="4"/>
      </c:lineChart>
      <c:catAx>
        <c:axId val="18002864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Headcount</a:t>
                </a:r>
              </a:p>
            </c:rich>
          </c:tx>
          <c:layout>
            <c:manualLayout>
              <c:xMode val="edge"/>
              <c:yMode val="edge"/>
              <c:x val="1.9895305759563709E-2"/>
              <c:y val="0.45513984056739543"/>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0028648"/>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 per Head</a:t>
                </a:r>
              </a:p>
            </c:rich>
          </c:tx>
          <c:layout>
            <c:manualLayout>
              <c:xMode val="edge"/>
              <c:yMode val="edge"/>
              <c:x val="0.84188557003627473"/>
              <c:y val="0.45513984056739543"/>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
        <c:crosses val="max"/>
        <c:crossBetween val="between"/>
      </c:valAx>
      <c:spPr>
        <a:gradFill rotWithShape="0">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F7F7C6" mc:Ignorable="a14" a14:legacySpreadsheetColorIndex="26">
                <a:gamma/>
                <a:shade val="96863"/>
                <a:invGamma/>
              </a:srgbClr>
            </a:gs>
          </a:gsLst>
          <a:lin ang="5400000" scaled="1"/>
        </a:gradFill>
        <a:ln w="12700">
          <a:solidFill>
            <a:srgbClr val="808080"/>
          </a:solidFill>
          <a:prstDash val="solid"/>
        </a:ln>
      </c:spPr>
    </c:plotArea>
    <c:legend>
      <c:legendPos val="r"/>
      <c:layout>
        <c:manualLayout>
          <c:xMode val="edge"/>
          <c:yMode val="edge"/>
          <c:x val="0.85549814766123933"/>
          <c:y val="0.21533497833296131"/>
          <c:w val="0.1256545626919813"/>
          <c:h val="0.1190867683205013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trlProps/ctrlProp1.xml><?xml version="1.0" encoding="utf-8"?>
<formControlPr xmlns="http://schemas.microsoft.com/office/spreadsheetml/2009/9/main" objectType="Drop" dropStyle="combo" dx="26" sel="1" val="0">
  <itemLst>
    <item val="Consolidated"/>
    <item val="Non Consolidated"/>
    <item val="Total"/>
  </itemLst>
</formControlPr>
</file>

<file path=xl/ctrlProps/ctrlProp10.xml><?xml version="1.0" encoding="utf-8"?>
<formControlPr xmlns="http://schemas.microsoft.com/office/spreadsheetml/2009/9/main" objectType="Drop" dropStyle="combo" dx="26" sel="1" val="0">
  <itemLst>
    <item val="Full year"/>
  </itemLst>
</formControlPr>
</file>

<file path=xl/ctrlProps/ctrlProp11.xml><?xml version="1.0" encoding="utf-8"?>
<formControlPr xmlns="http://schemas.microsoft.com/office/spreadsheetml/2009/9/main" objectType="Drop" dropStyle="combo" dx="26" sel="1" val="0">
  <itemLst>
    <item val="Consolidated"/>
    <item val="Non Consolidated"/>
    <item val="Total"/>
  </itemLst>
</formControlPr>
</file>

<file path=xl/ctrlProps/ctrlProp12.xml><?xml version="1.0" encoding="utf-8"?>
<formControlPr xmlns="http://schemas.microsoft.com/office/spreadsheetml/2009/9/main" objectType="Drop" dropStyle="combo" dx="26" sel="1" val="0">
  <itemLst>
    <item val="Value USD"/>
  </itemLst>
</formControlPr>
</file>

<file path=xl/ctrlProps/ctrlProp13.xml><?xml version="1.0" encoding="utf-8"?>
<formControlPr xmlns="http://schemas.microsoft.com/office/spreadsheetml/2009/9/main" objectType="Drop" dropStyle="combo" dx="26" sel="1" val="0">
  <itemLst>
    <item val="Total Cost"/>
  </itemLst>
</formControlPr>
</file>

<file path=xl/ctrlProps/ctrlProp14.xml><?xml version="1.0" encoding="utf-8"?>
<formControlPr xmlns="http://schemas.microsoft.com/office/spreadsheetml/2009/9/main" objectType="Drop" dropStyle="combo" dx="26" sel="1" val="0">
  <itemLst>
    <item val="Total"/>
  </itemLst>
</formControlPr>
</file>

<file path=xl/ctrlProps/ctrlProp15.xml><?xml version="1.0" encoding="utf-8"?>
<formControlPr xmlns="http://schemas.microsoft.com/office/spreadsheetml/2009/9/main" objectType="Drop" dropStyle="combo" dx="26" sel="1" val="0">
  <itemLst>
    <item val="Budget 2002"/>
  </itemLst>
</formControlPr>
</file>

<file path=xl/ctrlProps/ctrlProp16.xml><?xml version="1.0" encoding="utf-8"?>
<formControlPr xmlns="http://schemas.microsoft.com/office/spreadsheetml/2009/9/main" objectType="Drop" dropStyle="combo" dx="26" sel="1" val="0">
  <itemLst>
    <item val="Forecast"/>
  </itemLst>
</formControlPr>
</file>

<file path=xl/ctrlProps/ctrlProp17.xml><?xml version="1.0" encoding="utf-8"?>
<formControlPr xmlns="http://schemas.microsoft.com/office/spreadsheetml/2009/9/main" objectType="Drop" dropStyle="combo" dx="26" sel="1" val="0">
  <itemLst>
    <item val="EEL European Govt Affairs"/>
  </itemLst>
</formControlPr>
</file>

<file path=xl/ctrlProps/ctrlProp18.xml><?xml version="1.0" encoding="utf-8"?>
<formControlPr xmlns="http://schemas.microsoft.com/office/spreadsheetml/2009/9/main" objectType="Drop" dropStyle="combo" dx="26" sel="1" val="0">
  <itemLst>
    <item val="Consolidated"/>
  </itemLst>
</formControlPr>
</file>

<file path=xl/ctrlProps/ctrlProp19.xml><?xml version="1.0" encoding="utf-8"?>
<formControlPr xmlns="http://schemas.microsoft.com/office/spreadsheetml/2009/9/main" objectType="Drop" dropStyle="combo" dx="26" sel="1" val="0">
  <itemLst>
    <item val="Budget"/>
  </itemLst>
</formControlPr>
</file>

<file path=xl/ctrlProps/ctrlProp2.xml><?xml version="1.0" encoding="utf-8"?>
<formControlPr xmlns="http://schemas.microsoft.com/office/spreadsheetml/2009/9/main" objectType="Drop" dropStyle="combo" dx="26" sel="1" val="0">
  <itemLst>
    <item val="Metals Middle Office"/>
  </itemLst>
</formControlPr>
</file>

<file path=xl/ctrlProps/ctrlProp20.xml><?xml version="1.0" encoding="utf-8"?>
<formControlPr xmlns="http://schemas.microsoft.com/office/spreadsheetml/2009/9/main" objectType="Drop" dropStyle="combo" dx="26" sel="1" val="0">
  <itemLst>
    <item val="EEL European Govt Affairs"/>
  </itemLst>
</formControlPr>
</file>

<file path=xl/ctrlProps/ctrlProp21.xml><?xml version="1.0" encoding="utf-8"?>
<formControlPr xmlns="http://schemas.microsoft.com/office/spreadsheetml/2009/9/main" objectType="Drop" dropStyle="combo" dx="26" sel="1" val="0">
  <itemLst>
    <item val="Consolidated"/>
  </itemLst>
</formControlPr>
</file>

<file path=xl/ctrlProps/ctrlProp22.xml><?xml version="1.0" encoding="utf-8"?>
<formControlPr xmlns="http://schemas.microsoft.com/office/spreadsheetml/2009/9/main" objectType="Drop" dropStyle="combo" dx="26" sel="1" val="0">
  <itemLst>
    <item val="Value USD"/>
  </itemLst>
</formControlPr>
</file>

<file path=xl/ctrlProps/ctrlProp23.xml><?xml version="1.0" encoding="utf-8"?>
<formControlPr xmlns="http://schemas.microsoft.com/office/spreadsheetml/2009/9/main" objectType="Drop" dropStyle="combo" dx="26" sel="1" val="0">
  <itemLst>
    <item val="Total Cost"/>
  </itemLst>
</formControlPr>
</file>

<file path=xl/ctrlProps/ctrlProp24.xml><?xml version="1.0" encoding="utf-8"?>
<formControlPr xmlns="http://schemas.microsoft.com/office/spreadsheetml/2009/9/main" objectType="Drop" dropStyle="combo" dx="26" sel="1" val="0">
  <itemLst>
    <item val="EEL European Govt Affairs"/>
  </itemLst>
</formControlPr>
</file>

<file path=xl/ctrlProps/ctrlProp25.xml><?xml version="1.0" encoding="utf-8"?>
<formControlPr xmlns="http://schemas.microsoft.com/office/spreadsheetml/2009/9/main" objectType="Drop" dropStyle="combo" dx="26" sel="1" val="0">
  <itemLst>
    <item val="Budget 2002"/>
  </itemLst>
</formControlPr>
</file>

<file path=xl/ctrlProps/ctrlProp26.xml><?xml version="1.0" encoding="utf-8"?>
<formControlPr xmlns="http://schemas.microsoft.com/office/spreadsheetml/2009/9/main" objectType="Drop" dropStyle="combo" dx="26" sel="1" val="0">
  <itemLst>
    <item val="Value USD"/>
  </itemLst>
</formControlPr>
</file>

<file path=xl/ctrlProps/ctrlProp27.xml><?xml version="1.0" encoding="utf-8"?>
<formControlPr xmlns="http://schemas.microsoft.com/office/spreadsheetml/2009/9/main" objectType="Drop" dropStyle="combo" dx="26" sel="1" val="0">
  <itemLst>
    <item val="Total Cost"/>
  </itemLst>
</formControlPr>
</file>

<file path=xl/ctrlProps/ctrlProp28.xml><?xml version="1.0" encoding="utf-8"?>
<formControlPr xmlns="http://schemas.microsoft.com/office/spreadsheetml/2009/9/main" objectType="Drop" dropStyle="combo" dx="26" sel="1" val="0">
  <itemLst>
    <item val="Dec"/>
  </itemLst>
</formControlPr>
</file>

<file path=xl/ctrlProps/ctrlProp29.xml><?xml version="1.0" encoding="utf-8"?>
<formControlPr xmlns="http://schemas.microsoft.com/office/spreadsheetml/2009/9/main" objectType="Drop" dropStyle="combo" dx="26" sel="1" val="0">
  <itemLst>
    <item val="Budget 2002"/>
  </itemLst>
</formControlPr>
</file>

<file path=xl/ctrlProps/ctrlProp3.xml><?xml version="1.0" encoding="utf-8"?>
<formControlPr xmlns="http://schemas.microsoft.com/office/spreadsheetml/2009/9/main" objectType="Drop" dropStyle="combo" dx="26" sel="1" val="0">
  <itemLst>
    <item val="Consolidated"/>
    <item val="Non Consolidated"/>
    <item val="Total"/>
  </itemLst>
</formControlPr>
</file>

<file path=xl/ctrlProps/ctrlProp30.xml><?xml version="1.0" encoding="utf-8"?>
<formControlPr xmlns="http://schemas.microsoft.com/office/spreadsheetml/2009/9/main" objectType="Drop" dropStyle="combo" dx="26" sel="1" val="0">
  <itemLst>
    <item val="Dec"/>
  </itemLst>
</formControlPr>
</file>

<file path=xl/ctrlProps/ctrlProp4.xml><?xml version="1.0" encoding="utf-8"?>
<formControlPr xmlns="http://schemas.microsoft.com/office/spreadsheetml/2009/9/main" objectType="Drop" dropStyle="combo" dx="26" sel="1" val="0">
  <itemLst>
    <item val="Metals Middle Office"/>
  </itemLst>
</formControlPr>
</file>

<file path=xl/ctrlProps/ctrlProp5.xml><?xml version="1.0" encoding="utf-8"?>
<formControlPr xmlns="http://schemas.microsoft.com/office/spreadsheetml/2009/9/main" objectType="Drop" dropStyle="combo" dx="26" sel="1" val="0">
  <itemLst>
    <item val="Value USD"/>
  </itemLst>
</formControlPr>
</file>

<file path=xl/ctrlProps/ctrlProp6.xml><?xml version="1.0" encoding="utf-8"?>
<formControlPr xmlns="http://schemas.microsoft.com/office/spreadsheetml/2009/9/main" objectType="Drop" dropStyle="combo" dx="26" sel="1" val="0">
  <itemLst>
    <item val="Total Cost"/>
  </itemLst>
</formControlPr>
</file>

<file path=xl/ctrlProps/ctrlProp7.xml><?xml version="1.0" encoding="utf-8"?>
<formControlPr xmlns="http://schemas.microsoft.com/office/spreadsheetml/2009/9/main" objectType="Drop" dropStyle="combo" dx="26" sel="1" val="0">
  <itemLst>
    <item val="Total"/>
  </itemLst>
</formControlPr>
</file>

<file path=xl/ctrlProps/ctrlProp8.xml><?xml version="1.0" encoding="utf-8"?>
<formControlPr xmlns="http://schemas.microsoft.com/office/spreadsheetml/2009/9/main" objectType="Drop" dropStyle="combo" dx="26" sel="1" val="0">
  <itemLst>
    <item val="Budget 2002"/>
  </itemLst>
</formControlPr>
</file>

<file path=xl/ctrlProps/ctrlProp9.xml><?xml version="1.0" encoding="utf-8"?>
<formControlPr xmlns="http://schemas.microsoft.com/office/spreadsheetml/2009/9/main" objectType="Drop" dropStyle="combo" dx="26" sel="1" val="0">
  <itemLst>
    <item val="Forecast"/>
  </itemLst>
</formControlPr>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601980</xdr:colOff>
      <xdr:row>59</xdr:row>
      <xdr:rowOff>129540</xdr:rowOff>
    </xdr:to>
    <xdr:pic>
      <xdr:nvPicPr>
        <xdr:cNvPr id="6246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12801600" cy="10035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198120</xdr:colOff>
      <xdr:row>7</xdr:row>
      <xdr:rowOff>129540</xdr:rowOff>
    </xdr:from>
    <xdr:to>
      <xdr:col>14</xdr:col>
      <xdr:colOff>236220</xdr:colOff>
      <xdr:row>14</xdr:row>
      <xdr:rowOff>144780</xdr:rowOff>
    </xdr:to>
    <xdr:sp macro="" textlink="">
      <xdr:nvSpPr>
        <xdr:cNvPr id="62466" name="Text Box 2"/>
        <xdr:cNvSpPr txBox="1">
          <a:spLocks noChangeArrowheads="1"/>
        </xdr:cNvSpPr>
      </xdr:nvSpPr>
      <xdr:spPr bwMode="auto">
        <a:xfrm>
          <a:off x="3649980" y="1303020"/>
          <a:ext cx="5661660" cy="1203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5400" b="0" i="0" u="none" strike="noStrike" baseline="0">
              <a:solidFill>
                <a:srgbClr val="FF0000"/>
              </a:solidFill>
              <a:latin typeface="Times New Roman"/>
              <a:cs typeface="Times New Roman"/>
            </a:rPr>
            <a:t>ENRON EUROPE</a:t>
          </a:r>
        </a:p>
        <a:p>
          <a:pPr algn="l" rtl="0">
            <a:defRPr sz="1000"/>
          </a:pPr>
          <a:endParaRPr lang="en-US" sz="5400" b="0" i="0" u="none" strike="noStrike" baseline="0">
            <a:solidFill>
              <a:srgbClr val="FF0000"/>
            </a:solidFill>
            <a:latin typeface="Times New Roman"/>
            <a:cs typeface="Times New Roman"/>
          </a:endParaRPr>
        </a:p>
      </xdr:txBody>
    </xdr:sp>
    <xdr:clientData/>
  </xdr:twoCellAnchor>
  <xdr:twoCellAnchor editAs="oneCell">
    <xdr:from>
      <xdr:col>3</xdr:col>
      <xdr:colOff>441960</xdr:colOff>
      <xdr:row>21</xdr:row>
      <xdr:rowOff>30480</xdr:rowOff>
    </xdr:from>
    <xdr:to>
      <xdr:col>15</xdr:col>
      <xdr:colOff>182880</xdr:colOff>
      <xdr:row>47</xdr:row>
      <xdr:rowOff>22860</xdr:rowOff>
    </xdr:to>
    <xdr:sp macro="" textlink="">
      <xdr:nvSpPr>
        <xdr:cNvPr id="62467" name="Text Box 3"/>
        <xdr:cNvSpPr txBox="1">
          <a:spLocks noChangeArrowheads="1"/>
        </xdr:cNvSpPr>
      </xdr:nvSpPr>
      <xdr:spPr bwMode="auto">
        <a:xfrm>
          <a:off x="2644140" y="3566160"/>
          <a:ext cx="7239000" cy="43510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5000" b="0" i="0" u="none" strike="noStrike" baseline="0">
              <a:solidFill>
                <a:srgbClr val="000000"/>
              </a:solidFill>
              <a:latin typeface="Times New Roman"/>
              <a:cs typeface="Times New Roman"/>
            </a:rPr>
            <a:t>Government Affairs </a:t>
          </a:r>
        </a:p>
        <a:p>
          <a:pPr algn="ctr" rtl="0">
            <a:defRPr sz="1000"/>
          </a:pPr>
          <a:r>
            <a:rPr lang="en-US" sz="5000" b="0" i="0" u="none" strike="noStrike" baseline="0">
              <a:solidFill>
                <a:srgbClr val="000000"/>
              </a:solidFill>
              <a:latin typeface="Times New Roman"/>
              <a:cs typeface="Times New Roman"/>
            </a:rPr>
            <a:t>2002 Budget</a:t>
          </a:r>
        </a:p>
        <a:p>
          <a:pPr algn="ctr" rtl="0">
            <a:defRPr sz="1000"/>
          </a:pPr>
          <a:endParaRPr lang="en-US" sz="5000" b="0" i="0" u="none" strike="noStrike" baseline="0">
            <a:solidFill>
              <a:srgbClr val="000000"/>
            </a:solidFill>
            <a:latin typeface="Times New Roman"/>
            <a:cs typeface="Times New Roman"/>
          </a:endParaRPr>
        </a:p>
      </xdr:txBody>
    </xdr:sp>
    <xdr:clientData/>
  </xdr:twoCellAnchor>
  <xdr:twoCellAnchor editAs="oneCell">
    <xdr:from>
      <xdr:col>0</xdr:col>
      <xdr:colOff>304800</xdr:colOff>
      <xdr:row>47</xdr:row>
      <xdr:rowOff>30480</xdr:rowOff>
    </xdr:from>
    <xdr:to>
      <xdr:col>4</xdr:col>
      <xdr:colOff>114300</xdr:colOff>
      <xdr:row>51</xdr:row>
      <xdr:rowOff>106680</xdr:rowOff>
    </xdr:to>
    <xdr:sp macro="" textlink="">
      <xdr:nvSpPr>
        <xdr:cNvPr id="62468" name="Text Box 4"/>
        <xdr:cNvSpPr txBox="1">
          <a:spLocks noChangeArrowheads="1"/>
        </xdr:cNvSpPr>
      </xdr:nvSpPr>
      <xdr:spPr bwMode="auto">
        <a:xfrm>
          <a:off x="304800" y="7924800"/>
          <a:ext cx="2636520" cy="7467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2400" b="0" i="0" u="none" strike="noStrike" baseline="0">
              <a:solidFill>
                <a:srgbClr val="000000"/>
              </a:solidFill>
              <a:latin typeface="Times New Roman"/>
              <a:cs typeface="Times New Roman"/>
            </a:rPr>
            <a:t>Prepared by FP&amp;A</a:t>
          </a:r>
        </a:p>
        <a:p>
          <a:pPr algn="l" rtl="0">
            <a:defRPr sz="1000"/>
          </a:pPr>
          <a:endParaRPr lang="en-US" sz="2400" b="0" i="0" u="none" strike="noStrike" baseline="0">
            <a:solidFill>
              <a:srgbClr val="000000"/>
            </a:solidFill>
            <a:latin typeface="Times New Roman"/>
            <a:cs typeface="Times New Roman"/>
          </a:endParaRPr>
        </a:p>
      </xdr:txBody>
    </xdr:sp>
    <xdr:clientData/>
  </xdr:twoCellAnchor>
  <xdr:twoCellAnchor>
    <xdr:from>
      <xdr:col>16</xdr:col>
      <xdr:colOff>556260</xdr:colOff>
      <xdr:row>48</xdr:row>
      <xdr:rowOff>144780</xdr:rowOff>
    </xdr:from>
    <xdr:to>
      <xdr:col>18</xdr:col>
      <xdr:colOff>320040</xdr:colOff>
      <xdr:row>53</xdr:row>
      <xdr:rowOff>121920</xdr:rowOff>
    </xdr:to>
    <xdr:pic>
      <xdr:nvPicPr>
        <xdr:cNvPr id="62469" name="Picture 5" descr="O:\Fin_Ops\System_Arch\Graphics\Enron logos\logos\E_COLOR_R.bm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81360" y="8206740"/>
          <a:ext cx="1013460" cy="815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419100</xdr:colOff>
      <xdr:row>5</xdr:row>
      <xdr:rowOff>0</xdr:rowOff>
    </xdr:to>
    <xdr:pic>
      <xdr:nvPicPr>
        <xdr:cNvPr id="6348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79170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350520</xdr:colOff>
      <xdr:row>1</xdr:row>
      <xdr:rowOff>7620</xdr:rowOff>
    </xdr:from>
    <xdr:to>
      <xdr:col>4</xdr:col>
      <xdr:colOff>243840</xdr:colOff>
      <xdr:row>4</xdr:row>
      <xdr:rowOff>7620</xdr:rowOff>
    </xdr:to>
    <xdr:sp macro="" textlink="">
      <xdr:nvSpPr>
        <xdr:cNvPr id="63490" name="Text Box 2"/>
        <xdr:cNvSpPr txBox="1">
          <a:spLocks noChangeArrowheads="1"/>
        </xdr:cNvSpPr>
      </xdr:nvSpPr>
      <xdr:spPr bwMode="auto">
        <a:xfrm>
          <a:off x="350520" y="175260"/>
          <a:ext cx="239268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160020</xdr:colOff>
      <xdr:row>1</xdr:row>
      <xdr:rowOff>0</xdr:rowOff>
    </xdr:from>
    <xdr:to>
      <xdr:col>12</xdr:col>
      <xdr:colOff>22860</xdr:colOff>
      <xdr:row>3</xdr:row>
      <xdr:rowOff>68580</xdr:rowOff>
    </xdr:to>
    <xdr:pic>
      <xdr:nvPicPr>
        <xdr:cNvPr id="6349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16764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388620</xdr:colOff>
      <xdr:row>9</xdr:row>
      <xdr:rowOff>76200</xdr:rowOff>
    </xdr:from>
    <xdr:to>
      <xdr:col>8</xdr:col>
      <xdr:colOff>304800</xdr:colOff>
      <xdr:row>15</xdr:row>
      <xdr:rowOff>160020</xdr:rowOff>
    </xdr:to>
    <xdr:sp macro="" textlink="">
      <xdr:nvSpPr>
        <xdr:cNvPr id="63492" name="AutoShape 4"/>
        <xdr:cNvSpPr>
          <a:spLocks noChangeAspect="1" noChangeArrowheads="1"/>
        </xdr:cNvSpPr>
      </xdr:nvSpPr>
      <xdr:spPr bwMode="auto">
        <a:xfrm>
          <a:off x="4137660" y="1798320"/>
          <a:ext cx="1165860" cy="10896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cs typeface="Arial"/>
            </a:rPr>
            <a:t>Richard Lewis</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3</xdr:col>
      <xdr:colOff>388620</xdr:colOff>
      <xdr:row>16</xdr:row>
      <xdr:rowOff>160020</xdr:rowOff>
    </xdr:from>
    <xdr:to>
      <xdr:col>5</xdr:col>
      <xdr:colOff>335280</xdr:colOff>
      <xdr:row>21</xdr:row>
      <xdr:rowOff>144780</xdr:rowOff>
    </xdr:to>
    <xdr:sp macro="" textlink="">
      <xdr:nvSpPr>
        <xdr:cNvPr id="63493" name="AutoShape 5"/>
        <xdr:cNvSpPr>
          <a:spLocks noChangeAspect="1" noChangeArrowheads="1"/>
        </xdr:cNvSpPr>
      </xdr:nvSpPr>
      <xdr:spPr bwMode="auto">
        <a:xfrm>
          <a:off x="2263140" y="3055620"/>
          <a:ext cx="1196340" cy="8229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Paul Dawson</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UK, Spain</a:t>
          </a:r>
        </a:p>
        <a:p>
          <a:pPr algn="l" rtl="0">
            <a:defRPr sz="1000"/>
          </a:pPr>
          <a:r>
            <a:rPr lang="en-US" sz="1000" b="0" i="0" u="none" strike="noStrike" baseline="0">
              <a:solidFill>
                <a:srgbClr val="000000"/>
              </a:solidFill>
              <a:latin typeface="Arial"/>
              <a:cs typeface="Arial"/>
            </a:rPr>
            <a:t>&amp; Italy</a:t>
          </a:r>
        </a:p>
        <a:p>
          <a:pPr algn="l" rtl="0">
            <a:defRPr sz="1000"/>
          </a:pPr>
          <a:r>
            <a:rPr lang="en-US" sz="1000" b="0" i="0" u="none" strike="noStrike" baseline="0">
              <a:solidFill>
                <a:srgbClr val="000000"/>
              </a:solidFill>
              <a:latin typeface="Arial"/>
              <a:cs typeface="Arial"/>
            </a:rPr>
            <a:t>EES &amp; Coal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160020</xdr:colOff>
      <xdr:row>16</xdr:row>
      <xdr:rowOff>129540</xdr:rowOff>
    </xdr:from>
    <xdr:to>
      <xdr:col>11</xdr:col>
      <xdr:colOff>160020</xdr:colOff>
      <xdr:row>22</xdr:row>
      <xdr:rowOff>121920</xdr:rowOff>
    </xdr:to>
    <xdr:sp macro="" textlink="">
      <xdr:nvSpPr>
        <xdr:cNvPr id="63494" name="AutoShape 6"/>
        <xdr:cNvSpPr>
          <a:spLocks noChangeAspect="1" noChangeArrowheads="1"/>
        </xdr:cNvSpPr>
      </xdr:nvSpPr>
      <xdr:spPr bwMode="auto">
        <a:xfrm>
          <a:off x="5783580" y="3025140"/>
          <a:ext cx="1249680" cy="9982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Doug Wood</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Cont. Gas and C&amp;E Europe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480060</xdr:colOff>
      <xdr:row>21</xdr:row>
      <xdr:rowOff>7620</xdr:rowOff>
    </xdr:from>
    <xdr:to>
      <xdr:col>3</xdr:col>
      <xdr:colOff>76200</xdr:colOff>
      <xdr:row>25</xdr:row>
      <xdr:rowOff>30480</xdr:rowOff>
    </xdr:to>
    <xdr:sp macro="" textlink="">
      <xdr:nvSpPr>
        <xdr:cNvPr id="63495" name="AutoShape 7"/>
        <xdr:cNvSpPr>
          <a:spLocks noChangeAspect="1" noChangeArrowheads="1"/>
        </xdr:cNvSpPr>
      </xdr:nvSpPr>
      <xdr:spPr bwMode="auto">
        <a:xfrm>
          <a:off x="1104900" y="3741420"/>
          <a:ext cx="845820" cy="6934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Kerryann Irwin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236220</xdr:colOff>
      <xdr:row>21</xdr:row>
      <xdr:rowOff>106680</xdr:rowOff>
    </xdr:from>
    <xdr:to>
      <xdr:col>12</xdr:col>
      <xdr:colOff>457200</xdr:colOff>
      <xdr:row>25</xdr:row>
      <xdr:rowOff>129540</xdr:rowOff>
    </xdr:to>
    <xdr:sp macro="" textlink="">
      <xdr:nvSpPr>
        <xdr:cNvPr id="63496" name="AutoShape 8"/>
        <xdr:cNvSpPr>
          <a:spLocks noChangeAspect="1" noChangeArrowheads="1"/>
        </xdr:cNvSpPr>
      </xdr:nvSpPr>
      <xdr:spPr bwMode="auto">
        <a:xfrm>
          <a:off x="7109460" y="3840480"/>
          <a:ext cx="845820" cy="6934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Merle Glen</a:t>
          </a:r>
        </a:p>
        <a:p>
          <a:pPr algn="l" rtl="0">
            <a:lnSpc>
              <a:spcPts val="1000"/>
            </a:lnSpc>
            <a:defRPr sz="1000"/>
          </a:pPr>
          <a:r>
            <a:rPr lang="en-US" sz="1000" b="0" i="0" u="none" strike="noStrike" baseline="0">
              <a:solidFill>
                <a:srgbClr val="000000"/>
              </a:solidFill>
              <a:latin typeface="Arial"/>
              <a:cs typeface="Arial"/>
            </a:rPr>
            <a:t>Assistant</a:t>
          </a: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2</xdr:col>
      <xdr:colOff>76200</xdr:colOff>
      <xdr:row>29</xdr:row>
      <xdr:rowOff>30480</xdr:rowOff>
    </xdr:from>
    <xdr:to>
      <xdr:col>3</xdr:col>
      <xdr:colOff>388620</xdr:colOff>
      <xdr:row>33</xdr:row>
      <xdr:rowOff>30480</xdr:rowOff>
    </xdr:to>
    <xdr:sp macro="" textlink="">
      <xdr:nvSpPr>
        <xdr:cNvPr id="63497" name="AutoShape 9"/>
        <xdr:cNvSpPr>
          <a:spLocks noChangeArrowheads="1"/>
        </xdr:cNvSpPr>
      </xdr:nvSpPr>
      <xdr:spPr bwMode="auto">
        <a:xfrm>
          <a:off x="1325880" y="5105400"/>
          <a:ext cx="937260" cy="6705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Adam Cooper </a:t>
          </a:r>
        </a:p>
        <a:p>
          <a:pPr algn="l" rtl="0">
            <a:defRPr sz="1000"/>
          </a:pPr>
          <a:r>
            <a:rPr lang="en-US" sz="1000" b="0" i="0" u="none" strike="noStrike" baseline="0">
              <a:solidFill>
                <a:srgbClr val="000000"/>
              </a:solidFill>
              <a:latin typeface="Arial"/>
              <a:cs typeface="Arial"/>
            </a:rPr>
            <a:t>Manager</a:t>
          </a:r>
        </a:p>
      </xdr:txBody>
    </xdr:sp>
    <xdr:clientData/>
  </xdr:twoCellAnchor>
  <xdr:twoCellAnchor>
    <xdr:from>
      <xdr:col>3</xdr:col>
      <xdr:colOff>426720</xdr:colOff>
      <xdr:row>29</xdr:row>
      <xdr:rowOff>30480</xdr:rowOff>
    </xdr:from>
    <xdr:to>
      <xdr:col>5</xdr:col>
      <xdr:colOff>236220</xdr:colOff>
      <xdr:row>32</xdr:row>
      <xdr:rowOff>160020</xdr:rowOff>
    </xdr:to>
    <xdr:sp macro="" textlink="">
      <xdr:nvSpPr>
        <xdr:cNvPr id="63498" name="AutoShape 10"/>
        <xdr:cNvSpPr>
          <a:spLocks noChangeArrowheads="1"/>
        </xdr:cNvSpPr>
      </xdr:nvSpPr>
      <xdr:spPr bwMode="auto">
        <a:xfrm>
          <a:off x="2301240" y="5105400"/>
          <a:ext cx="105918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Nick Elms</a:t>
          </a:r>
        </a:p>
        <a:p>
          <a:pPr algn="l" rtl="0">
            <a:defRPr sz="1000"/>
          </a:pPr>
          <a:r>
            <a:rPr lang="en-US" sz="1000" b="0" i="0" u="none" strike="noStrike" baseline="0">
              <a:solidFill>
                <a:srgbClr val="000000"/>
              </a:solidFill>
              <a:latin typeface="Arial"/>
              <a:cs typeface="Arial"/>
            </a:rPr>
            <a:t>Manager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312420</xdr:colOff>
      <xdr:row>29</xdr:row>
      <xdr:rowOff>30480</xdr:rowOff>
    </xdr:from>
    <xdr:to>
      <xdr:col>7</xdr:col>
      <xdr:colOff>0</xdr:colOff>
      <xdr:row>32</xdr:row>
      <xdr:rowOff>160020</xdr:rowOff>
    </xdr:to>
    <xdr:sp macro="" textlink="">
      <xdr:nvSpPr>
        <xdr:cNvPr id="63499" name="AutoShape 11"/>
        <xdr:cNvSpPr>
          <a:spLocks noChangeArrowheads="1"/>
        </xdr:cNvSpPr>
      </xdr:nvSpPr>
      <xdr:spPr bwMode="auto">
        <a:xfrm>
          <a:off x="3436620" y="510540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Alfredo Huertas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Spain, Italy,</a:t>
          </a:r>
        </a:p>
        <a:p>
          <a:pPr algn="l" rtl="0">
            <a:defRPr sz="1000"/>
          </a:pPr>
          <a:r>
            <a:rPr lang="en-US" sz="1000" b="0" i="0" u="none" strike="noStrike" baseline="0">
              <a:solidFill>
                <a:srgbClr val="000000"/>
              </a:solidFill>
              <a:latin typeface="Arial"/>
              <a:cs typeface="Arial"/>
            </a:rPr>
            <a:t>Portugal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563880</xdr:colOff>
      <xdr:row>28</xdr:row>
      <xdr:rowOff>38100</xdr:rowOff>
    </xdr:from>
    <xdr:to>
      <xdr:col>10</xdr:col>
      <xdr:colOff>30480</xdr:colOff>
      <xdr:row>33</xdr:row>
      <xdr:rowOff>60960</xdr:rowOff>
    </xdr:to>
    <xdr:sp macro="" textlink="">
      <xdr:nvSpPr>
        <xdr:cNvPr id="63500" name="AutoShape 12"/>
        <xdr:cNvSpPr>
          <a:spLocks noChangeArrowheads="1"/>
        </xdr:cNvSpPr>
      </xdr:nvSpPr>
      <xdr:spPr bwMode="auto">
        <a:xfrm>
          <a:off x="4937760" y="4945380"/>
          <a:ext cx="1341120" cy="8610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Gas Manager Brendan Devlin leaving 31 August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76200</xdr:colOff>
      <xdr:row>34</xdr:row>
      <xdr:rowOff>137160</xdr:rowOff>
    </xdr:from>
    <xdr:to>
      <xdr:col>9</xdr:col>
      <xdr:colOff>388620</xdr:colOff>
      <xdr:row>40</xdr:row>
      <xdr:rowOff>0</xdr:rowOff>
    </xdr:to>
    <xdr:sp macro="" textlink="">
      <xdr:nvSpPr>
        <xdr:cNvPr id="63501" name="AutoShape 13"/>
        <xdr:cNvSpPr>
          <a:spLocks noChangeArrowheads="1"/>
        </xdr:cNvSpPr>
      </xdr:nvSpPr>
      <xdr:spPr bwMode="auto">
        <a:xfrm>
          <a:off x="5074920" y="6050280"/>
          <a:ext cx="937260" cy="86868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3</xdr:col>
      <xdr:colOff>388620</xdr:colOff>
      <xdr:row>34</xdr:row>
      <xdr:rowOff>137160</xdr:rowOff>
    </xdr:from>
    <xdr:to>
      <xdr:col>5</xdr:col>
      <xdr:colOff>76200</xdr:colOff>
      <xdr:row>38</xdr:row>
      <xdr:rowOff>99060</xdr:rowOff>
    </xdr:to>
    <xdr:sp macro="" textlink="">
      <xdr:nvSpPr>
        <xdr:cNvPr id="63503" name="AutoShape 15"/>
        <xdr:cNvSpPr>
          <a:spLocks noChangeArrowheads="1"/>
        </xdr:cNvSpPr>
      </xdr:nvSpPr>
      <xdr:spPr bwMode="auto">
        <a:xfrm>
          <a:off x="2263140" y="605028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Mustafa Hussain</a:t>
          </a:r>
        </a:p>
        <a:p>
          <a:pPr algn="l" rtl="0">
            <a:defRPr sz="1000"/>
          </a:pPr>
          <a:r>
            <a:rPr lang="en-US" sz="1000" b="0" i="0" u="none" strike="noStrike" baseline="0">
              <a:solidFill>
                <a:srgbClr val="000000"/>
              </a:solidFill>
              <a:latin typeface="Arial"/>
              <a:cs typeface="Arial"/>
            </a:rPr>
            <a:t>Analyst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236220</xdr:colOff>
      <xdr:row>34</xdr:row>
      <xdr:rowOff>137160</xdr:rowOff>
    </xdr:from>
    <xdr:to>
      <xdr:col>6</xdr:col>
      <xdr:colOff>548640</xdr:colOff>
      <xdr:row>38</xdr:row>
      <xdr:rowOff>99060</xdr:rowOff>
    </xdr:to>
    <xdr:sp macro="" textlink="">
      <xdr:nvSpPr>
        <xdr:cNvPr id="63504" name="AutoShape 16"/>
        <xdr:cNvSpPr>
          <a:spLocks noChangeArrowheads="1"/>
        </xdr:cNvSpPr>
      </xdr:nvSpPr>
      <xdr:spPr bwMode="auto">
        <a:xfrm>
          <a:off x="3360420" y="605028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David Gonzalez</a:t>
          </a:r>
        </a:p>
        <a:p>
          <a:pPr algn="l" rtl="0">
            <a:defRPr sz="1000"/>
          </a:pPr>
          <a:r>
            <a:rPr lang="en-US" sz="1000" b="0" i="0" u="none" strike="noStrike" baseline="0">
              <a:solidFill>
                <a:srgbClr val="000000"/>
              </a:solidFill>
              <a:latin typeface="Arial"/>
              <a:cs typeface="Arial"/>
            </a:rPr>
            <a:t>Research</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472440</xdr:colOff>
      <xdr:row>29</xdr:row>
      <xdr:rowOff>121920</xdr:rowOff>
    </xdr:from>
    <xdr:to>
      <xdr:col>12</xdr:col>
      <xdr:colOff>160020</xdr:colOff>
      <xdr:row>33</xdr:row>
      <xdr:rowOff>76200</xdr:rowOff>
    </xdr:to>
    <xdr:sp macro="" textlink="">
      <xdr:nvSpPr>
        <xdr:cNvPr id="63505" name="AutoShape 17"/>
        <xdr:cNvSpPr>
          <a:spLocks noChangeArrowheads="1"/>
        </xdr:cNvSpPr>
      </xdr:nvSpPr>
      <xdr:spPr bwMode="auto">
        <a:xfrm>
          <a:off x="6720840" y="5196840"/>
          <a:ext cx="937260" cy="62484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C&amp; EE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350520</xdr:colOff>
      <xdr:row>16</xdr:row>
      <xdr:rowOff>30480</xdr:rowOff>
    </xdr:from>
    <xdr:to>
      <xdr:col>10</xdr:col>
      <xdr:colOff>160020</xdr:colOff>
      <xdr:row>16</xdr:row>
      <xdr:rowOff>129540</xdr:rowOff>
    </xdr:to>
    <xdr:cxnSp macro="">
      <xdr:nvCxnSpPr>
        <xdr:cNvPr id="63506" name="AutoShape 18"/>
        <xdr:cNvCxnSpPr>
          <a:cxnSpLocks noChangeShapeType="1"/>
        </xdr:cNvCxnSpPr>
      </xdr:nvCxnSpPr>
      <xdr:spPr bwMode="auto">
        <a:xfrm rot="16200000" flipH="1">
          <a:off x="5516880" y="2133600"/>
          <a:ext cx="99060" cy="168402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358140</xdr:colOff>
      <xdr:row>15</xdr:row>
      <xdr:rowOff>160020</xdr:rowOff>
    </xdr:from>
    <xdr:to>
      <xdr:col>7</xdr:col>
      <xdr:colOff>350520</xdr:colOff>
      <xdr:row>16</xdr:row>
      <xdr:rowOff>160020</xdr:rowOff>
    </xdr:to>
    <xdr:cxnSp macro="">
      <xdr:nvCxnSpPr>
        <xdr:cNvPr id="63507" name="AutoShape 19"/>
        <xdr:cNvCxnSpPr>
          <a:cxnSpLocks noChangeShapeType="1"/>
          <a:stCxn id="63492" idx="2"/>
          <a:endCxn id="63493" idx="0"/>
        </xdr:cNvCxnSpPr>
      </xdr:nvCxnSpPr>
      <xdr:spPr bwMode="auto">
        <a:xfrm rot="5400000">
          <a:off x="3707130" y="2038350"/>
          <a:ext cx="167640" cy="1866900"/>
        </a:xfrm>
        <a:prstGeom prst="bentConnector3">
          <a:avLst>
            <a:gd name="adj1" fmla="val 4706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548640</xdr:colOff>
      <xdr:row>21</xdr:row>
      <xdr:rowOff>144780</xdr:rowOff>
    </xdr:from>
    <xdr:to>
      <xdr:col>4</xdr:col>
      <xdr:colOff>358140</xdr:colOff>
      <xdr:row>29</xdr:row>
      <xdr:rowOff>30480</xdr:rowOff>
    </xdr:to>
    <xdr:cxnSp macro="">
      <xdr:nvCxnSpPr>
        <xdr:cNvPr id="63508" name="AutoShape 20"/>
        <xdr:cNvCxnSpPr>
          <a:cxnSpLocks noChangeShapeType="1"/>
          <a:stCxn id="63493" idx="2"/>
          <a:endCxn id="63497" idx="0"/>
        </xdr:cNvCxnSpPr>
      </xdr:nvCxnSpPr>
      <xdr:spPr bwMode="auto">
        <a:xfrm rot="5400000">
          <a:off x="1714500" y="3962400"/>
          <a:ext cx="1226820" cy="105918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358140</xdr:colOff>
      <xdr:row>21</xdr:row>
      <xdr:rowOff>144780</xdr:rowOff>
    </xdr:from>
    <xdr:to>
      <xdr:col>6</xdr:col>
      <xdr:colOff>160020</xdr:colOff>
      <xdr:row>29</xdr:row>
      <xdr:rowOff>30480</xdr:rowOff>
    </xdr:to>
    <xdr:cxnSp macro="">
      <xdr:nvCxnSpPr>
        <xdr:cNvPr id="63509" name="AutoShape 21"/>
        <xdr:cNvCxnSpPr>
          <a:cxnSpLocks noChangeShapeType="1"/>
          <a:stCxn id="63493" idx="2"/>
          <a:endCxn id="63499" idx="0"/>
        </xdr:cNvCxnSpPr>
      </xdr:nvCxnSpPr>
      <xdr:spPr bwMode="auto">
        <a:xfrm rot="16200000" flipH="1">
          <a:off x="2769870" y="3966210"/>
          <a:ext cx="1226820" cy="105156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617220</xdr:colOff>
      <xdr:row>22</xdr:row>
      <xdr:rowOff>121920</xdr:rowOff>
    </xdr:from>
    <xdr:to>
      <xdr:col>10</xdr:col>
      <xdr:colOff>160020</xdr:colOff>
      <xdr:row>28</xdr:row>
      <xdr:rowOff>38100</xdr:rowOff>
    </xdr:to>
    <xdr:cxnSp macro="">
      <xdr:nvCxnSpPr>
        <xdr:cNvPr id="63510" name="AutoShape 22"/>
        <xdr:cNvCxnSpPr>
          <a:cxnSpLocks noChangeShapeType="1"/>
          <a:stCxn id="63494" idx="2"/>
          <a:endCxn id="63500" idx="0"/>
        </xdr:cNvCxnSpPr>
      </xdr:nvCxnSpPr>
      <xdr:spPr bwMode="auto">
        <a:xfrm rot="5400000">
          <a:off x="5551170" y="4088130"/>
          <a:ext cx="922020" cy="79248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144780</xdr:colOff>
      <xdr:row>23</xdr:row>
      <xdr:rowOff>7620</xdr:rowOff>
    </xdr:from>
    <xdr:to>
      <xdr:col>11</xdr:col>
      <xdr:colOff>304800</xdr:colOff>
      <xdr:row>29</xdr:row>
      <xdr:rowOff>129540</xdr:rowOff>
    </xdr:to>
    <xdr:cxnSp macro="">
      <xdr:nvCxnSpPr>
        <xdr:cNvPr id="63511" name="AutoShape 23"/>
        <xdr:cNvCxnSpPr>
          <a:cxnSpLocks noChangeShapeType="1"/>
        </xdr:cNvCxnSpPr>
      </xdr:nvCxnSpPr>
      <xdr:spPr bwMode="auto">
        <a:xfrm rot="16200000" flipH="1">
          <a:off x="6221730" y="4248150"/>
          <a:ext cx="1127760" cy="78486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160020</xdr:colOff>
      <xdr:row>23</xdr:row>
      <xdr:rowOff>91440</xdr:rowOff>
    </xdr:from>
    <xdr:to>
      <xdr:col>11</xdr:col>
      <xdr:colOff>236220</xdr:colOff>
      <xdr:row>23</xdr:row>
      <xdr:rowOff>91440</xdr:rowOff>
    </xdr:to>
    <xdr:sp macro="" textlink="">
      <xdr:nvSpPr>
        <xdr:cNvPr id="63512" name="Line 24"/>
        <xdr:cNvSpPr>
          <a:spLocks noChangeShapeType="1"/>
        </xdr:cNvSpPr>
      </xdr:nvSpPr>
      <xdr:spPr bwMode="auto">
        <a:xfrm flipH="1" flipV="1">
          <a:off x="6408420" y="4160520"/>
          <a:ext cx="70104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160020</xdr:colOff>
      <xdr:row>32</xdr:row>
      <xdr:rowOff>160020</xdr:rowOff>
    </xdr:from>
    <xdr:to>
      <xdr:col>6</xdr:col>
      <xdr:colOff>160020</xdr:colOff>
      <xdr:row>34</xdr:row>
      <xdr:rowOff>137160</xdr:rowOff>
    </xdr:to>
    <xdr:sp macro="" textlink="">
      <xdr:nvSpPr>
        <xdr:cNvPr id="63513" name="Line 25"/>
        <xdr:cNvSpPr>
          <a:spLocks noChangeShapeType="1"/>
        </xdr:cNvSpPr>
      </xdr:nvSpPr>
      <xdr:spPr bwMode="auto">
        <a:xfrm>
          <a:off x="3909060" y="5737860"/>
          <a:ext cx="0" cy="31242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312420</xdr:colOff>
      <xdr:row>32</xdr:row>
      <xdr:rowOff>160020</xdr:rowOff>
    </xdr:from>
    <xdr:to>
      <xdr:col>4</xdr:col>
      <xdr:colOff>312420</xdr:colOff>
      <xdr:row>34</xdr:row>
      <xdr:rowOff>137160</xdr:rowOff>
    </xdr:to>
    <xdr:sp macro="" textlink="">
      <xdr:nvSpPr>
        <xdr:cNvPr id="63514" name="Line 26"/>
        <xdr:cNvSpPr>
          <a:spLocks noChangeShapeType="1"/>
        </xdr:cNvSpPr>
      </xdr:nvSpPr>
      <xdr:spPr bwMode="auto">
        <a:xfrm>
          <a:off x="2811780" y="5737860"/>
          <a:ext cx="0" cy="31242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76200</xdr:colOff>
      <xdr:row>23</xdr:row>
      <xdr:rowOff>7620</xdr:rowOff>
    </xdr:from>
    <xdr:to>
      <xdr:col>4</xdr:col>
      <xdr:colOff>388620</xdr:colOff>
      <xdr:row>23</xdr:row>
      <xdr:rowOff>7620</xdr:rowOff>
    </xdr:to>
    <xdr:sp macro="" textlink="">
      <xdr:nvSpPr>
        <xdr:cNvPr id="63515" name="Line 27"/>
        <xdr:cNvSpPr>
          <a:spLocks noChangeShapeType="1"/>
        </xdr:cNvSpPr>
      </xdr:nvSpPr>
      <xdr:spPr bwMode="auto">
        <a:xfrm>
          <a:off x="1950720" y="4076700"/>
          <a:ext cx="93726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350520</xdr:colOff>
      <xdr:row>25</xdr:row>
      <xdr:rowOff>68580</xdr:rowOff>
    </xdr:from>
    <xdr:to>
      <xdr:col>4</xdr:col>
      <xdr:colOff>350520</xdr:colOff>
      <xdr:row>29</xdr:row>
      <xdr:rowOff>30480</xdr:rowOff>
    </xdr:to>
    <xdr:sp macro="" textlink="">
      <xdr:nvSpPr>
        <xdr:cNvPr id="63516" name="Line 28"/>
        <xdr:cNvSpPr>
          <a:spLocks noChangeShapeType="1"/>
        </xdr:cNvSpPr>
      </xdr:nvSpPr>
      <xdr:spPr bwMode="auto">
        <a:xfrm>
          <a:off x="2849880" y="4472940"/>
          <a:ext cx="0" cy="63246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320040</xdr:colOff>
      <xdr:row>33</xdr:row>
      <xdr:rowOff>121920</xdr:rowOff>
    </xdr:from>
    <xdr:to>
      <xdr:col>11</xdr:col>
      <xdr:colOff>320040</xdr:colOff>
      <xdr:row>33</xdr:row>
      <xdr:rowOff>121920</xdr:rowOff>
    </xdr:to>
    <xdr:sp macro="" textlink="">
      <xdr:nvSpPr>
        <xdr:cNvPr id="63520" name="Line 32"/>
        <xdr:cNvSpPr>
          <a:spLocks noChangeShapeType="1"/>
        </xdr:cNvSpPr>
      </xdr:nvSpPr>
      <xdr:spPr bwMode="auto">
        <a:xfrm>
          <a:off x="7193280" y="58674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586740</xdr:colOff>
      <xdr:row>33</xdr:row>
      <xdr:rowOff>68580</xdr:rowOff>
    </xdr:from>
    <xdr:to>
      <xdr:col>8</xdr:col>
      <xdr:colOff>586740</xdr:colOff>
      <xdr:row>34</xdr:row>
      <xdr:rowOff>137160</xdr:rowOff>
    </xdr:to>
    <xdr:sp macro="" textlink="">
      <xdr:nvSpPr>
        <xdr:cNvPr id="63522" name="Line 34"/>
        <xdr:cNvSpPr>
          <a:spLocks noChangeShapeType="1"/>
        </xdr:cNvSpPr>
      </xdr:nvSpPr>
      <xdr:spPr bwMode="auto">
        <a:xfrm>
          <a:off x="5585460" y="5814060"/>
          <a:ext cx="0" cy="2362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15</xdr:col>
      <xdr:colOff>419100</xdr:colOff>
      <xdr:row>5</xdr:row>
      <xdr:rowOff>0</xdr:rowOff>
    </xdr:to>
    <xdr:pic>
      <xdr:nvPicPr>
        <xdr:cNvPr id="63523" name="Picture 35"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79170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350520</xdr:colOff>
      <xdr:row>1</xdr:row>
      <xdr:rowOff>7620</xdr:rowOff>
    </xdr:from>
    <xdr:to>
      <xdr:col>10</xdr:col>
      <xdr:colOff>30480</xdr:colOff>
      <xdr:row>4</xdr:row>
      <xdr:rowOff>7620</xdr:rowOff>
    </xdr:to>
    <xdr:sp macro="" textlink="">
      <xdr:nvSpPr>
        <xdr:cNvPr id="63524" name="Text Box 36"/>
        <xdr:cNvSpPr txBox="1">
          <a:spLocks noChangeArrowheads="1"/>
        </xdr:cNvSpPr>
      </xdr:nvSpPr>
      <xdr:spPr bwMode="auto">
        <a:xfrm>
          <a:off x="350520" y="175260"/>
          <a:ext cx="592836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July 31</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160020</xdr:colOff>
      <xdr:row>1</xdr:row>
      <xdr:rowOff>0</xdr:rowOff>
    </xdr:from>
    <xdr:to>
      <xdr:col>12</xdr:col>
      <xdr:colOff>22860</xdr:colOff>
      <xdr:row>3</xdr:row>
      <xdr:rowOff>68580</xdr:rowOff>
    </xdr:to>
    <xdr:pic>
      <xdr:nvPicPr>
        <xdr:cNvPr id="63525" name="Picture 3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16764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419100</xdr:colOff>
      <xdr:row>5</xdr:row>
      <xdr:rowOff>0</xdr:rowOff>
    </xdr:to>
    <xdr:pic>
      <xdr:nvPicPr>
        <xdr:cNvPr id="6451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79170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350520</xdr:colOff>
      <xdr:row>1</xdr:row>
      <xdr:rowOff>7620</xdr:rowOff>
    </xdr:from>
    <xdr:to>
      <xdr:col>10</xdr:col>
      <xdr:colOff>30480</xdr:colOff>
      <xdr:row>4</xdr:row>
      <xdr:rowOff>7620</xdr:rowOff>
    </xdr:to>
    <xdr:sp macro="" textlink="">
      <xdr:nvSpPr>
        <xdr:cNvPr id="64514" name="Text Box 2"/>
        <xdr:cNvSpPr txBox="1">
          <a:spLocks noChangeArrowheads="1"/>
        </xdr:cNvSpPr>
      </xdr:nvSpPr>
      <xdr:spPr bwMode="auto">
        <a:xfrm>
          <a:off x="350520" y="175260"/>
          <a:ext cx="592836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July 31</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160020</xdr:colOff>
      <xdr:row>1</xdr:row>
      <xdr:rowOff>0</xdr:rowOff>
    </xdr:from>
    <xdr:to>
      <xdr:col>12</xdr:col>
      <xdr:colOff>22860</xdr:colOff>
      <xdr:row>3</xdr:row>
      <xdr:rowOff>68580</xdr:rowOff>
    </xdr:to>
    <xdr:pic>
      <xdr:nvPicPr>
        <xdr:cNvPr id="64515"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16764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38100</xdr:colOff>
      <xdr:row>28</xdr:row>
      <xdr:rowOff>7620</xdr:rowOff>
    </xdr:from>
    <xdr:to>
      <xdr:col>6</xdr:col>
      <xdr:colOff>350520</xdr:colOff>
      <xdr:row>31</xdr:row>
      <xdr:rowOff>137160</xdr:rowOff>
    </xdr:to>
    <xdr:sp macro="" textlink="">
      <xdr:nvSpPr>
        <xdr:cNvPr id="64516" name="AutoShape 4"/>
        <xdr:cNvSpPr>
          <a:spLocks noChangeArrowheads="1"/>
        </xdr:cNvSpPr>
      </xdr:nvSpPr>
      <xdr:spPr bwMode="auto">
        <a:xfrm>
          <a:off x="3162300" y="491490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TBA</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(Frankfurt)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38100</xdr:colOff>
      <xdr:row>28</xdr:row>
      <xdr:rowOff>7620</xdr:rowOff>
    </xdr:from>
    <xdr:to>
      <xdr:col>4</xdr:col>
      <xdr:colOff>594360</xdr:colOff>
      <xdr:row>33</xdr:row>
      <xdr:rowOff>0</xdr:rowOff>
    </xdr:to>
    <xdr:sp macro="" textlink="">
      <xdr:nvSpPr>
        <xdr:cNvPr id="64517" name="AutoShape 5"/>
        <xdr:cNvSpPr>
          <a:spLocks noChangeArrowheads="1"/>
        </xdr:cNvSpPr>
      </xdr:nvSpPr>
      <xdr:spPr bwMode="auto">
        <a:xfrm>
          <a:off x="1912620" y="4914900"/>
          <a:ext cx="1181100" cy="83058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Replacement</a:t>
          </a:r>
          <a:r>
            <a:rPr lang="en-US" sz="1000" b="0" i="0" u="none" strike="noStrike" baseline="0">
              <a:solidFill>
                <a:srgbClr val="000000"/>
              </a:solidFill>
              <a:latin typeface="Arial"/>
              <a:cs typeface="Arial"/>
            </a:rPr>
            <a:t> for Philip Davies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Nordic Region</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312420</xdr:colOff>
      <xdr:row>13</xdr:row>
      <xdr:rowOff>160020</xdr:rowOff>
    </xdr:from>
    <xdr:to>
      <xdr:col>12</xdr:col>
      <xdr:colOff>548640</xdr:colOff>
      <xdr:row>18</xdr:row>
      <xdr:rowOff>30480</xdr:rowOff>
    </xdr:to>
    <xdr:sp macro="" textlink="">
      <xdr:nvSpPr>
        <xdr:cNvPr id="64518" name="AutoShape 6"/>
        <xdr:cNvSpPr>
          <a:spLocks noChangeAspect="1" noChangeArrowheads="1"/>
        </xdr:cNvSpPr>
      </xdr:nvSpPr>
      <xdr:spPr bwMode="auto">
        <a:xfrm>
          <a:off x="6560820" y="2552700"/>
          <a:ext cx="1485900" cy="7086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4</xdr:col>
      <xdr:colOff>160020</xdr:colOff>
      <xdr:row>13</xdr:row>
      <xdr:rowOff>160020</xdr:rowOff>
    </xdr:from>
    <xdr:to>
      <xdr:col>6</xdr:col>
      <xdr:colOff>205740</xdr:colOff>
      <xdr:row>18</xdr:row>
      <xdr:rowOff>30480</xdr:rowOff>
    </xdr:to>
    <xdr:sp macro="" textlink="">
      <xdr:nvSpPr>
        <xdr:cNvPr id="64519" name="AutoShape 7"/>
        <xdr:cNvSpPr>
          <a:spLocks noChangeAspect="1" noChangeArrowheads="1"/>
        </xdr:cNvSpPr>
      </xdr:nvSpPr>
      <xdr:spPr bwMode="auto">
        <a:xfrm>
          <a:off x="2659380" y="2552700"/>
          <a:ext cx="1295400" cy="7086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7</xdr:col>
      <xdr:colOff>312420</xdr:colOff>
      <xdr:row>7</xdr:row>
      <xdr:rowOff>60960</xdr:rowOff>
    </xdr:from>
    <xdr:to>
      <xdr:col>9</xdr:col>
      <xdr:colOff>312420</xdr:colOff>
      <xdr:row>11</xdr:row>
      <xdr:rowOff>160020</xdr:rowOff>
    </xdr:to>
    <xdr:sp macro="" textlink="">
      <xdr:nvSpPr>
        <xdr:cNvPr id="64520" name="AutoShape 8"/>
        <xdr:cNvSpPr>
          <a:spLocks noChangeArrowheads="1"/>
        </xdr:cNvSpPr>
      </xdr:nvSpPr>
      <xdr:spPr bwMode="auto">
        <a:xfrm>
          <a:off x="4686300" y="1447800"/>
          <a:ext cx="1249680" cy="7696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000000"/>
            </a:solidFill>
            <a:latin typeface="Arial"/>
            <a:cs typeface="Arial"/>
          </a:endParaRPr>
        </a:p>
        <a:p>
          <a:pPr algn="l" rtl="0">
            <a:lnSpc>
              <a:spcPts val="1300"/>
            </a:lnSpc>
            <a:defRPr sz="1000"/>
          </a:pPr>
          <a:endParaRPr lang="en-US" sz="1200" b="0" i="0" u="none" strike="noStrike" baseline="0">
            <a:solidFill>
              <a:srgbClr val="000000"/>
            </a:solidFill>
            <a:latin typeface="Arial"/>
            <a:cs typeface="Arial"/>
          </a:endParaRPr>
        </a:p>
      </xdr:txBody>
    </xdr:sp>
    <xdr:clientData/>
  </xdr:twoCellAnchor>
  <xdr:twoCellAnchor>
    <xdr:from>
      <xdr:col>6</xdr:col>
      <xdr:colOff>533400</xdr:colOff>
      <xdr:row>27</xdr:row>
      <xdr:rowOff>38100</xdr:rowOff>
    </xdr:from>
    <xdr:to>
      <xdr:col>8</xdr:col>
      <xdr:colOff>220980</xdr:colOff>
      <xdr:row>32</xdr:row>
      <xdr:rowOff>45720</xdr:rowOff>
    </xdr:to>
    <xdr:sp macro="" textlink="">
      <xdr:nvSpPr>
        <xdr:cNvPr id="64521" name="AutoShape 9"/>
        <xdr:cNvSpPr>
          <a:spLocks noChangeArrowheads="1"/>
        </xdr:cNvSpPr>
      </xdr:nvSpPr>
      <xdr:spPr bwMode="auto">
        <a:xfrm>
          <a:off x="4282440" y="4777740"/>
          <a:ext cx="937260" cy="8458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Jan Haizmann</a:t>
          </a:r>
        </a:p>
        <a:p>
          <a:pPr algn="l" rtl="0">
            <a:lnSpc>
              <a:spcPts val="900"/>
            </a:lnSpc>
            <a:defRPr sz="1000"/>
          </a:pPr>
          <a:r>
            <a:rPr lang="en-US" sz="1000" b="0" i="0" u="none" strike="noStrike" baseline="0">
              <a:solidFill>
                <a:srgbClr val="000000"/>
              </a:solidFill>
              <a:latin typeface="Arial"/>
              <a:cs typeface="Arial"/>
            </a:rPr>
            <a:t>Director 0.5 (EBS)</a:t>
          </a:r>
        </a:p>
        <a:p>
          <a:pPr algn="l" rtl="0">
            <a:lnSpc>
              <a:spcPts val="1000"/>
            </a:lnSpc>
            <a:defRPr sz="1000"/>
          </a:pPr>
          <a:r>
            <a:rPr lang="en-US" sz="1000" b="0" i="0" u="none" strike="noStrike" baseline="0">
              <a:solidFill>
                <a:srgbClr val="000000"/>
              </a:solidFill>
              <a:latin typeface="Arial"/>
              <a:cs typeface="Arial"/>
            </a:rPr>
            <a:t>EBS</a:t>
          </a:r>
        </a:p>
        <a:p>
          <a:pPr algn="l" rtl="0">
            <a:lnSpc>
              <a:spcPts val="10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1</xdr:col>
      <xdr:colOff>7620</xdr:colOff>
      <xdr:row>28</xdr:row>
      <xdr:rowOff>7620</xdr:rowOff>
    </xdr:from>
    <xdr:to>
      <xdr:col>2</xdr:col>
      <xdr:colOff>594360</xdr:colOff>
      <xdr:row>33</xdr:row>
      <xdr:rowOff>30480</xdr:rowOff>
    </xdr:to>
    <xdr:sp macro="" textlink="">
      <xdr:nvSpPr>
        <xdr:cNvPr id="64522" name="AutoShape 10"/>
        <xdr:cNvSpPr>
          <a:spLocks noChangeArrowheads="1"/>
        </xdr:cNvSpPr>
      </xdr:nvSpPr>
      <xdr:spPr bwMode="auto">
        <a:xfrm>
          <a:off x="632460" y="4914900"/>
          <a:ext cx="1211580" cy="8610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Andreas</a:t>
          </a:r>
        </a:p>
        <a:p>
          <a:pPr algn="l" rtl="0">
            <a:lnSpc>
              <a:spcPts val="900"/>
            </a:lnSpc>
            <a:defRPr sz="1000"/>
          </a:pPr>
          <a:r>
            <a:rPr lang="en-US" sz="1000" b="0" i="0" u="none" strike="noStrike" baseline="0">
              <a:solidFill>
                <a:srgbClr val="000000"/>
              </a:solidFill>
              <a:latin typeface="Arial"/>
              <a:cs typeface="Arial"/>
            </a:rPr>
            <a:t>Wagner</a:t>
          </a:r>
        </a:p>
        <a:p>
          <a:pPr algn="l" rtl="0">
            <a:lnSpc>
              <a:spcPts val="900"/>
            </a:lnSpc>
            <a:defRPr sz="1000"/>
          </a:pPr>
          <a:r>
            <a:rPr lang="en-US" sz="1000" b="0" i="0" u="none" strike="noStrike" baseline="0">
              <a:solidFill>
                <a:srgbClr val="000000"/>
              </a:solidFill>
              <a:latin typeface="Arial"/>
              <a:cs typeface="Arial"/>
            </a:rPr>
            <a:t>EWC </a:t>
          </a:r>
          <a:r>
            <a:rPr lang="en-US" sz="1000" b="1" i="0" u="none" strike="noStrike" baseline="0">
              <a:solidFill>
                <a:srgbClr val="000000"/>
              </a:solidFill>
              <a:latin typeface="Arial"/>
              <a:cs typeface="Arial"/>
            </a:rPr>
            <a:t>(NOT IN HEADCOUNT)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(Germany)</a:t>
          </a: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12</xdr:col>
      <xdr:colOff>167640</xdr:colOff>
      <xdr:row>28</xdr:row>
      <xdr:rowOff>7620</xdr:rowOff>
    </xdr:from>
    <xdr:to>
      <xdr:col>13</xdr:col>
      <xdr:colOff>480060</xdr:colOff>
      <xdr:row>31</xdr:row>
      <xdr:rowOff>137160</xdr:rowOff>
    </xdr:to>
    <xdr:sp macro="" textlink="">
      <xdr:nvSpPr>
        <xdr:cNvPr id="64523" name="AutoShape 11"/>
        <xdr:cNvSpPr>
          <a:spLocks noChangeArrowheads="1"/>
        </xdr:cNvSpPr>
      </xdr:nvSpPr>
      <xdr:spPr bwMode="auto">
        <a:xfrm>
          <a:off x="7665720" y="491490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Nailia Dindarova</a:t>
          </a:r>
        </a:p>
        <a:p>
          <a:pPr algn="l" rtl="0">
            <a:defRPr sz="1000"/>
          </a:pPr>
          <a:r>
            <a:rPr lang="en-US" sz="1000" b="0" i="0" u="none" strike="noStrike" baseline="0">
              <a:solidFill>
                <a:srgbClr val="000000"/>
              </a:solidFill>
              <a:latin typeface="Arial"/>
              <a:cs typeface="Arial"/>
            </a:rPr>
            <a:t>Co-Ordinator</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289560</xdr:colOff>
      <xdr:row>28</xdr:row>
      <xdr:rowOff>7620</xdr:rowOff>
    </xdr:from>
    <xdr:to>
      <xdr:col>11</xdr:col>
      <xdr:colOff>601980</xdr:colOff>
      <xdr:row>31</xdr:row>
      <xdr:rowOff>137160</xdr:rowOff>
    </xdr:to>
    <xdr:sp macro="" textlink="">
      <xdr:nvSpPr>
        <xdr:cNvPr id="64524" name="AutoShape 12"/>
        <xdr:cNvSpPr>
          <a:spLocks noChangeArrowheads="1"/>
        </xdr:cNvSpPr>
      </xdr:nvSpPr>
      <xdr:spPr bwMode="auto">
        <a:xfrm>
          <a:off x="6537960" y="491490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Teun van Biert</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(Netherlands)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472440</xdr:colOff>
      <xdr:row>28</xdr:row>
      <xdr:rowOff>7620</xdr:rowOff>
    </xdr:from>
    <xdr:to>
      <xdr:col>10</xdr:col>
      <xdr:colOff>236220</xdr:colOff>
      <xdr:row>33</xdr:row>
      <xdr:rowOff>0</xdr:rowOff>
    </xdr:to>
    <xdr:sp macro="" textlink="">
      <xdr:nvSpPr>
        <xdr:cNvPr id="64525" name="AutoShape 13"/>
        <xdr:cNvSpPr>
          <a:spLocks noChangeAspect="1" noChangeArrowheads="1"/>
        </xdr:cNvSpPr>
      </xdr:nvSpPr>
      <xdr:spPr bwMode="auto">
        <a:xfrm>
          <a:off x="5471160" y="4914900"/>
          <a:ext cx="1013460" cy="83058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Bruno Gaillard</a:t>
          </a:r>
        </a:p>
        <a:p>
          <a:pPr algn="l" rtl="0">
            <a:defRPr sz="1000"/>
          </a:pPr>
          <a:r>
            <a:rPr lang="en-US" sz="1000" b="0" i="0" u="none" strike="noStrike" baseline="0">
              <a:solidFill>
                <a:srgbClr val="000000"/>
              </a:solidFill>
              <a:latin typeface="Arial"/>
              <a:cs typeface="Arial"/>
            </a:rPr>
            <a:t>Regulatory</a:t>
          </a:r>
        </a:p>
        <a:p>
          <a:pPr algn="l" rtl="0">
            <a:defRPr sz="1000"/>
          </a:pPr>
          <a:r>
            <a:rPr lang="en-US" sz="1000" b="0" i="0" u="none" strike="noStrike" baseline="0">
              <a:solidFill>
                <a:srgbClr val="000000"/>
              </a:solidFill>
              <a:latin typeface="Arial"/>
              <a:cs typeface="Arial"/>
            </a:rPr>
            <a:t>Specialist</a:t>
          </a:r>
        </a:p>
        <a:p>
          <a:pPr algn="l" rtl="0">
            <a:defRPr sz="1000"/>
          </a:pPr>
          <a:r>
            <a:rPr lang="en-US" sz="1000" b="0" i="0" u="none" strike="noStrike" baseline="0">
              <a:solidFill>
                <a:srgbClr val="000000"/>
              </a:solidFill>
              <a:latin typeface="Arial"/>
              <a:cs typeface="Arial"/>
            </a:rPr>
            <a:t>France, Belgium</a:t>
          </a:r>
          <a:r>
            <a:rPr lang="en-US" sz="1200" b="0" i="0" u="none" strike="noStrike" baseline="0">
              <a:solidFill>
                <a:srgbClr val="000000"/>
              </a:solidFill>
              <a:latin typeface="Arial"/>
              <a:cs typeface="Arial"/>
            </a:rPr>
            <a:t> </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13</xdr:col>
      <xdr:colOff>617220</xdr:colOff>
      <xdr:row>28</xdr:row>
      <xdr:rowOff>30480</xdr:rowOff>
    </xdr:from>
    <xdr:to>
      <xdr:col>16</xdr:col>
      <xdr:colOff>236220</xdr:colOff>
      <xdr:row>35</xdr:row>
      <xdr:rowOff>38100</xdr:rowOff>
    </xdr:to>
    <xdr:sp macro="" textlink="">
      <xdr:nvSpPr>
        <xdr:cNvPr id="64526" name="AutoShape 14"/>
        <xdr:cNvSpPr>
          <a:spLocks noChangeArrowheads="1"/>
        </xdr:cNvSpPr>
      </xdr:nvSpPr>
      <xdr:spPr bwMode="auto">
        <a:xfrm>
          <a:off x="8740140" y="4937760"/>
          <a:ext cx="1493520" cy="1181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Brendan Devlin</a:t>
          </a:r>
        </a:p>
        <a:p>
          <a:pPr algn="l" rtl="0">
            <a:defRPr sz="1000"/>
          </a:pPr>
          <a:r>
            <a:rPr lang="en-US" sz="1000" b="0" i="0" u="none" strike="noStrike" baseline="0">
              <a:solidFill>
                <a:srgbClr val="000000"/>
              </a:solidFill>
              <a:latin typeface="Arial"/>
              <a:cs typeface="Arial"/>
            </a:rPr>
            <a:t>Director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leaves 31 Aug</a:t>
          </a:r>
        </a:p>
        <a:p>
          <a:pPr algn="l" rtl="0">
            <a:defRPr sz="1000"/>
          </a:pPr>
          <a:r>
            <a:rPr lang="en-US" sz="1000" b="1" i="0" u="none" strike="noStrike" baseline="0">
              <a:solidFill>
                <a:srgbClr val="000000"/>
              </a:solidFill>
              <a:latin typeface="Arial"/>
              <a:cs typeface="Arial"/>
            </a:rPr>
            <a:t>(not to be replaced in this role)</a:t>
          </a:r>
        </a:p>
      </xdr:txBody>
    </xdr:sp>
    <xdr:clientData/>
  </xdr:twoCellAnchor>
  <xdr:twoCellAnchor>
    <xdr:from>
      <xdr:col>8</xdr:col>
      <xdr:colOff>312420</xdr:colOff>
      <xdr:row>11</xdr:row>
      <xdr:rowOff>160020</xdr:rowOff>
    </xdr:from>
    <xdr:to>
      <xdr:col>11</xdr:col>
      <xdr:colOff>426720</xdr:colOff>
      <xdr:row>13</xdr:row>
      <xdr:rowOff>160020</xdr:rowOff>
    </xdr:to>
    <xdr:cxnSp macro="">
      <xdr:nvCxnSpPr>
        <xdr:cNvPr id="64527" name="AutoShape 15"/>
        <xdr:cNvCxnSpPr>
          <a:cxnSpLocks noChangeShapeType="1"/>
          <a:stCxn id="64520" idx="2"/>
          <a:endCxn id="64518" idx="0"/>
        </xdr:cNvCxnSpPr>
      </xdr:nvCxnSpPr>
      <xdr:spPr bwMode="auto">
        <a:xfrm rot="16200000" flipH="1">
          <a:off x="6137910" y="1390650"/>
          <a:ext cx="335280" cy="198882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175260</xdr:colOff>
      <xdr:row>11</xdr:row>
      <xdr:rowOff>160020</xdr:rowOff>
    </xdr:from>
    <xdr:to>
      <xdr:col>8</xdr:col>
      <xdr:colOff>312420</xdr:colOff>
      <xdr:row>13</xdr:row>
      <xdr:rowOff>160020</xdr:rowOff>
    </xdr:to>
    <xdr:cxnSp macro="">
      <xdr:nvCxnSpPr>
        <xdr:cNvPr id="64528" name="AutoShape 16"/>
        <xdr:cNvCxnSpPr>
          <a:cxnSpLocks noChangeShapeType="1"/>
          <a:stCxn id="64520" idx="2"/>
          <a:endCxn id="64519" idx="0"/>
        </xdr:cNvCxnSpPr>
      </xdr:nvCxnSpPr>
      <xdr:spPr bwMode="auto">
        <a:xfrm rot="5400000">
          <a:off x="4137660" y="1379220"/>
          <a:ext cx="335280" cy="201168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617220</xdr:colOff>
      <xdr:row>18</xdr:row>
      <xdr:rowOff>30480</xdr:rowOff>
    </xdr:from>
    <xdr:to>
      <xdr:col>5</xdr:col>
      <xdr:colOff>182880</xdr:colOff>
      <xdr:row>28</xdr:row>
      <xdr:rowOff>7620</xdr:rowOff>
    </xdr:to>
    <xdr:cxnSp macro="">
      <xdr:nvCxnSpPr>
        <xdr:cNvPr id="64529" name="AutoShape 17"/>
        <xdr:cNvCxnSpPr>
          <a:cxnSpLocks noChangeShapeType="1"/>
          <a:stCxn id="64519" idx="2"/>
          <a:endCxn id="64522" idx="0"/>
        </xdr:cNvCxnSpPr>
      </xdr:nvCxnSpPr>
      <xdr:spPr bwMode="auto">
        <a:xfrm rot="5400000">
          <a:off x="1447800" y="3055620"/>
          <a:ext cx="1653540" cy="2065020"/>
        </a:xfrm>
        <a:prstGeom prst="bentConnector3">
          <a:avLst>
            <a:gd name="adj1" fmla="val 50000"/>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7620</xdr:colOff>
      <xdr:row>18</xdr:row>
      <xdr:rowOff>30480</xdr:rowOff>
    </xdr:from>
    <xdr:to>
      <xdr:col>5</xdr:col>
      <xdr:colOff>182880</xdr:colOff>
      <xdr:row>28</xdr:row>
      <xdr:rowOff>7620</xdr:rowOff>
    </xdr:to>
    <xdr:cxnSp macro="">
      <xdr:nvCxnSpPr>
        <xdr:cNvPr id="64530" name="AutoShape 18"/>
        <xdr:cNvCxnSpPr>
          <a:cxnSpLocks noChangeShapeType="1"/>
          <a:stCxn id="64519" idx="2"/>
          <a:endCxn id="64517" idx="0"/>
        </xdr:cNvCxnSpPr>
      </xdr:nvCxnSpPr>
      <xdr:spPr bwMode="auto">
        <a:xfrm rot="5400000">
          <a:off x="2080260" y="3688080"/>
          <a:ext cx="1653540" cy="8001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175260</xdr:colOff>
      <xdr:row>18</xdr:row>
      <xdr:rowOff>30480</xdr:rowOff>
    </xdr:from>
    <xdr:to>
      <xdr:col>5</xdr:col>
      <xdr:colOff>510540</xdr:colOff>
      <xdr:row>28</xdr:row>
      <xdr:rowOff>7620</xdr:rowOff>
    </xdr:to>
    <xdr:cxnSp macro="">
      <xdr:nvCxnSpPr>
        <xdr:cNvPr id="64531" name="AutoShape 19"/>
        <xdr:cNvCxnSpPr>
          <a:cxnSpLocks noChangeShapeType="1"/>
          <a:stCxn id="64519" idx="2"/>
          <a:endCxn id="64516" idx="0"/>
        </xdr:cNvCxnSpPr>
      </xdr:nvCxnSpPr>
      <xdr:spPr bwMode="auto">
        <a:xfrm rot="16200000" flipH="1">
          <a:off x="2640330" y="3920490"/>
          <a:ext cx="1653540" cy="33528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350520</xdr:colOff>
      <xdr:row>18</xdr:row>
      <xdr:rowOff>30480</xdr:rowOff>
    </xdr:from>
    <xdr:to>
      <xdr:col>11</xdr:col>
      <xdr:colOff>426720</xdr:colOff>
      <xdr:row>28</xdr:row>
      <xdr:rowOff>7620</xdr:rowOff>
    </xdr:to>
    <xdr:cxnSp macro="">
      <xdr:nvCxnSpPr>
        <xdr:cNvPr id="64532" name="AutoShape 20"/>
        <xdr:cNvCxnSpPr>
          <a:cxnSpLocks noChangeShapeType="1"/>
          <a:stCxn id="64518" idx="2"/>
          <a:endCxn id="64525" idx="0"/>
        </xdr:cNvCxnSpPr>
      </xdr:nvCxnSpPr>
      <xdr:spPr bwMode="auto">
        <a:xfrm rot="5400000">
          <a:off x="5810250" y="3425190"/>
          <a:ext cx="1653540" cy="132588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137160</xdr:colOff>
      <xdr:row>18</xdr:row>
      <xdr:rowOff>30480</xdr:rowOff>
    </xdr:from>
    <xdr:to>
      <xdr:col>11</xdr:col>
      <xdr:colOff>426720</xdr:colOff>
      <xdr:row>28</xdr:row>
      <xdr:rowOff>7620</xdr:rowOff>
    </xdr:to>
    <xdr:cxnSp macro="">
      <xdr:nvCxnSpPr>
        <xdr:cNvPr id="64533" name="AutoShape 21"/>
        <xdr:cNvCxnSpPr>
          <a:cxnSpLocks noChangeShapeType="1"/>
          <a:stCxn id="64518" idx="2"/>
          <a:endCxn id="64524" idx="0"/>
        </xdr:cNvCxnSpPr>
      </xdr:nvCxnSpPr>
      <xdr:spPr bwMode="auto">
        <a:xfrm rot="5400000">
          <a:off x="6328410" y="3943350"/>
          <a:ext cx="1653540" cy="28956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426720</xdr:colOff>
      <xdr:row>18</xdr:row>
      <xdr:rowOff>30480</xdr:rowOff>
    </xdr:from>
    <xdr:to>
      <xdr:col>13</xdr:col>
      <xdr:colOff>7620</xdr:colOff>
      <xdr:row>28</xdr:row>
      <xdr:rowOff>7620</xdr:rowOff>
    </xdr:to>
    <xdr:cxnSp macro="">
      <xdr:nvCxnSpPr>
        <xdr:cNvPr id="64534" name="AutoShape 22"/>
        <xdr:cNvCxnSpPr>
          <a:cxnSpLocks noChangeShapeType="1"/>
          <a:stCxn id="64518" idx="2"/>
          <a:endCxn id="64523" idx="0"/>
        </xdr:cNvCxnSpPr>
      </xdr:nvCxnSpPr>
      <xdr:spPr bwMode="auto">
        <a:xfrm rot="16200000" flipH="1">
          <a:off x="6888480" y="3672840"/>
          <a:ext cx="1653540" cy="83058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426720</xdr:colOff>
      <xdr:row>18</xdr:row>
      <xdr:rowOff>30480</xdr:rowOff>
    </xdr:from>
    <xdr:to>
      <xdr:col>15</xdr:col>
      <xdr:colOff>114300</xdr:colOff>
      <xdr:row>28</xdr:row>
      <xdr:rowOff>30480</xdr:rowOff>
    </xdr:to>
    <xdr:cxnSp macro="">
      <xdr:nvCxnSpPr>
        <xdr:cNvPr id="64535" name="AutoShape 23"/>
        <xdr:cNvCxnSpPr>
          <a:cxnSpLocks noChangeShapeType="1"/>
          <a:stCxn id="64518" idx="2"/>
          <a:endCxn id="64526" idx="0"/>
        </xdr:cNvCxnSpPr>
      </xdr:nvCxnSpPr>
      <xdr:spPr bwMode="auto">
        <a:xfrm rot="16200000" flipH="1">
          <a:off x="7555230" y="3006090"/>
          <a:ext cx="1676400" cy="218694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236220</xdr:colOff>
      <xdr:row>18</xdr:row>
      <xdr:rowOff>106680</xdr:rowOff>
    </xdr:from>
    <xdr:to>
      <xdr:col>4</xdr:col>
      <xdr:colOff>548640</xdr:colOff>
      <xdr:row>22</xdr:row>
      <xdr:rowOff>68580</xdr:rowOff>
    </xdr:to>
    <xdr:sp macro="" textlink="">
      <xdr:nvSpPr>
        <xdr:cNvPr id="64536" name="AutoShape 24"/>
        <xdr:cNvSpPr>
          <a:spLocks noChangeArrowheads="1"/>
        </xdr:cNvSpPr>
      </xdr:nvSpPr>
      <xdr:spPr bwMode="auto">
        <a:xfrm>
          <a:off x="2110740" y="333756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12</xdr:col>
      <xdr:colOff>160020</xdr:colOff>
      <xdr:row>18</xdr:row>
      <xdr:rowOff>106680</xdr:rowOff>
    </xdr:from>
    <xdr:to>
      <xdr:col>13</xdr:col>
      <xdr:colOff>472440</xdr:colOff>
      <xdr:row>22</xdr:row>
      <xdr:rowOff>68580</xdr:rowOff>
    </xdr:to>
    <xdr:sp macro="" textlink="">
      <xdr:nvSpPr>
        <xdr:cNvPr id="64537" name="AutoShape 25"/>
        <xdr:cNvSpPr>
          <a:spLocks noChangeArrowheads="1"/>
        </xdr:cNvSpPr>
      </xdr:nvSpPr>
      <xdr:spPr bwMode="auto">
        <a:xfrm>
          <a:off x="7658100" y="333756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6</xdr:col>
      <xdr:colOff>205740</xdr:colOff>
      <xdr:row>16</xdr:row>
      <xdr:rowOff>7620</xdr:rowOff>
    </xdr:from>
    <xdr:to>
      <xdr:col>7</xdr:col>
      <xdr:colOff>381000</xdr:colOff>
      <xdr:row>27</xdr:row>
      <xdr:rowOff>38100</xdr:rowOff>
    </xdr:to>
    <xdr:cxnSp macro="">
      <xdr:nvCxnSpPr>
        <xdr:cNvPr id="64538" name="AutoShape 26"/>
        <xdr:cNvCxnSpPr>
          <a:cxnSpLocks noChangeShapeType="1"/>
          <a:stCxn id="64519" idx="3"/>
          <a:endCxn id="64521" idx="0"/>
        </xdr:cNvCxnSpPr>
      </xdr:nvCxnSpPr>
      <xdr:spPr bwMode="auto">
        <a:xfrm>
          <a:off x="3954780" y="2903220"/>
          <a:ext cx="800100" cy="1874520"/>
        </a:xfrm>
        <a:prstGeom prst="bentConnector2">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548640</xdr:colOff>
      <xdr:row>20</xdr:row>
      <xdr:rowOff>7620</xdr:rowOff>
    </xdr:from>
    <xdr:to>
      <xdr:col>4</xdr:col>
      <xdr:colOff>548640</xdr:colOff>
      <xdr:row>20</xdr:row>
      <xdr:rowOff>7620</xdr:rowOff>
    </xdr:to>
    <xdr:sp macro="" textlink="">
      <xdr:nvSpPr>
        <xdr:cNvPr id="64539" name="Line 27"/>
        <xdr:cNvSpPr>
          <a:spLocks noChangeShapeType="1"/>
        </xdr:cNvSpPr>
      </xdr:nvSpPr>
      <xdr:spPr bwMode="auto">
        <a:xfrm>
          <a:off x="3048000" y="3573780"/>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548640</xdr:colOff>
      <xdr:row>20</xdr:row>
      <xdr:rowOff>7620</xdr:rowOff>
    </xdr:from>
    <xdr:to>
      <xdr:col>5</xdr:col>
      <xdr:colOff>160020</xdr:colOff>
      <xdr:row>20</xdr:row>
      <xdr:rowOff>7620</xdr:rowOff>
    </xdr:to>
    <xdr:sp macro="" textlink="">
      <xdr:nvSpPr>
        <xdr:cNvPr id="64540" name="Line 28"/>
        <xdr:cNvSpPr>
          <a:spLocks noChangeShapeType="1"/>
        </xdr:cNvSpPr>
      </xdr:nvSpPr>
      <xdr:spPr bwMode="auto">
        <a:xfrm>
          <a:off x="3048000" y="3573780"/>
          <a:ext cx="23622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33</xdr:row>
      <xdr:rowOff>121920</xdr:rowOff>
    </xdr:from>
    <xdr:to>
      <xdr:col>6</xdr:col>
      <xdr:colOff>312420</xdr:colOff>
      <xdr:row>37</xdr:row>
      <xdr:rowOff>76200</xdr:rowOff>
    </xdr:to>
    <xdr:sp macro="" textlink="">
      <xdr:nvSpPr>
        <xdr:cNvPr id="64541" name="AutoShape 29"/>
        <xdr:cNvSpPr>
          <a:spLocks noChangeArrowheads="1"/>
        </xdr:cNvSpPr>
      </xdr:nvSpPr>
      <xdr:spPr bwMode="auto">
        <a:xfrm>
          <a:off x="3124200" y="5867400"/>
          <a:ext cx="937260" cy="62484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Viviana Florio</a:t>
          </a:r>
        </a:p>
        <a:p>
          <a:pPr algn="l" rtl="0">
            <a:defRPr sz="1000"/>
          </a:pPr>
          <a:r>
            <a:rPr lang="en-US" sz="1000" b="0" i="0" u="none" strike="noStrike" baseline="0">
              <a:solidFill>
                <a:srgbClr val="000000"/>
              </a:solidFill>
              <a:latin typeface="Arial"/>
              <a:cs typeface="Arial"/>
            </a:rPr>
            <a:t>Research</a:t>
          </a:r>
        </a:p>
        <a:p>
          <a:pPr algn="l" rtl="0">
            <a:defRPr sz="1000"/>
          </a:pPr>
          <a:r>
            <a:rPr lang="en-US" sz="1000" b="0" i="0" u="none" strike="noStrike" baseline="0">
              <a:solidFill>
                <a:srgbClr val="000000"/>
              </a:solidFill>
              <a:latin typeface="Arial"/>
              <a:cs typeface="Arial"/>
            </a:rPr>
            <a:t>(Frankfurt)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472440</xdr:colOff>
      <xdr:row>33</xdr:row>
      <xdr:rowOff>121920</xdr:rowOff>
    </xdr:from>
    <xdr:to>
      <xdr:col>10</xdr:col>
      <xdr:colOff>160020</xdr:colOff>
      <xdr:row>38</xdr:row>
      <xdr:rowOff>76200</xdr:rowOff>
    </xdr:to>
    <xdr:sp macro="" textlink="">
      <xdr:nvSpPr>
        <xdr:cNvPr id="64542" name="AutoShape 30"/>
        <xdr:cNvSpPr>
          <a:spLocks noChangeArrowheads="1"/>
        </xdr:cNvSpPr>
      </xdr:nvSpPr>
      <xdr:spPr bwMode="auto">
        <a:xfrm>
          <a:off x="5471160" y="5867400"/>
          <a:ext cx="937260" cy="79248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548640</xdr:colOff>
      <xdr:row>33</xdr:row>
      <xdr:rowOff>121920</xdr:rowOff>
    </xdr:from>
    <xdr:to>
      <xdr:col>8</xdr:col>
      <xdr:colOff>403860</xdr:colOff>
      <xdr:row>38</xdr:row>
      <xdr:rowOff>144780</xdr:rowOff>
    </xdr:to>
    <xdr:sp macro="" textlink="">
      <xdr:nvSpPr>
        <xdr:cNvPr id="64543" name="AutoShape 31"/>
        <xdr:cNvSpPr>
          <a:spLocks noChangeAspect="1" noChangeArrowheads="1"/>
        </xdr:cNvSpPr>
      </xdr:nvSpPr>
      <xdr:spPr bwMode="auto">
        <a:xfrm>
          <a:off x="4297680" y="5867400"/>
          <a:ext cx="1104900" cy="8610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Xi Xi Senior Reg Specialist</a:t>
          </a:r>
        </a:p>
        <a:p>
          <a:pPr algn="l" rtl="0">
            <a:lnSpc>
              <a:spcPts val="1100"/>
            </a:lnSpc>
            <a:defRPr sz="1000"/>
          </a:pPr>
          <a:r>
            <a:rPr lang="en-US" sz="1000" b="0" i="0" u="none" strike="noStrike" baseline="0">
              <a:solidFill>
                <a:srgbClr val="000000"/>
              </a:solidFill>
              <a:latin typeface="Arial"/>
              <a:cs typeface="Arial"/>
            </a:rPr>
            <a:t>EBS</a:t>
          </a:r>
          <a:r>
            <a:rPr lang="en-US" sz="1000" b="1" i="0" u="none" strike="noStrike" baseline="0">
              <a:solidFill>
                <a:srgbClr val="000000"/>
              </a:solidFill>
              <a:latin typeface="Arial"/>
              <a:cs typeface="Arial"/>
            </a:rPr>
            <a:t> (NOT IN HEADCOUNT)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5</xdr:col>
      <xdr:colOff>472440</xdr:colOff>
      <xdr:row>31</xdr:row>
      <xdr:rowOff>137160</xdr:rowOff>
    </xdr:from>
    <xdr:to>
      <xdr:col>5</xdr:col>
      <xdr:colOff>472440</xdr:colOff>
      <xdr:row>33</xdr:row>
      <xdr:rowOff>121920</xdr:rowOff>
    </xdr:to>
    <xdr:sp macro="" textlink="">
      <xdr:nvSpPr>
        <xdr:cNvPr id="64544" name="Line 32"/>
        <xdr:cNvSpPr>
          <a:spLocks noChangeShapeType="1"/>
        </xdr:cNvSpPr>
      </xdr:nvSpPr>
      <xdr:spPr bwMode="auto">
        <a:xfrm>
          <a:off x="3596640" y="5547360"/>
          <a:ext cx="0" cy="32004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160020</xdr:colOff>
      <xdr:row>16</xdr:row>
      <xdr:rowOff>7620</xdr:rowOff>
    </xdr:from>
    <xdr:to>
      <xdr:col>10</xdr:col>
      <xdr:colOff>312420</xdr:colOff>
      <xdr:row>16</xdr:row>
      <xdr:rowOff>7620</xdr:rowOff>
    </xdr:to>
    <xdr:cxnSp macro="">
      <xdr:nvCxnSpPr>
        <xdr:cNvPr id="64545" name="AutoShape 33"/>
        <xdr:cNvCxnSpPr>
          <a:cxnSpLocks noChangeShapeType="1"/>
          <a:stCxn id="64518" idx="1"/>
        </xdr:cNvCxnSpPr>
      </xdr:nvCxnSpPr>
      <xdr:spPr bwMode="auto">
        <a:xfrm rot="10800000">
          <a:off x="4533900" y="2903220"/>
          <a:ext cx="2026920" cy="0"/>
        </a:xfrm>
        <a:prstGeom prst="straightConnector1">
          <a:avLst/>
        </a:prstGeom>
        <a:noFill/>
        <a:ln w="9525">
          <a:solidFill>
            <a:srgbClr val="000000"/>
          </a:solidFill>
          <a:prstDash val="lg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472440</xdr:colOff>
      <xdr:row>20</xdr:row>
      <xdr:rowOff>7620</xdr:rowOff>
    </xdr:from>
    <xdr:to>
      <xdr:col>12</xdr:col>
      <xdr:colOff>160020</xdr:colOff>
      <xdr:row>20</xdr:row>
      <xdr:rowOff>7620</xdr:rowOff>
    </xdr:to>
    <xdr:sp macro="" textlink="">
      <xdr:nvSpPr>
        <xdr:cNvPr id="64546" name="Line 34"/>
        <xdr:cNvSpPr>
          <a:spLocks noChangeShapeType="1"/>
        </xdr:cNvSpPr>
      </xdr:nvSpPr>
      <xdr:spPr bwMode="auto">
        <a:xfrm flipH="1">
          <a:off x="7345680" y="3573780"/>
          <a:ext cx="31242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7</xdr:col>
      <xdr:colOff>289560</xdr:colOff>
      <xdr:row>8</xdr:row>
      <xdr:rowOff>7620</xdr:rowOff>
    </xdr:from>
    <xdr:ext cx="1057084" cy="800476"/>
    <xdr:sp macro="" textlink="">
      <xdr:nvSpPr>
        <xdr:cNvPr id="64547" name="Text Box 35"/>
        <xdr:cNvSpPr txBox="1">
          <a:spLocks noChangeArrowheads="1"/>
        </xdr:cNvSpPr>
      </xdr:nvSpPr>
      <xdr:spPr bwMode="auto">
        <a:xfrm>
          <a:off x="4663440" y="1562100"/>
          <a:ext cx="1057084" cy="80047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200" b="0" i="0" u="none" strike="noStrike" baseline="0">
              <a:solidFill>
                <a:srgbClr val="000000"/>
              </a:solidFill>
              <a:latin typeface="Arial"/>
              <a:cs typeface="Arial"/>
            </a:rPr>
            <a:t>Eric Shaw</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oneCellAnchor>
  <xdr:oneCellAnchor>
    <xdr:from>
      <xdr:col>4</xdr:col>
      <xdr:colOff>160020</xdr:colOff>
      <xdr:row>13</xdr:row>
      <xdr:rowOff>137160</xdr:rowOff>
    </xdr:from>
    <xdr:ext cx="1210973" cy="829714"/>
    <xdr:sp macro="" textlink="">
      <xdr:nvSpPr>
        <xdr:cNvPr id="64548" name="Text Box 36"/>
        <xdr:cNvSpPr txBox="1">
          <a:spLocks noChangeArrowheads="1"/>
        </xdr:cNvSpPr>
      </xdr:nvSpPr>
      <xdr:spPr bwMode="auto">
        <a:xfrm>
          <a:off x="2659380" y="2529840"/>
          <a:ext cx="1210973" cy="82971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Paul Hennemeyer</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Germany, Austria</a:t>
          </a:r>
        </a:p>
        <a:p>
          <a:pPr algn="l" rtl="0">
            <a:defRPr sz="1000"/>
          </a:pPr>
          <a:r>
            <a:rPr lang="en-US" sz="1000" b="0" i="0" u="none" strike="noStrike" baseline="0">
              <a:solidFill>
                <a:srgbClr val="000000"/>
              </a:solidFill>
              <a:latin typeface="Arial"/>
              <a:cs typeface="Arial"/>
            </a:rPr>
            <a:t>Switzerland</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160020</xdr:colOff>
      <xdr:row>13</xdr:row>
      <xdr:rowOff>160020</xdr:rowOff>
    </xdr:from>
    <xdr:to>
      <xdr:col>13</xdr:col>
      <xdr:colOff>76200</xdr:colOff>
      <xdr:row>20</xdr:row>
      <xdr:rowOff>22860</xdr:rowOff>
    </xdr:to>
    <xdr:sp macro="" textlink="">
      <xdr:nvSpPr>
        <xdr:cNvPr id="64549" name="Text Box 37"/>
        <xdr:cNvSpPr txBox="1">
          <a:spLocks noChangeAspect="1" noChangeArrowheads="1"/>
        </xdr:cNvSpPr>
      </xdr:nvSpPr>
      <xdr:spPr bwMode="auto">
        <a:xfrm>
          <a:off x="6408420" y="2552700"/>
          <a:ext cx="1790700" cy="103632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    Peter Styles</a:t>
          </a:r>
        </a:p>
        <a:p>
          <a:pPr algn="l" rtl="0">
            <a:defRPr sz="1000"/>
          </a:pPr>
          <a:r>
            <a:rPr lang="en-US" sz="1000" b="0" i="0" u="none" strike="noStrike" baseline="0">
              <a:solidFill>
                <a:srgbClr val="000000"/>
              </a:solidFill>
              <a:latin typeface="Arial"/>
              <a:cs typeface="Arial"/>
            </a:rPr>
            <a:t>    Vice President</a:t>
          </a:r>
        </a:p>
        <a:p>
          <a:pPr algn="l" rtl="0">
            <a:defRPr sz="1000"/>
          </a:pPr>
          <a:r>
            <a:rPr lang="en-US" sz="1000" b="0" i="0" u="none" strike="noStrike" baseline="0">
              <a:solidFill>
                <a:srgbClr val="000000"/>
              </a:solidFill>
              <a:latin typeface="Arial"/>
              <a:cs typeface="Arial"/>
            </a:rPr>
            <a:t>    Enron Delegation to the </a:t>
          </a:r>
        </a:p>
        <a:p>
          <a:pPr algn="l" rtl="0">
            <a:defRPr sz="1000"/>
          </a:pPr>
          <a:r>
            <a:rPr lang="en-US" sz="1000" b="0" i="0" u="none" strike="noStrike" baseline="0">
              <a:solidFill>
                <a:srgbClr val="000000"/>
              </a:solidFill>
              <a:latin typeface="Arial"/>
              <a:cs typeface="Arial"/>
            </a:rPr>
            <a:t>    EU (Brussels), Beneflux</a:t>
          </a: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12</xdr:col>
      <xdr:colOff>106680</xdr:colOff>
      <xdr:row>18</xdr:row>
      <xdr:rowOff>91440</xdr:rowOff>
    </xdr:from>
    <xdr:ext cx="1032719" cy="682238"/>
    <xdr:sp macro="" textlink="">
      <xdr:nvSpPr>
        <xdr:cNvPr id="64550" name="Text Box 38"/>
        <xdr:cNvSpPr txBox="1">
          <a:spLocks noChangeArrowheads="1"/>
        </xdr:cNvSpPr>
      </xdr:nvSpPr>
      <xdr:spPr bwMode="auto">
        <a:xfrm>
          <a:off x="7604760" y="3322320"/>
          <a:ext cx="1032719" cy="68223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Pamela Milano</a:t>
          </a:r>
        </a:p>
        <a:p>
          <a:pPr algn="l" rtl="0">
            <a:defRPr sz="1000"/>
          </a:pPr>
          <a:r>
            <a:rPr lang="en-US" sz="1000" b="0" i="0" u="none" strike="noStrike" baseline="0">
              <a:solidFill>
                <a:srgbClr val="000000"/>
              </a:solidFill>
              <a:latin typeface="Arial"/>
              <a:cs typeface="Arial"/>
            </a:rPr>
            <a:t>Assistant</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oneCellAnchor>
  <xdr:oneCellAnchor>
    <xdr:from>
      <xdr:col>3</xdr:col>
      <xdr:colOff>182880</xdr:colOff>
      <xdr:row>18</xdr:row>
      <xdr:rowOff>91440</xdr:rowOff>
    </xdr:from>
    <xdr:ext cx="1040028" cy="534762"/>
    <xdr:sp macro="" textlink="">
      <xdr:nvSpPr>
        <xdr:cNvPr id="64551" name="Text Box 39"/>
        <xdr:cNvSpPr txBox="1">
          <a:spLocks noChangeArrowheads="1"/>
        </xdr:cNvSpPr>
      </xdr:nvSpPr>
      <xdr:spPr bwMode="auto">
        <a:xfrm>
          <a:off x="2057400" y="3322320"/>
          <a:ext cx="1040028" cy="53476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Amber Keenan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312420</xdr:colOff>
      <xdr:row>33</xdr:row>
      <xdr:rowOff>121920</xdr:rowOff>
    </xdr:from>
    <xdr:to>
      <xdr:col>12</xdr:col>
      <xdr:colOff>137160</xdr:colOff>
      <xdr:row>39</xdr:row>
      <xdr:rowOff>30480</xdr:rowOff>
    </xdr:to>
    <xdr:sp macro="" textlink="">
      <xdr:nvSpPr>
        <xdr:cNvPr id="64552" name="AutoShape 40"/>
        <xdr:cNvSpPr>
          <a:spLocks noChangeArrowheads="1"/>
        </xdr:cNvSpPr>
      </xdr:nvSpPr>
      <xdr:spPr bwMode="auto">
        <a:xfrm>
          <a:off x="6560820" y="5867400"/>
          <a:ext cx="1074420" cy="914400"/>
        </a:xfrm>
        <a:prstGeom prst="roundRect">
          <a:avLst>
            <a:gd name="adj" fmla="val 16667"/>
          </a:avLst>
        </a:prstGeom>
        <a:solidFill>
          <a:srgbClr val="FFFFFF"/>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Mabel Pigmans</a:t>
          </a:r>
        </a:p>
        <a:p>
          <a:pPr algn="l" rtl="0">
            <a:defRPr sz="1000"/>
          </a:pPr>
          <a:r>
            <a:rPr lang="en-US" sz="1000" b="0" i="0" u="none" strike="noStrike" baseline="0">
              <a:solidFill>
                <a:srgbClr val="000000"/>
              </a:solidFill>
              <a:latin typeface="Arial"/>
              <a:cs typeface="Arial"/>
            </a:rPr>
            <a:t>Research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160020</xdr:colOff>
      <xdr:row>31</xdr:row>
      <xdr:rowOff>137160</xdr:rowOff>
    </xdr:from>
    <xdr:to>
      <xdr:col>11</xdr:col>
      <xdr:colOff>160020</xdr:colOff>
      <xdr:row>33</xdr:row>
      <xdr:rowOff>121920</xdr:rowOff>
    </xdr:to>
    <xdr:sp macro="" textlink="">
      <xdr:nvSpPr>
        <xdr:cNvPr id="64553" name="Line 41"/>
        <xdr:cNvSpPr>
          <a:spLocks noChangeShapeType="1"/>
        </xdr:cNvSpPr>
      </xdr:nvSpPr>
      <xdr:spPr bwMode="auto">
        <a:xfrm>
          <a:off x="7033260" y="5547360"/>
          <a:ext cx="0" cy="32004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312420</xdr:colOff>
      <xdr:row>33</xdr:row>
      <xdr:rowOff>121920</xdr:rowOff>
    </xdr:from>
    <xdr:ext cx="949234" cy="357727"/>
    <xdr:sp macro="" textlink="">
      <xdr:nvSpPr>
        <xdr:cNvPr id="64554" name="Text Box 42"/>
        <xdr:cNvSpPr txBox="1">
          <a:spLocks noChangeArrowheads="1"/>
        </xdr:cNvSpPr>
      </xdr:nvSpPr>
      <xdr:spPr bwMode="auto">
        <a:xfrm>
          <a:off x="937260" y="5867400"/>
          <a:ext cx="949234" cy="35772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800" b="0" i="0" u="none" strike="noStrike" baseline="0">
              <a:solidFill>
                <a:srgbClr val="FFFFFF"/>
              </a:solidFill>
              <a:latin typeface="Arial"/>
              <a:cs typeface="Arial"/>
            </a:rPr>
            <a:t>not </a:t>
          </a:r>
          <a:r>
            <a:rPr lang="en-US" sz="1000" b="0" i="0" u="none" strike="noStrike" baseline="0">
              <a:solidFill>
                <a:srgbClr val="FFFFFF"/>
              </a:solidFill>
              <a:latin typeface="Arial"/>
              <a:cs typeface="Arial"/>
            </a:rPr>
            <a:t>i</a:t>
          </a:r>
          <a:r>
            <a:rPr lang="en-US" sz="800" b="0" i="0" u="none" strike="noStrike" baseline="0">
              <a:solidFill>
                <a:srgbClr val="FFFFFF"/>
              </a:solidFill>
              <a:latin typeface="Arial"/>
              <a:cs typeface="Arial"/>
            </a:rPr>
            <a:t>n headcount</a:t>
          </a:r>
        </a:p>
        <a:p>
          <a:pPr algn="l" rtl="0">
            <a:defRPr sz="1000"/>
          </a:pPr>
          <a:endParaRPr lang="en-US" sz="800" b="0" i="0" u="none" strike="noStrike" baseline="0">
            <a:solidFill>
              <a:srgbClr val="FFFFFF"/>
            </a:solidFill>
            <a:latin typeface="Arial"/>
            <a:cs typeface="Arial"/>
          </a:endParaRPr>
        </a:p>
      </xdr:txBody>
    </xdr:sp>
    <xdr:clientData/>
  </xdr:oneCellAnchor>
  <xdr:twoCellAnchor>
    <xdr:from>
      <xdr:col>9</xdr:col>
      <xdr:colOff>342900</xdr:colOff>
      <xdr:row>33</xdr:row>
      <xdr:rowOff>0</xdr:rowOff>
    </xdr:from>
    <xdr:to>
      <xdr:col>9</xdr:col>
      <xdr:colOff>342900</xdr:colOff>
      <xdr:row>33</xdr:row>
      <xdr:rowOff>121920</xdr:rowOff>
    </xdr:to>
    <xdr:sp macro="" textlink="">
      <xdr:nvSpPr>
        <xdr:cNvPr id="64555" name="Line 43"/>
        <xdr:cNvSpPr>
          <a:spLocks noChangeShapeType="1"/>
        </xdr:cNvSpPr>
      </xdr:nvSpPr>
      <xdr:spPr bwMode="auto">
        <a:xfrm>
          <a:off x="5966460" y="5745480"/>
          <a:ext cx="0" cy="1219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388620</xdr:colOff>
      <xdr:row>32</xdr:row>
      <xdr:rowOff>45720</xdr:rowOff>
    </xdr:from>
    <xdr:to>
      <xdr:col>7</xdr:col>
      <xdr:colOff>388620</xdr:colOff>
      <xdr:row>33</xdr:row>
      <xdr:rowOff>121920</xdr:rowOff>
    </xdr:to>
    <xdr:sp macro="" textlink="">
      <xdr:nvSpPr>
        <xdr:cNvPr id="64556" name="Line 44"/>
        <xdr:cNvSpPr>
          <a:spLocks noChangeShapeType="1"/>
        </xdr:cNvSpPr>
      </xdr:nvSpPr>
      <xdr:spPr bwMode="auto">
        <a:xfrm flipV="1">
          <a:off x="4762500" y="5623560"/>
          <a:ext cx="0" cy="24384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419100</xdr:colOff>
      <xdr:row>5</xdr:row>
      <xdr:rowOff>0</xdr:rowOff>
    </xdr:to>
    <xdr:pic>
      <xdr:nvPicPr>
        <xdr:cNvPr id="6963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79170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350520</xdr:colOff>
      <xdr:row>1</xdr:row>
      <xdr:rowOff>7620</xdr:rowOff>
    </xdr:from>
    <xdr:to>
      <xdr:col>4</xdr:col>
      <xdr:colOff>243840</xdr:colOff>
      <xdr:row>4</xdr:row>
      <xdr:rowOff>7620</xdr:rowOff>
    </xdr:to>
    <xdr:sp macro="" textlink="">
      <xdr:nvSpPr>
        <xdr:cNvPr id="69634" name="Text Box 2"/>
        <xdr:cNvSpPr txBox="1">
          <a:spLocks noChangeArrowheads="1"/>
        </xdr:cNvSpPr>
      </xdr:nvSpPr>
      <xdr:spPr bwMode="auto">
        <a:xfrm>
          <a:off x="350520" y="175260"/>
          <a:ext cx="239268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160020</xdr:colOff>
      <xdr:row>1</xdr:row>
      <xdr:rowOff>0</xdr:rowOff>
    </xdr:from>
    <xdr:to>
      <xdr:col>12</xdr:col>
      <xdr:colOff>22860</xdr:colOff>
      <xdr:row>3</xdr:row>
      <xdr:rowOff>68580</xdr:rowOff>
    </xdr:to>
    <xdr:pic>
      <xdr:nvPicPr>
        <xdr:cNvPr id="69635"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16764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388620</xdr:colOff>
      <xdr:row>9</xdr:row>
      <xdr:rowOff>76200</xdr:rowOff>
    </xdr:from>
    <xdr:to>
      <xdr:col>8</xdr:col>
      <xdr:colOff>304800</xdr:colOff>
      <xdr:row>15</xdr:row>
      <xdr:rowOff>160020</xdr:rowOff>
    </xdr:to>
    <xdr:sp macro="" textlink="">
      <xdr:nvSpPr>
        <xdr:cNvPr id="69636" name="AutoShape 4"/>
        <xdr:cNvSpPr>
          <a:spLocks noChangeAspect="1" noChangeArrowheads="1"/>
        </xdr:cNvSpPr>
      </xdr:nvSpPr>
      <xdr:spPr bwMode="auto">
        <a:xfrm>
          <a:off x="4137660" y="1798320"/>
          <a:ext cx="1165860" cy="10896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Arial"/>
              <a:cs typeface="Arial"/>
            </a:rPr>
            <a:t>Richard Lewis</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3</xdr:col>
      <xdr:colOff>388620</xdr:colOff>
      <xdr:row>16</xdr:row>
      <xdr:rowOff>160020</xdr:rowOff>
    </xdr:from>
    <xdr:to>
      <xdr:col>5</xdr:col>
      <xdr:colOff>335280</xdr:colOff>
      <xdr:row>21</xdr:row>
      <xdr:rowOff>144780</xdr:rowOff>
    </xdr:to>
    <xdr:sp macro="" textlink="">
      <xdr:nvSpPr>
        <xdr:cNvPr id="69637" name="AutoShape 5"/>
        <xdr:cNvSpPr>
          <a:spLocks noChangeAspect="1" noChangeArrowheads="1"/>
        </xdr:cNvSpPr>
      </xdr:nvSpPr>
      <xdr:spPr bwMode="auto">
        <a:xfrm>
          <a:off x="2263140" y="3055620"/>
          <a:ext cx="1196340" cy="8229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Paul Dawson</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UK, Spain</a:t>
          </a:r>
        </a:p>
        <a:p>
          <a:pPr algn="l" rtl="0">
            <a:defRPr sz="1000"/>
          </a:pPr>
          <a:r>
            <a:rPr lang="en-US" sz="1000" b="0" i="0" u="none" strike="noStrike" baseline="0">
              <a:solidFill>
                <a:srgbClr val="000000"/>
              </a:solidFill>
              <a:latin typeface="Arial"/>
              <a:cs typeface="Arial"/>
            </a:rPr>
            <a:t>&amp; Italy</a:t>
          </a:r>
        </a:p>
        <a:p>
          <a:pPr algn="l" rtl="0">
            <a:defRPr sz="1000"/>
          </a:pPr>
          <a:r>
            <a:rPr lang="en-US" sz="1000" b="0" i="0" u="none" strike="noStrike" baseline="0">
              <a:solidFill>
                <a:srgbClr val="000000"/>
              </a:solidFill>
              <a:latin typeface="Arial"/>
              <a:cs typeface="Arial"/>
            </a:rPr>
            <a:t>EES &amp; Coal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160020</xdr:colOff>
      <xdr:row>16</xdr:row>
      <xdr:rowOff>129540</xdr:rowOff>
    </xdr:from>
    <xdr:to>
      <xdr:col>11</xdr:col>
      <xdr:colOff>160020</xdr:colOff>
      <xdr:row>22</xdr:row>
      <xdr:rowOff>121920</xdr:rowOff>
    </xdr:to>
    <xdr:sp macro="" textlink="">
      <xdr:nvSpPr>
        <xdr:cNvPr id="69638" name="AutoShape 6"/>
        <xdr:cNvSpPr>
          <a:spLocks noChangeAspect="1" noChangeArrowheads="1"/>
        </xdr:cNvSpPr>
      </xdr:nvSpPr>
      <xdr:spPr bwMode="auto">
        <a:xfrm>
          <a:off x="5783580" y="3025140"/>
          <a:ext cx="1249680" cy="9982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Doug Wood</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Cont. Gas and C&amp;E Europe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480060</xdr:colOff>
      <xdr:row>21</xdr:row>
      <xdr:rowOff>7620</xdr:rowOff>
    </xdr:from>
    <xdr:to>
      <xdr:col>3</xdr:col>
      <xdr:colOff>76200</xdr:colOff>
      <xdr:row>25</xdr:row>
      <xdr:rowOff>30480</xdr:rowOff>
    </xdr:to>
    <xdr:sp macro="" textlink="">
      <xdr:nvSpPr>
        <xdr:cNvPr id="69639" name="AutoShape 7"/>
        <xdr:cNvSpPr>
          <a:spLocks noChangeAspect="1" noChangeArrowheads="1"/>
        </xdr:cNvSpPr>
      </xdr:nvSpPr>
      <xdr:spPr bwMode="auto">
        <a:xfrm>
          <a:off x="1104900" y="3741420"/>
          <a:ext cx="845820" cy="6934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Kerryann Irwin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236220</xdr:colOff>
      <xdr:row>21</xdr:row>
      <xdr:rowOff>106680</xdr:rowOff>
    </xdr:from>
    <xdr:to>
      <xdr:col>12</xdr:col>
      <xdr:colOff>457200</xdr:colOff>
      <xdr:row>25</xdr:row>
      <xdr:rowOff>129540</xdr:rowOff>
    </xdr:to>
    <xdr:sp macro="" textlink="">
      <xdr:nvSpPr>
        <xdr:cNvPr id="69640" name="AutoShape 8"/>
        <xdr:cNvSpPr>
          <a:spLocks noChangeAspect="1" noChangeArrowheads="1"/>
        </xdr:cNvSpPr>
      </xdr:nvSpPr>
      <xdr:spPr bwMode="auto">
        <a:xfrm>
          <a:off x="7109460" y="3840480"/>
          <a:ext cx="845820" cy="6934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Merle Glen</a:t>
          </a:r>
        </a:p>
        <a:p>
          <a:pPr algn="l" rtl="0">
            <a:lnSpc>
              <a:spcPts val="1000"/>
            </a:lnSpc>
            <a:defRPr sz="1000"/>
          </a:pPr>
          <a:r>
            <a:rPr lang="en-US" sz="1000" b="0" i="0" u="none" strike="noStrike" baseline="0">
              <a:solidFill>
                <a:srgbClr val="000000"/>
              </a:solidFill>
              <a:latin typeface="Arial"/>
              <a:cs typeface="Arial"/>
            </a:rPr>
            <a:t>Assistant</a:t>
          </a: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2</xdr:col>
      <xdr:colOff>76200</xdr:colOff>
      <xdr:row>29</xdr:row>
      <xdr:rowOff>30480</xdr:rowOff>
    </xdr:from>
    <xdr:to>
      <xdr:col>3</xdr:col>
      <xdr:colOff>388620</xdr:colOff>
      <xdr:row>33</xdr:row>
      <xdr:rowOff>30480</xdr:rowOff>
    </xdr:to>
    <xdr:sp macro="" textlink="">
      <xdr:nvSpPr>
        <xdr:cNvPr id="69641" name="AutoShape 9"/>
        <xdr:cNvSpPr>
          <a:spLocks noChangeArrowheads="1"/>
        </xdr:cNvSpPr>
      </xdr:nvSpPr>
      <xdr:spPr bwMode="auto">
        <a:xfrm>
          <a:off x="1325880" y="5105400"/>
          <a:ext cx="937260" cy="6705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Adam Cooper </a:t>
          </a:r>
        </a:p>
        <a:p>
          <a:pPr algn="l" rtl="0">
            <a:defRPr sz="1000"/>
          </a:pPr>
          <a:r>
            <a:rPr lang="en-US" sz="1000" b="0" i="0" u="none" strike="noStrike" baseline="0">
              <a:solidFill>
                <a:srgbClr val="000000"/>
              </a:solidFill>
              <a:latin typeface="Arial"/>
              <a:cs typeface="Arial"/>
            </a:rPr>
            <a:t>Manager</a:t>
          </a:r>
        </a:p>
      </xdr:txBody>
    </xdr:sp>
    <xdr:clientData/>
  </xdr:twoCellAnchor>
  <xdr:twoCellAnchor>
    <xdr:from>
      <xdr:col>3</xdr:col>
      <xdr:colOff>426720</xdr:colOff>
      <xdr:row>29</xdr:row>
      <xdr:rowOff>30480</xdr:rowOff>
    </xdr:from>
    <xdr:to>
      <xdr:col>5</xdr:col>
      <xdr:colOff>236220</xdr:colOff>
      <xdr:row>32</xdr:row>
      <xdr:rowOff>160020</xdr:rowOff>
    </xdr:to>
    <xdr:sp macro="" textlink="">
      <xdr:nvSpPr>
        <xdr:cNvPr id="69642" name="AutoShape 10"/>
        <xdr:cNvSpPr>
          <a:spLocks noChangeArrowheads="1"/>
        </xdr:cNvSpPr>
      </xdr:nvSpPr>
      <xdr:spPr bwMode="auto">
        <a:xfrm>
          <a:off x="2301240" y="5105400"/>
          <a:ext cx="105918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Nick Elms</a:t>
          </a:r>
        </a:p>
        <a:p>
          <a:pPr algn="l" rtl="0">
            <a:defRPr sz="1000"/>
          </a:pPr>
          <a:r>
            <a:rPr lang="en-US" sz="1000" b="0" i="0" u="none" strike="noStrike" baseline="0">
              <a:solidFill>
                <a:srgbClr val="000000"/>
              </a:solidFill>
              <a:latin typeface="Arial"/>
              <a:cs typeface="Arial"/>
            </a:rPr>
            <a:t>Manager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312420</xdr:colOff>
      <xdr:row>29</xdr:row>
      <xdr:rowOff>30480</xdr:rowOff>
    </xdr:from>
    <xdr:to>
      <xdr:col>7</xdr:col>
      <xdr:colOff>0</xdr:colOff>
      <xdr:row>32</xdr:row>
      <xdr:rowOff>160020</xdr:rowOff>
    </xdr:to>
    <xdr:sp macro="" textlink="">
      <xdr:nvSpPr>
        <xdr:cNvPr id="69643" name="AutoShape 11"/>
        <xdr:cNvSpPr>
          <a:spLocks noChangeArrowheads="1"/>
        </xdr:cNvSpPr>
      </xdr:nvSpPr>
      <xdr:spPr bwMode="auto">
        <a:xfrm>
          <a:off x="3436620" y="510540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Alfredo Huertas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Spain, Italy,</a:t>
          </a:r>
        </a:p>
        <a:p>
          <a:pPr algn="l" rtl="0">
            <a:defRPr sz="1000"/>
          </a:pPr>
          <a:r>
            <a:rPr lang="en-US" sz="1000" b="0" i="0" u="none" strike="noStrike" baseline="0">
              <a:solidFill>
                <a:srgbClr val="000000"/>
              </a:solidFill>
              <a:latin typeface="Arial"/>
              <a:cs typeface="Arial"/>
            </a:rPr>
            <a:t>Portugal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419100</xdr:colOff>
      <xdr:row>28</xdr:row>
      <xdr:rowOff>60960</xdr:rowOff>
    </xdr:from>
    <xdr:to>
      <xdr:col>10</xdr:col>
      <xdr:colOff>106680</xdr:colOff>
      <xdr:row>33</xdr:row>
      <xdr:rowOff>91440</xdr:rowOff>
    </xdr:to>
    <xdr:sp macro="" textlink="">
      <xdr:nvSpPr>
        <xdr:cNvPr id="69644" name="AutoShape 12"/>
        <xdr:cNvSpPr>
          <a:spLocks noChangeArrowheads="1"/>
        </xdr:cNvSpPr>
      </xdr:nvSpPr>
      <xdr:spPr bwMode="auto">
        <a:xfrm>
          <a:off x="5417820" y="4968240"/>
          <a:ext cx="937260" cy="86868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3</xdr:col>
      <xdr:colOff>388620</xdr:colOff>
      <xdr:row>34</xdr:row>
      <xdr:rowOff>137160</xdr:rowOff>
    </xdr:from>
    <xdr:to>
      <xdr:col>5</xdr:col>
      <xdr:colOff>76200</xdr:colOff>
      <xdr:row>38</xdr:row>
      <xdr:rowOff>99060</xdr:rowOff>
    </xdr:to>
    <xdr:sp macro="" textlink="">
      <xdr:nvSpPr>
        <xdr:cNvPr id="69645" name="AutoShape 13"/>
        <xdr:cNvSpPr>
          <a:spLocks noChangeArrowheads="1"/>
        </xdr:cNvSpPr>
      </xdr:nvSpPr>
      <xdr:spPr bwMode="auto">
        <a:xfrm>
          <a:off x="2263140" y="605028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Mustafa Hussain</a:t>
          </a:r>
        </a:p>
        <a:p>
          <a:pPr algn="l" rtl="0">
            <a:defRPr sz="1000"/>
          </a:pPr>
          <a:r>
            <a:rPr lang="en-US" sz="1000" b="0" i="0" u="none" strike="noStrike" baseline="0">
              <a:solidFill>
                <a:srgbClr val="000000"/>
              </a:solidFill>
              <a:latin typeface="Arial"/>
              <a:cs typeface="Arial"/>
            </a:rPr>
            <a:t>Analyst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236220</xdr:colOff>
      <xdr:row>34</xdr:row>
      <xdr:rowOff>137160</xdr:rowOff>
    </xdr:from>
    <xdr:to>
      <xdr:col>6</xdr:col>
      <xdr:colOff>548640</xdr:colOff>
      <xdr:row>38</xdr:row>
      <xdr:rowOff>99060</xdr:rowOff>
    </xdr:to>
    <xdr:sp macro="" textlink="">
      <xdr:nvSpPr>
        <xdr:cNvPr id="69646" name="AutoShape 14"/>
        <xdr:cNvSpPr>
          <a:spLocks noChangeArrowheads="1"/>
        </xdr:cNvSpPr>
      </xdr:nvSpPr>
      <xdr:spPr bwMode="auto">
        <a:xfrm>
          <a:off x="3360420" y="605028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David Gonzalez</a:t>
          </a:r>
        </a:p>
        <a:p>
          <a:pPr algn="l" rtl="0">
            <a:defRPr sz="1000"/>
          </a:pPr>
          <a:r>
            <a:rPr lang="en-US" sz="1000" b="0" i="0" u="none" strike="noStrike" baseline="0">
              <a:solidFill>
                <a:srgbClr val="000000"/>
              </a:solidFill>
              <a:latin typeface="Arial"/>
              <a:cs typeface="Arial"/>
            </a:rPr>
            <a:t>Research</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350520</xdr:colOff>
      <xdr:row>16</xdr:row>
      <xdr:rowOff>22860</xdr:rowOff>
    </xdr:from>
    <xdr:to>
      <xdr:col>10</xdr:col>
      <xdr:colOff>160020</xdr:colOff>
      <xdr:row>16</xdr:row>
      <xdr:rowOff>121920</xdr:rowOff>
    </xdr:to>
    <xdr:cxnSp macro="">
      <xdr:nvCxnSpPr>
        <xdr:cNvPr id="69647" name="AutoShape 15"/>
        <xdr:cNvCxnSpPr>
          <a:cxnSpLocks noChangeShapeType="1"/>
        </xdr:cNvCxnSpPr>
      </xdr:nvCxnSpPr>
      <xdr:spPr bwMode="auto">
        <a:xfrm rot="16200000" flipH="1">
          <a:off x="5516880" y="2125980"/>
          <a:ext cx="99060" cy="168402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358140</xdr:colOff>
      <xdr:row>15</xdr:row>
      <xdr:rowOff>160020</xdr:rowOff>
    </xdr:from>
    <xdr:to>
      <xdr:col>7</xdr:col>
      <xdr:colOff>350520</xdr:colOff>
      <xdr:row>16</xdr:row>
      <xdr:rowOff>160020</xdr:rowOff>
    </xdr:to>
    <xdr:cxnSp macro="">
      <xdr:nvCxnSpPr>
        <xdr:cNvPr id="69648" name="AutoShape 16"/>
        <xdr:cNvCxnSpPr>
          <a:cxnSpLocks noChangeShapeType="1"/>
          <a:stCxn id="69636" idx="2"/>
          <a:endCxn id="69637" idx="0"/>
        </xdr:cNvCxnSpPr>
      </xdr:nvCxnSpPr>
      <xdr:spPr bwMode="auto">
        <a:xfrm rot="5400000">
          <a:off x="3707130" y="2038350"/>
          <a:ext cx="167640" cy="1866900"/>
        </a:xfrm>
        <a:prstGeom prst="bentConnector3">
          <a:avLst>
            <a:gd name="adj1" fmla="val 4706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548640</xdr:colOff>
      <xdr:row>21</xdr:row>
      <xdr:rowOff>144780</xdr:rowOff>
    </xdr:from>
    <xdr:to>
      <xdr:col>4</xdr:col>
      <xdr:colOff>358140</xdr:colOff>
      <xdr:row>29</xdr:row>
      <xdr:rowOff>30480</xdr:rowOff>
    </xdr:to>
    <xdr:cxnSp macro="">
      <xdr:nvCxnSpPr>
        <xdr:cNvPr id="69649" name="AutoShape 17"/>
        <xdr:cNvCxnSpPr>
          <a:cxnSpLocks noChangeShapeType="1"/>
          <a:stCxn id="69637" idx="2"/>
          <a:endCxn id="69641" idx="0"/>
        </xdr:cNvCxnSpPr>
      </xdr:nvCxnSpPr>
      <xdr:spPr bwMode="auto">
        <a:xfrm rot="5400000">
          <a:off x="1714500" y="3962400"/>
          <a:ext cx="1226820" cy="105918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358140</xdr:colOff>
      <xdr:row>21</xdr:row>
      <xdr:rowOff>144780</xdr:rowOff>
    </xdr:from>
    <xdr:to>
      <xdr:col>6</xdr:col>
      <xdr:colOff>160020</xdr:colOff>
      <xdr:row>29</xdr:row>
      <xdr:rowOff>30480</xdr:rowOff>
    </xdr:to>
    <xdr:cxnSp macro="">
      <xdr:nvCxnSpPr>
        <xdr:cNvPr id="69650" name="AutoShape 18"/>
        <xdr:cNvCxnSpPr>
          <a:cxnSpLocks noChangeShapeType="1"/>
          <a:stCxn id="69637" idx="2"/>
          <a:endCxn id="69643" idx="0"/>
        </xdr:cNvCxnSpPr>
      </xdr:nvCxnSpPr>
      <xdr:spPr bwMode="auto">
        <a:xfrm rot="16200000" flipH="1">
          <a:off x="2769870" y="3966210"/>
          <a:ext cx="1226820" cy="105156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312420</xdr:colOff>
      <xdr:row>22</xdr:row>
      <xdr:rowOff>121920</xdr:rowOff>
    </xdr:from>
    <xdr:to>
      <xdr:col>10</xdr:col>
      <xdr:colOff>160020</xdr:colOff>
      <xdr:row>28</xdr:row>
      <xdr:rowOff>38100</xdr:rowOff>
    </xdr:to>
    <xdr:cxnSp macro="">
      <xdr:nvCxnSpPr>
        <xdr:cNvPr id="69651" name="AutoShape 19"/>
        <xdr:cNvCxnSpPr>
          <a:cxnSpLocks noChangeShapeType="1"/>
          <a:stCxn id="69638" idx="2"/>
        </xdr:cNvCxnSpPr>
      </xdr:nvCxnSpPr>
      <xdr:spPr bwMode="auto">
        <a:xfrm rot="5400000">
          <a:off x="5711190" y="4248150"/>
          <a:ext cx="922020" cy="47244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160020</xdr:colOff>
      <xdr:row>23</xdr:row>
      <xdr:rowOff>91440</xdr:rowOff>
    </xdr:from>
    <xdr:to>
      <xdr:col>11</xdr:col>
      <xdr:colOff>236220</xdr:colOff>
      <xdr:row>23</xdr:row>
      <xdr:rowOff>91440</xdr:rowOff>
    </xdr:to>
    <xdr:sp macro="" textlink="">
      <xdr:nvSpPr>
        <xdr:cNvPr id="69652" name="Line 20"/>
        <xdr:cNvSpPr>
          <a:spLocks noChangeShapeType="1"/>
        </xdr:cNvSpPr>
      </xdr:nvSpPr>
      <xdr:spPr bwMode="auto">
        <a:xfrm flipH="1" flipV="1">
          <a:off x="6408420" y="4160520"/>
          <a:ext cx="70104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160020</xdr:colOff>
      <xdr:row>32</xdr:row>
      <xdr:rowOff>160020</xdr:rowOff>
    </xdr:from>
    <xdr:to>
      <xdr:col>6</xdr:col>
      <xdr:colOff>160020</xdr:colOff>
      <xdr:row>34</xdr:row>
      <xdr:rowOff>137160</xdr:rowOff>
    </xdr:to>
    <xdr:sp macro="" textlink="">
      <xdr:nvSpPr>
        <xdr:cNvPr id="69653" name="Line 21"/>
        <xdr:cNvSpPr>
          <a:spLocks noChangeShapeType="1"/>
        </xdr:cNvSpPr>
      </xdr:nvSpPr>
      <xdr:spPr bwMode="auto">
        <a:xfrm>
          <a:off x="3909060" y="5737860"/>
          <a:ext cx="0" cy="31242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312420</xdr:colOff>
      <xdr:row>32</xdr:row>
      <xdr:rowOff>160020</xdr:rowOff>
    </xdr:from>
    <xdr:to>
      <xdr:col>4</xdr:col>
      <xdr:colOff>312420</xdr:colOff>
      <xdr:row>34</xdr:row>
      <xdr:rowOff>137160</xdr:rowOff>
    </xdr:to>
    <xdr:sp macro="" textlink="">
      <xdr:nvSpPr>
        <xdr:cNvPr id="69654" name="Line 22"/>
        <xdr:cNvSpPr>
          <a:spLocks noChangeShapeType="1"/>
        </xdr:cNvSpPr>
      </xdr:nvSpPr>
      <xdr:spPr bwMode="auto">
        <a:xfrm>
          <a:off x="2811780" y="5737860"/>
          <a:ext cx="0" cy="31242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76200</xdr:colOff>
      <xdr:row>23</xdr:row>
      <xdr:rowOff>7620</xdr:rowOff>
    </xdr:from>
    <xdr:to>
      <xdr:col>4</xdr:col>
      <xdr:colOff>388620</xdr:colOff>
      <xdr:row>23</xdr:row>
      <xdr:rowOff>7620</xdr:rowOff>
    </xdr:to>
    <xdr:sp macro="" textlink="">
      <xdr:nvSpPr>
        <xdr:cNvPr id="69655" name="Line 23"/>
        <xdr:cNvSpPr>
          <a:spLocks noChangeShapeType="1"/>
        </xdr:cNvSpPr>
      </xdr:nvSpPr>
      <xdr:spPr bwMode="auto">
        <a:xfrm>
          <a:off x="1950720" y="4076700"/>
          <a:ext cx="93726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350520</xdr:colOff>
      <xdr:row>25</xdr:row>
      <xdr:rowOff>68580</xdr:rowOff>
    </xdr:from>
    <xdr:to>
      <xdr:col>4</xdr:col>
      <xdr:colOff>350520</xdr:colOff>
      <xdr:row>29</xdr:row>
      <xdr:rowOff>30480</xdr:rowOff>
    </xdr:to>
    <xdr:sp macro="" textlink="">
      <xdr:nvSpPr>
        <xdr:cNvPr id="69656" name="Line 24"/>
        <xdr:cNvSpPr>
          <a:spLocks noChangeShapeType="1"/>
        </xdr:cNvSpPr>
      </xdr:nvSpPr>
      <xdr:spPr bwMode="auto">
        <a:xfrm>
          <a:off x="2849880" y="4472940"/>
          <a:ext cx="0" cy="63246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320040</xdr:colOff>
      <xdr:row>33</xdr:row>
      <xdr:rowOff>121920</xdr:rowOff>
    </xdr:from>
    <xdr:to>
      <xdr:col>11</xdr:col>
      <xdr:colOff>320040</xdr:colOff>
      <xdr:row>33</xdr:row>
      <xdr:rowOff>121920</xdr:rowOff>
    </xdr:to>
    <xdr:sp macro="" textlink="">
      <xdr:nvSpPr>
        <xdr:cNvPr id="69657" name="Line 25"/>
        <xdr:cNvSpPr>
          <a:spLocks noChangeShapeType="1"/>
        </xdr:cNvSpPr>
      </xdr:nvSpPr>
      <xdr:spPr bwMode="auto">
        <a:xfrm>
          <a:off x="7193280" y="58674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15</xdr:col>
      <xdr:colOff>419100</xdr:colOff>
      <xdr:row>5</xdr:row>
      <xdr:rowOff>0</xdr:rowOff>
    </xdr:to>
    <xdr:pic>
      <xdr:nvPicPr>
        <xdr:cNvPr id="69658" name="Picture 26"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79170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350520</xdr:colOff>
      <xdr:row>1</xdr:row>
      <xdr:rowOff>7620</xdr:rowOff>
    </xdr:from>
    <xdr:to>
      <xdr:col>10</xdr:col>
      <xdr:colOff>30480</xdr:colOff>
      <xdr:row>4</xdr:row>
      <xdr:rowOff>7620</xdr:rowOff>
    </xdr:to>
    <xdr:sp macro="" textlink="">
      <xdr:nvSpPr>
        <xdr:cNvPr id="69659" name="Text Box 27"/>
        <xdr:cNvSpPr txBox="1">
          <a:spLocks noChangeArrowheads="1"/>
        </xdr:cNvSpPr>
      </xdr:nvSpPr>
      <xdr:spPr bwMode="auto">
        <a:xfrm>
          <a:off x="350520" y="175260"/>
          <a:ext cx="592836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September 30</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160020</xdr:colOff>
      <xdr:row>1</xdr:row>
      <xdr:rowOff>0</xdr:rowOff>
    </xdr:from>
    <xdr:to>
      <xdr:col>12</xdr:col>
      <xdr:colOff>22860</xdr:colOff>
      <xdr:row>3</xdr:row>
      <xdr:rowOff>68580</xdr:rowOff>
    </xdr:to>
    <xdr:pic>
      <xdr:nvPicPr>
        <xdr:cNvPr id="69660" name="Picture 2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16764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419100</xdr:colOff>
      <xdr:row>5</xdr:row>
      <xdr:rowOff>0</xdr:rowOff>
    </xdr:to>
    <xdr:pic>
      <xdr:nvPicPr>
        <xdr:cNvPr id="7065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791700" cy="1051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350520</xdr:colOff>
      <xdr:row>1</xdr:row>
      <xdr:rowOff>7620</xdr:rowOff>
    </xdr:from>
    <xdr:to>
      <xdr:col>10</xdr:col>
      <xdr:colOff>30480</xdr:colOff>
      <xdr:row>4</xdr:row>
      <xdr:rowOff>7620</xdr:rowOff>
    </xdr:to>
    <xdr:sp macro="" textlink="">
      <xdr:nvSpPr>
        <xdr:cNvPr id="70658" name="Text Box 2"/>
        <xdr:cNvSpPr txBox="1">
          <a:spLocks noChangeArrowheads="1"/>
        </xdr:cNvSpPr>
      </xdr:nvSpPr>
      <xdr:spPr bwMode="auto">
        <a:xfrm>
          <a:off x="350520" y="175260"/>
          <a:ext cx="5928360"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September 30 </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160020</xdr:colOff>
      <xdr:row>1</xdr:row>
      <xdr:rowOff>0</xdr:rowOff>
    </xdr:from>
    <xdr:to>
      <xdr:col>12</xdr:col>
      <xdr:colOff>22860</xdr:colOff>
      <xdr:row>3</xdr:row>
      <xdr:rowOff>68580</xdr:rowOff>
    </xdr:to>
    <xdr:pic>
      <xdr:nvPicPr>
        <xdr:cNvPr id="7065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16764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312420</xdr:colOff>
      <xdr:row>13</xdr:row>
      <xdr:rowOff>160020</xdr:rowOff>
    </xdr:from>
    <xdr:to>
      <xdr:col>12</xdr:col>
      <xdr:colOff>548640</xdr:colOff>
      <xdr:row>18</xdr:row>
      <xdr:rowOff>30480</xdr:rowOff>
    </xdr:to>
    <xdr:sp macro="" textlink="">
      <xdr:nvSpPr>
        <xdr:cNvPr id="70660" name="AutoShape 4"/>
        <xdr:cNvSpPr>
          <a:spLocks noChangeAspect="1" noChangeArrowheads="1"/>
        </xdr:cNvSpPr>
      </xdr:nvSpPr>
      <xdr:spPr bwMode="auto">
        <a:xfrm>
          <a:off x="6560820" y="2552700"/>
          <a:ext cx="1485900" cy="7086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4</xdr:col>
      <xdr:colOff>160020</xdr:colOff>
      <xdr:row>13</xdr:row>
      <xdr:rowOff>160020</xdr:rowOff>
    </xdr:from>
    <xdr:to>
      <xdr:col>6</xdr:col>
      <xdr:colOff>205740</xdr:colOff>
      <xdr:row>18</xdr:row>
      <xdr:rowOff>30480</xdr:rowOff>
    </xdr:to>
    <xdr:sp macro="" textlink="">
      <xdr:nvSpPr>
        <xdr:cNvPr id="70661" name="AutoShape 5"/>
        <xdr:cNvSpPr>
          <a:spLocks noChangeAspect="1" noChangeArrowheads="1"/>
        </xdr:cNvSpPr>
      </xdr:nvSpPr>
      <xdr:spPr bwMode="auto">
        <a:xfrm>
          <a:off x="2659380" y="2552700"/>
          <a:ext cx="1295400" cy="7086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7</xdr:col>
      <xdr:colOff>312420</xdr:colOff>
      <xdr:row>7</xdr:row>
      <xdr:rowOff>60960</xdr:rowOff>
    </xdr:from>
    <xdr:to>
      <xdr:col>9</xdr:col>
      <xdr:colOff>312420</xdr:colOff>
      <xdr:row>11</xdr:row>
      <xdr:rowOff>160020</xdr:rowOff>
    </xdr:to>
    <xdr:sp macro="" textlink="">
      <xdr:nvSpPr>
        <xdr:cNvPr id="70662" name="AutoShape 6"/>
        <xdr:cNvSpPr>
          <a:spLocks noChangeArrowheads="1"/>
        </xdr:cNvSpPr>
      </xdr:nvSpPr>
      <xdr:spPr bwMode="auto">
        <a:xfrm>
          <a:off x="4686300" y="1447800"/>
          <a:ext cx="1249680" cy="7696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000000"/>
            </a:solidFill>
            <a:latin typeface="Arial"/>
            <a:cs typeface="Arial"/>
          </a:endParaRPr>
        </a:p>
        <a:p>
          <a:pPr algn="l" rtl="0">
            <a:lnSpc>
              <a:spcPts val="1300"/>
            </a:lnSpc>
            <a:defRPr sz="1000"/>
          </a:pPr>
          <a:endParaRPr lang="en-US" sz="1200" b="0" i="0" u="none" strike="noStrike" baseline="0">
            <a:solidFill>
              <a:srgbClr val="000000"/>
            </a:solidFill>
            <a:latin typeface="Arial"/>
            <a:cs typeface="Arial"/>
          </a:endParaRPr>
        </a:p>
      </xdr:txBody>
    </xdr:sp>
    <xdr:clientData/>
  </xdr:twoCellAnchor>
  <xdr:twoCellAnchor>
    <xdr:from>
      <xdr:col>6</xdr:col>
      <xdr:colOff>533400</xdr:colOff>
      <xdr:row>27</xdr:row>
      <xdr:rowOff>38100</xdr:rowOff>
    </xdr:from>
    <xdr:to>
      <xdr:col>8</xdr:col>
      <xdr:colOff>220980</xdr:colOff>
      <xdr:row>32</xdr:row>
      <xdr:rowOff>45720</xdr:rowOff>
    </xdr:to>
    <xdr:sp macro="" textlink="">
      <xdr:nvSpPr>
        <xdr:cNvPr id="70663" name="AutoShape 7"/>
        <xdr:cNvSpPr>
          <a:spLocks noChangeArrowheads="1"/>
        </xdr:cNvSpPr>
      </xdr:nvSpPr>
      <xdr:spPr bwMode="auto">
        <a:xfrm>
          <a:off x="4282440" y="4777740"/>
          <a:ext cx="937260" cy="84582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Jan Haizmann</a:t>
          </a:r>
        </a:p>
        <a:p>
          <a:pPr algn="l" rtl="0">
            <a:defRPr sz="1000"/>
          </a:pPr>
          <a:r>
            <a:rPr lang="en-US" sz="1000" b="0" i="0" u="none" strike="noStrike" baseline="0">
              <a:solidFill>
                <a:srgbClr val="000000"/>
              </a:solidFill>
              <a:latin typeface="Arial"/>
              <a:cs typeface="Arial"/>
            </a:rPr>
            <a:t>Director (EBS)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167640</xdr:colOff>
      <xdr:row>28</xdr:row>
      <xdr:rowOff>7620</xdr:rowOff>
    </xdr:from>
    <xdr:to>
      <xdr:col>13</xdr:col>
      <xdr:colOff>525780</xdr:colOff>
      <xdr:row>33</xdr:row>
      <xdr:rowOff>45720</xdr:rowOff>
    </xdr:to>
    <xdr:sp macro="" textlink="">
      <xdr:nvSpPr>
        <xdr:cNvPr id="70664" name="AutoShape 8"/>
        <xdr:cNvSpPr>
          <a:spLocks noChangeArrowheads="1"/>
        </xdr:cNvSpPr>
      </xdr:nvSpPr>
      <xdr:spPr bwMode="auto">
        <a:xfrm>
          <a:off x="7665720" y="4914900"/>
          <a:ext cx="982980" cy="8763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Nailia Dindarova</a:t>
          </a:r>
        </a:p>
        <a:p>
          <a:pPr algn="l" rtl="0">
            <a:lnSpc>
              <a:spcPts val="1100"/>
            </a:lnSpc>
            <a:defRPr sz="1000"/>
          </a:pPr>
          <a:r>
            <a:rPr lang="en-US" sz="1000" b="0" i="0" u="none" strike="noStrike" baseline="0">
              <a:solidFill>
                <a:srgbClr val="000000"/>
              </a:solidFill>
              <a:latin typeface="Arial"/>
              <a:cs typeface="Arial"/>
            </a:rPr>
            <a:t>Co-Ordinator</a:t>
          </a:r>
        </a:p>
        <a:p>
          <a:pPr algn="l" rtl="0">
            <a:lnSpc>
              <a:spcPts val="1000"/>
            </a:lnSpc>
            <a:defRPr sz="1000"/>
          </a:pPr>
          <a:r>
            <a:rPr lang="en-US" sz="1000" b="0" i="0" u="none" strike="noStrike" baseline="0">
              <a:solidFill>
                <a:srgbClr val="000000"/>
              </a:solidFill>
              <a:latin typeface="Arial"/>
              <a:cs typeface="Arial"/>
            </a:rPr>
            <a:t>(Brussels)</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10</xdr:col>
      <xdr:colOff>289560</xdr:colOff>
      <xdr:row>28</xdr:row>
      <xdr:rowOff>7620</xdr:rowOff>
    </xdr:from>
    <xdr:to>
      <xdr:col>11</xdr:col>
      <xdr:colOff>601980</xdr:colOff>
      <xdr:row>31</xdr:row>
      <xdr:rowOff>137160</xdr:rowOff>
    </xdr:to>
    <xdr:sp macro="" textlink="">
      <xdr:nvSpPr>
        <xdr:cNvPr id="70665" name="AutoShape 9"/>
        <xdr:cNvSpPr>
          <a:spLocks noChangeArrowheads="1"/>
        </xdr:cNvSpPr>
      </xdr:nvSpPr>
      <xdr:spPr bwMode="auto">
        <a:xfrm>
          <a:off x="6537960" y="491490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Teun van Biert</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(Netherlands)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472440</xdr:colOff>
      <xdr:row>28</xdr:row>
      <xdr:rowOff>7620</xdr:rowOff>
    </xdr:from>
    <xdr:to>
      <xdr:col>10</xdr:col>
      <xdr:colOff>236220</xdr:colOff>
      <xdr:row>33</xdr:row>
      <xdr:rowOff>0</xdr:rowOff>
    </xdr:to>
    <xdr:sp macro="" textlink="">
      <xdr:nvSpPr>
        <xdr:cNvPr id="70666" name="AutoShape 10"/>
        <xdr:cNvSpPr>
          <a:spLocks noChangeAspect="1" noChangeArrowheads="1"/>
        </xdr:cNvSpPr>
      </xdr:nvSpPr>
      <xdr:spPr bwMode="auto">
        <a:xfrm>
          <a:off x="5471160" y="4914900"/>
          <a:ext cx="1013460" cy="83058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Bruno Gaillard</a:t>
          </a:r>
        </a:p>
        <a:p>
          <a:pPr algn="l" rtl="0">
            <a:defRPr sz="1000"/>
          </a:pPr>
          <a:r>
            <a:rPr lang="en-US" sz="1000" b="0" i="0" u="none" strike="noStrike" baseline="0">
              <a:solidFill>
                <a:srgbClr val="000000"/>
              </a:solidFill>
              <a:latin typeface="Arial"/>
              <a:cs typeface="Arial"/>
            </a:rPr>
            <a:t>Regulatory</a:t>
          </a:r>
        </a:p>
        <a:p>
          <a:pPr algn="l" rtl="0">
            <a:defRPr sz="1000"/>
          </a:pPr>
          <a:r>
            <a:rPr lang="en-US" sz="1000" b="0" i="0" u="none" strike="noStrike" baseline="0">
              <a:solidFill>
                <a:srgbClr val="000000"/>
              </a:solidFill>
              <a:latin typeface="Arial"/>
              <a:cs typeface="Arial"/>
            </a:rPr>
            <a:t>Specialist</a:t>
          </a:r>
        </a:p>
        <a:p>
          <a:pPr algn="l" rtl="0">
            <a:defRPr sz="1000"/>
          </a:pPr>
          <a:r>
            <a:rPr lang="en-US" sz="1000" b="0" i="0" u="none" strike="noStrike" baseline="0">
              <a:solidFill>
                <a:srgbClr val="000000"/>
              </a:solidFill>
              <a:latin typeface="Arial"/>
              <a:cs typeface="Arial"/>
            </a:rPr>
            <a:t>France, Belgium</a:t>
          </a:r>
          <a:r>
            <a:rPr lang="en-US" sz="1200" b="0" i="0" u="none" strike="noStrike" baseline="0">
              <a:solidFill>
                <a:srgbClr val="000000"/>
              </a:solidFill>
              <a:latin typeface="Arial"/>
              <a:cs typeface="Arial"/>
            </a:rPr>
            <a:t> </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8</xdr:col>
      <xdr:colOff>312420</xdr:colOff>
      <xdr:row>11</xdr:row>
      <xdr:rowOff>160020</xdr:rowOff>
    </xdr:from>
    <xdr:to>
      <xdr:col>11</xdr:col>
      <xdr:colOff>426720</xdr:colOff>
      <xdr:row>13</xdr:row>
      <xdr:rowOff>160020</xdr:rowOff>
    </xdr:to>
    <xdr:cxnSp macro="">
      <xdr:nvCxnSpPr>
        <xdr:cNvPr id="70667" name="AutoShape 11"/>
        <xdr:cNvCxnSpPr>
          <a:cxnSpLocks noChangeShapeType="1"/>
          <a:stCxn id="70662" idx="2"/>
          <a:endCxn id="70660" idx="0"/>
        </xdr:cNvCxnSpPr>
      </xdr:nvCxnSpPr>
      <xdr:spPr bwMode="auto">
        <a:xfrm rot="16200000" flipH="1">
          <a:off x="6137910" y="1390650"/>
          <a:ext cx="335280" cy="198882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175260</xdr:colOff>
      <xdr:row>11</xdr:row>
      <xdr:rowOff>160020</xdr:rowOff>
    </xdr:from>
    <xdr:to>
      <xdr:col>8</xdr:col>
      <xdr:colOff>312420</xdr:colOff>
      <xdr:row>13</xdr:row>
      <xdr:rowOff>160020</xdr:rowOff>
    </xdr:to>
    <xdr:cxnSp macro="">
      <xdr:nvCxnSpPr>
        <xdr:cNvPr id="70668" name="AutoShape 12"/>
        <xdr:cNvCxnSpPr>
          <a:cxnSpLocks noChangeShapeType="1"/>
          <a:stCxn id="70662" idx="2"/>
          <a:endCxn id="70661" idx="0"/>
        </xdr:cNvCxnSpPr>
      </xdr:nvCxnSpPr>
      <xdr:spPr bwMode="auto">
        <a:xfrm rot="5400000">
          <a:off x="4137660" y="1379220"/>
          <a:ext cx="335280" cy="201168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350520</xdr:colOff>
      <xdr:row>18</xdr:row>
      <xdr:rowOff>30480</xdr:rowOff>
    </xdr:from>
    <xdr:to>
      <xdr:col>11</xdr:col>
      <xdr:colOff>426720</xdr:colOff>
      <xdr:row>28</xdr:row>
      <xdr:rowOff>7620</xdr:rowOff>
    </xdr:to>
    <xdr:cxnSp macro="">
      <xdr:nvCxnSpPr>
        <xdr:cNvPr id="70669" name="AutoShape 13"/>
        <xdr:cNvCxnSpPr>
          <a:cxnSpLocks noChangeShapeType="1"/>
          <a:stCxn id="70660" idx="2"/>
          <a:endCxn id="70666" idx="0"/>
        </xdr:cNvCxnSpPr>
      </xdr:nvCxnSpPr>
      <xdr:spPr bwMode="auto">
        <a:xfrm rot="5400000">
          <a:off x="5810250" y="3425190"/>
          <a:ext cx="1653540" cy="132588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137160</xdr:colOff>
      <xdr:row>18</xdr:row>
      <xdr:rowOff>30480</xdr:rowOff>
    </xdr:from>
    <xdr:to>
      <xdr:col>11</xdr:col>
      <xdr:colOff>426720</xdr:colOff>
      <xdr:row>28</xdr:row>
      <xdr:rowOff>7620</xdr:rowOff>
    </xdr:to>
    <xdr:cxnSp macro="">
      <xdr:nvCxnSpPr>
        <xdr:cNvPr id="70670" name="AutoShape 14"/>
        <xdr:cNvCxnSpPr>
          <a:cxnSpLocks noChangeShapeType="1"/>
          <a:stCxn id="70660" idx="2"/>
          <a:endCxn id="70665" idx="0"/>
        </xdr:cNvCxnSpPr>
      </xdr:nvCxnSpPr>
      <xdr:spPr bwMode="auto">
        <a:xfrm rot="5400000">
          <a:off x="6328410" y="3943350"/>
          <a:ext cx="1653540" cy="28956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426720</xdr:colOff>
      <xdr:row>18</xdr:row>
      <xdr:rowOff>30480</xdr:rowOff>
    </xdr:from>
    <xdr:to>
      <xdr:col>13</xdr:col>
      <xdr:colOff>38100</xdr:colOff>
      <xdr:row>28</xdr:row>
      <xdr:rowOff>7620</xdr:rowOff>
    </xdr:to>
    <xdr:cxnSp macro="">
      <xdr:nvCxnSpPr>
        <xdr:cNvPr id="70671" name="AutoShape 15"/>
        <xdr:cNvCxnSpPr>
          <a:cxnSpLocks noChangeShapeType="1"/>
          <a:stCxn id="70660" idx="2"/>
          <a:endCxn id="70664" idx="0"/>
        </xdr:cNvCxnSpPr>
      </xdr:nvCxnSpPr>
      <xdr:spPr bwMode="auto">
        <a:xfrm rot="16200000" flipH="1">
          <a:off x="6903720" y="3657600"/>
          <a:ext cx="1653540" cy="86106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236220</xdr:colOff>
      <xdr:row>18</xdr:row>
      <xdr:rowOff>106680</xdr:rowOff>
    </xdr:from>
    <xdr:to>
      <xdr:col>4</xdr:col>
      <xdr:colOff>548640</xdr:colOff>
      <xdr:row>22</xdr:row>
      <xdr:rowOff>68580</xdr:rowOff>
    </xdr:to>
    <xdr:sp macro="" textlink="">
      <xdr:nvSpPr>
        <xdr:cNvPr id="70672" name="AutoShape 16"/>
        <xdr:cNvSpPr>
          <a:spLocks noChangeArrowheads="1"/>
        </xdr:cNvSpPr>
      </xdr:nvSpPr>
      <xdr:spPr bwMode="auto">
        <a:xfrm>
          <a:off x="2110740" y="333756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12</xdr:col>
      <xdr:colOff>160020</xdr:colOff>
      <xdr:row>18</xdr:row>
      <xdr:rowOff>106680</xdr:rowOff>
    </xdr:from>
    <xdr:to>
      <xdr:col>13</xdr:col>
      <xdr:colOff>472440</xdr:colOff>
      <xdr:row>22</xdr:row>
      <xdr:rowOff>68580</xdr:rowOff>
    </xdr:to>
    <xdr:sp macro="" textlink="">
      <xdr:nvSpPr>
        <xdr:cNvPr id="70673" name="AutoShape 17"/>
        <xdr:cNvSpPr>
          <a:spLocks noChangeArrowheads="1"/>
        </xdr:cNvSpPr>
      </xdr:nvSpPr>
      <xdr:spPr bwMode="auto">
        <a:xfrm>
          <a:off x="7658100" y="3337560"/>
          <a:ext cx="937260" cy="63246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6</xdr:col>
      <xdr:colOff>205740</xdr:colOff>
      <xdr:row>16</xdr:row>
      <xdr:rowOff>7620</xdr:rowOff>
    </xdr:from>
    <xdr:to>
      <xdr:col>7</xdr:col>
      <xdr:colOff>381000</xdr:colOff>
      <xdr:row>27</xdr:row>
      <xdr:rowOff>38100</xdr:rowOff>
    </xdr:to>
    <xdr:cxnSp macro="">
      <xdr:nvCxnSpPr>
        <xdr:cNvPr id="70674" name="AutoShape 18"/>
        <xdr:cNvCxnSpPr>
          <a:cxnSpLocks noChangeShapeType="1"/>
          <a:stCxn id="70661" idx="3"/>
          <a:endCxn id="70663" idx="0"/>
        </xdr:cNvCxnSpPr>
      </xdr:nvCxnSpPr>
      <xdr:spPr bwMode="auto">
        <a:xfrm>
          <a:off x="3954780" y="2903220"/>
          <a:ext cx="800100" cy="1874520"/>
        </a:xfrm>
        <a:prstGeom prst="bentConnector2">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548640</xdr:colOff>
      <xdr:row>20</xdr:row>
      <xdr:rowOff>7620</xdr:rowOff>
    </xdr:from>
    <xdr:to>
      <xdr:col>4</xdr:col>
      <xdr:colOff>548640</xdr:colOff>
      <xdr:row>20</xdr:row>
      <xdr:rowOff>7620</xdr:rowOff>
    </xdr:to>
    <xdr:sp macro="" textlink="">
      <xdr:nvSpPr>
        <xdr:cNvPr id="70675" name="Line 19"/>
        <xdr:cNvSpPr>
          <a:spLocks noChangeShapeType="1"/>
        </xdr:cNvSpPr>
      </xdr:nvSpPr>
      <xdr:spPr bwMode="auto">
        <a:xfrm>
          <a:off x="3048000" y="3573780"/>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548640</xdr:colOff>
      <xdr:row>20</xdr:row>
      <xdr:rowOff>7620</xdr:rowOff>
    </xdr:from>
    <xdr:to>
      <xdr:col>5</xdr:col>
      <xdr:colOff>160020</xdr:colOff>
      <xdr:row>20</xdr:row>
      <xdr:rowOff>7620</xdr:rowOff>
    </xdr:to>
    <xdr:sp macro="" textlink="">
      <xdr:nvSpPr>
        <xdr:cNvPr id="70676" name="Line 20"/>
        <xdr:cNvSpPr>
          <a:spLocks noChangeShapeType="1"/>
        </xdr:cNvSpPr>
      </xdr:nvSpPr>
      <xdr:spPr bwMode="auto">
        <a:xfrm>
          <a:off x="3048000" y="3573780"/>
          <a:ext cx="23622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472440</xdr:colOff>
      <xdr:row>33</xdr:row>
      <xdr:rowOff>121920</xdr:rowOff>
    </xdr:from>
    <xdr:to>
      <xdr:col>10</xdr:col>
      <xdr:colOff>160020</xdr:colOff>
      <xdr:row>38</xdr:row>
      <xdr:rowOff>76200</xdr:rowOff>
    </xdr:to>
    <xdr:sp macro="" textlink="">
      <xdr:nvSpPr>
        <xdr:cNvPr id="70677" name="AutoShape 21"/>
        <xdr:cNvSpPr>
          <a:spLocks noChangeArrowheads="1"/>
        </xdr:cNvSpPr>
      </xdr:nvSpPr>
      <xdr:spPr bwMode="auto">
        <a:xfrm>
          <a:off x="5471160" y="5867400"/>
          <a:ext cx="937260" cy="79248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160020</xdr:colOff>
      <xdr:row>16</xdr:row>
      <xdr:rowOff>7620</xdr:rowOff>
    </xdr:from>
    <xdr:to>
      <xdr:col>10</xdr:col>
      <xdr:colOff>312420</xdr:colOff>
      <xdr:row>16</xdr:row>
      <xdr:rowOff>7620</xdr:rowOff>
    </xdr:to>
    <xdr:cxnSp macro="">
      <xdr:nvCxnSpPr>
        <xdr:cNvPr id="70678" name="AutoShape 22"/>
        <xdr:cNvCxnSpPr>
          <a:cxnSpLocks noChangeShapeType="1"/>
          <a:stCxn id="70660" idx="1"/>
        </xdr:cNvCxnSpPr>
      </xdr:nvCxnSpPr>
      <xdr:spPr bwMode="auto">
        <a:xfrm rot="10800000">
          <a:off x="4533900" y="2903220"/>
          <a:ext cx="2026920" cy="0"/>
        </a:xfrm>
        <a:prstGeom prst="straightConnector1">
          <a:avLst/>
        </a:prstGeom>
        <a:noFill/>
        <a:ln w="9525">
          <a:solidFill>
            <a:srgbClr val="000000"/>
          </a:solidFill>
          <a:prstDash val="lg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472440</xdr:colOff>
      <xdr:row>20</xdr:row>
      <xdr:rowOff>7620</xdr:rowOff>
    </xdr:from>
    <xdr:to>
      <xdr:col>12</xdr:col>
      <xdr:colOff>160020</xdr:colOff>
      <xdr:row>20</xdr:row>
      <xdr:rowOff>7620</xdr:rowOff>
    </xdr:to>
    <xdr:sp macro="" textlink="">
      <xdr:nvSpPr>
        <xdr:cNvPr id="70679" name="Line 23"/>
        <xdr:cNvSpPr>
          <a:spLocks noChangeShapeType="1"/>
        </xdr:cNvSpPr>
      </xdr:nvSpPr>
      <xdr:spPr bwMode="auto">
        <a:xfrm flipH="1">
          <a:off x="7345680" y="3573780"/>
          <a:ext cx="31242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7</xdr:col>
      <xdr:colOff>289560</xdr:colOff>
      <xdr:row>8</xdr:row>
      <xdr:rowOff>7620</xdr:rowOff>
    </xdr:from>
    <xdr:ext cx="1057084" cy="800476"/>
    <xdr:sp macro="" textlink="">
      <xdr:nvSpPr>
        <xdr:cNvPr id="70680" name="Text Box 24"/>
        <xdr:cNvSpPr txBox="1">
          <a:spLocks noChangeArrowheads="1"/>
        </xdr:cNvSpPr>
      </xdr:nvSpPr>
      <xdr:spPr bwMode="auto">
        <a:xfrm>
          <a:off x="4663440" y="1562100"/>
          <a:ext cx="1057084" cy="80047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200" b="0" i="0" u="none" strike="noStrike" baseline="0">
              <a:solidFill>
                <a:srgbClr val="000000"/>
              </a:solidFill>
              <a:latin typeface="Arial"/>
              <a:cs typeface="Arial"/>
            </a:rPr>
            <a:t>Eric Shaw</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oneCellAnchor>
  <xdr:oneCellAnchor>
    <xdr:from>
      <xdr:col>4</xdr:col>
      <xdr:colOff>160020</xdr:colOff>
      <xdr:row>13</xdr:row>
      <xdr:rowOff>137160</xdr:rowOff>
    </xdr:from>
    <xdr:ext cx="1210973" cy="829714"/>
    <xdr:sp macro="" textlink="">
      <xdr:nvSpPr>
        <xdr:cNvPr id="70681" name="Text Box 25"/>
        <xdr:cNvSpPr txBox="1">
          <a:spLocks noChangeArrowheads="1"/>
        </xdr:cNvSpPr>
      </xdr:nvSpPr>
      <xdr:spPr bwMode="auto">
        <a:xfrm>
          <a:off x="2659380" y="2529840"/>
          <a:ext cx="1210973" cy="82971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Paul Hennemeyer</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Germany, Austria</a:t>
          </a:r>
        </a:p>
        <a:p>
          <a:pPr algn="l" rtl="0">
            <a:defRPr sz="1000"/>
          </a:pPr>
          <a:r>
            <a:rPr lang="en-US" sz="1000" b="0" i="0" u="none" strike="noStrike" baseline="0">
              <a:solidFill>
                <a:srgbClr val="000000"/>
              </a:solidFill>
              <a:latin typeface="Arial"/>
              <a:cs typeface="Arial"/>
            </a:rPr>
            <a:t>Switzerland</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160020</xdr:colOff>
      <xdr:row>13</xdr:row>
      <xdr:rowOff>160020</xdr:rowOff>
    </xdr:from>
    <xdr:to>
      <xdr:col>13</xdr:col>
      <xdr:colOff>76200</xdr:colOff>
      <xdr:row>20</xdr:row>
      <xdr:rowOff>22860</xdr:rowOff>
    </xdr:to>
    <xdr:sp macro="" textlink="">
      <xdr:nvSpPr>
        <xdr:cNvPr id="70682" name="Text Box 26"/>
        <xdr:cNvSpPr txBox="1">
          <a:spLocks noChangeAspect="1" noChangeArrowheads="1"/>
        </xdr:cNvSpPr>
      </xdr:nvSpPr>
      <xdr:spPr bwMode="auto">
        <a:xfrm>
          <a:off x="6408420" y="2552700"/>
          <a:ext cx="1790700" cy="103632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    Peter Styles</a:t>
          </a:r>
        </a:p>
        <a:p>
          <a:pPr algn="l" rtl="0">
            <a:defRPr sz="1000"/>
          </a:pPr>
          <a:r>
            <a:rPr lang="en-US" sz="1000" b="0" i="0" u="none" strike="noStrike" baseline="0">
              <a:solidFill>
                <a:srgbClr val="000000"/>
              </a:solidFill>
              <a:latin typeface="Arial"/>
              <a:cs typeface="Arial"/>
            </a:rPr>
            <a:t>    Vice President</a:t>
          </a:r>
        </a:p>
        <a:p>
          <a:pPr algn="l" rtl="0">
            <a:defRPr sz="1000"/>
          </a:pPr>
          <a:r>
            <a:rPr lang="en-US" sz="1000" b="0" i="0" u="none" strike="noStrike" baseline="0">
              <a:solidFill>
                <a:srgbClr val="000000"/>
              </a:solidFill>
              <a:latin typeface="Arial"/>
              <a:cs typeface="Arial"/>
            </a:rPr>
            <a:t>    Enron Delegation to the </a:t>
          </a:r>
        </a:p>
        <a:p>
          <a:pPr algn="l" rtl="0">
            <a:defRPr sz="1000"/>
          </a:pPr>
          <a:r>
            <a:rPr lang="en-US" sz="1000" b="0" i="0" u="none" strike="noStrike" baseline="0">
              <a:solidFill>
                <a:srgbClr val="000000"/>
              </a:solidFill>
              <a:latin typeface="Arial"/>
              <a:cs typeface="Arial"/>
            </a:rPr>
            <a:t>    EU (Brussels), Beneflux</a:t>
          </a: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12</xdr:col>
      <xdr:colOff>106680</xdr:colOff>
      <xdr:row>18</xdr:row>
      <xdr:rowOff>91440</xdr:rowOff>
    </xdr:from>
    <xdr:ext cx="1032719" cy="682238"/>
    <xdr:sp macro="" textlink="">
      <xdr:nvSpPr>
        <xdr:cNvPr id="70683" name="Text Box 27"/>
        <xdr:cNvSpPr txBox="1">
          <a:spLocks noChangeArrowheads="1"/>
        </xdr:cNvSpPr>
      </xdr:nvSpPr>
      <xdr:spPr bwMode="auto">
        <a:xfrm>
          <a:off x="7604760" y="3322320"/>
          <a:ext cx="1032719" cy="68223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Pamela Milano</a:t>
          </a:r>
        </a:p>
        <a:p>
          <a:pPr algn="l" rtl="0">
            <a:defRPr sz="1000"/>
          </a:pPr>
          <a:r>
            <a:rPr lang="en-US" sz="1000" b="0" i="0" u="none" strike="noStrike" baseline="0">
              <a:solidFill>
                <a:srgbClr val="000000"/>
              </a:solidFill>
              <a:latin typeface="Arial"/>
              <a:cs typeface="Arial"/>
            </a:rPr>
            <a:t>Assistant</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oneCellAnchor>
  <xdr:oneCellAnchor>
    <xdr:from>
      <xdr:col>3</xdr:col>
      <xdr:colOff>182880</xdr:colOff>
      <xdr:row>18</xdr:row>
      <xdr:rowOff>91440</xdr:rowOff>
    </xdr:from>
    <xdr:ext cx="1040028" cy="534762"/>
    <xdr:sp macro="" textlink="">
      <xdr:nvSpPr>
        <xdr:cNvPr id="70684" name="Text Box 28"/>
        <xdr:cNvSpPr txBox="1">
          <a:spLocks noChangeArrowheads="1"/>
        </xdr:cNvSpPr>
      </xdr:nvSpPr>
      <xdr:spPr bwMode="auto">
        <a:xfrm>
          <a:off x="2057400" y="3322320"/>
          <a:ext cx="1040028" cy="53476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Amber Keenan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312420</xdr:colOff>
      <xdr:row>33</xdr:row>
      <xdr:rowOff>121920</xdr:rowOff>
    </xdr:from>
    <xdr:to>
      <xdr:col>12</xdr:col>
      <xdr:colOff>137160</xdr:colOff>
      <xdr:row>39</xdr:row>
      <xdr:rowOff>30480</xdr:rowOff>
    </xdr:to>
    <xdr:sp macro="" textlink="">
      <xdr:nvSpPr>
        <xdr:cNvPr id="70685" name="AutoShape 29"/>
        <xdr:cNvSpPr>
          <a:spLocks noChangeArrowheads="1"/>
        </xdr:cNvSpPr>
      </xdr:nvSpPr>
      <xdr:spPr bwMode="auto">
        <a:xfrm>
          <a:off x="6560820" y="5867400"/>
          <a:ext cx="1074420" cy="914400"/>
        </a:xfrm>
        <a:prstGeom prst="roundRect">
          <a:avLst>
            <a:gd name="adj" fmla="val 16667"/>
          </a:avLst>
        </a:prstGeom>
        <a:solidFill>
          <a:srgbClr val="FFFFFF"/>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Mabel Pigmans</a:t>
          </a:r>
        </a:p>
        <a:p>
          <a:pPr algn="l" rtl="0">
            <a:defRPr sz="1000"/>
          </a:pPr>
          <a:r>
            <a:rPr lang="en-US" sz="1000" b="0" i="0" u="none" strike="noStrike" baseline="0">
              <a:solidFill>
                <a:srgbClr val="000000"/>
              </a:solidFill>
              <a:latin typeface="Arial"/>
              <a:cs typeface="Arial"/>
            </a:rPr>
            <a:t>Research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160020</xdr:colOff>
      <xdr:row>31</xdr:row>
      <xdr:rowOff>137160</xdr:rowOff>
    </xdr:from>
    <xdr:to>
      <xdr:col>11</xdr:col>
      <xdr:colOff>160020</xdr:colOff>
      <xdr:row>33</xdr:row>
      <xdr:rowOff>121920</xdr:rowOff>
    </xdr:to>
    <xdr:sp macro="" textlink="">
      <xdr:nvSpPr>
        <xdr:cNvPr id="70686" name="Line 30"/>
        <xdr:cNvSpPr>
          <a:spLocks noChangeShapeType="1"/>
        </xdr:cNvSpPr>
      </xdr:nvSpPr>
      <xdr:spPr bwMode="auto">
        <a:xfrm>
          <a:off x="7033260" y="5547360"/>
          <a:ext cx="0" cy="32004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312420</xdr:colOff>
      <xdr:row>33</xdr:row>
      <xdr:rowOff>121920</xdr:rowOff>
    </xdr:from>
    <xdr:ext cx="949234" cy="357727"/>
    <xdr:sp macro="" textlink="">
      <xdr:nvSpPr>
        <xdr:cNvPr id="70687" name="Text Box 31"/>
        <xdr:cNvSpPr txBox="1">
          <a:spLocks noChangeArrowheads="1"/>
        </xdr:cNvSpPr>
      </xdr:nvSpPr>
      <xdr:spPr bwMode="auto">
        <a:xfrm>
          <a:off x="937260" y="5867400"/>
          <a:ext cx="949234" cy="357727"/>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800" b="0" i="0" u="none" strike="noStrike" baseline="0">
              <a:solidFill>
                <a:srgbClr val="FFFFFF"/>
              </a:solidFill>
              <a:latin typeface="Arial"/>
              <a:cs typeface="Arial"/>
            </a:rPr>
            <a:t>not </a:t>
          </a:r>
          <a:r>
            <a:rPr lang="en-US" sz="1000" b="0" i="0" u="none" strike="noStrike" baseline="0">
              <a:solidFill>
                <a:srgbClr val="FFFFFF"/>
              </a:solidFill>
              <a:latin typeface="Arial"/>
              <a:cs typeface="Arial"/>
            </a:rPr>
            <a:t>i</a:t>
          </a:r>
          <a:r>
            <a:rPr lang="en-US" sz="800" b="0" i="0" u="none" strike="noStrike" baseline="0">
              <a:solidFill>
                <a:srgbClr val="FFFFFF"/>
              </a:solidFill>
              <a:latin typeface="Arial"/>
              <a:cs typeface="Arial"/>
            </a:rPr>
            <a:t>n headcount</a:t>
          </a:r>
        </a:p>
        <a:p>
          <a:pPr algn="l" rtl="0">
            <a:defRPr sz="1000"/>
          </a:pPr>
          <a:endParaRPr lang="en-US" sz="800" b="0" i="0" u="none" strike="noStrike" baseline="0">
            <a:solidFill>
              <a:srgbClr val="FFFFFF"/>
            </a:solidFill>
            <a:latin typeface="Arial"/>
            <a:cs typeface="Arial"/>
          </a:endParaRPr>
        </a:p>
      </xdr:txBody>
    </xdr:sp>
    <xdr:clientData/>
  </xdr:oneCellAnchor>
  <xdr:twoCellAnchor>
    <xdr:from>
      <xdr:col>9</xdr:col>
      <xdr:colOff>342900</xdr:colOff>
      <xdr:row>33</xdr:row>
      <xdr:rowOff>0</xdr:rowOff>
    </xdr:from>
    <xdr:to>
      <xdr:col>9</xdr:col>
      <xdr:colOff>342900</xdr:colOff>
      <xdr:row>33</xdr:row>
      <xdr:rowOff>121920</xdr:rowOff>
    </xdr:to>
    <xdr:sp macro="" textlink="">
      <xdr:nvSpPr>
        <xdr:cNvPr id="70688" name="Line 32"/>
        <xdr:cNvSpPr>
          <a:spLocks noChangeShapeType="1"/>
        </xdr:cNvSpPr>
      </xdr:nvSpPr>
      <xdr:spPr bwMode="auto">
        <a:xfrm>
          <a:off x="5966460" y="5745480"/>
          <a:ext cx="0" cy="1219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160020</xdr:colOff>
      <xdr:row>18</xdr:row>
      <xdr:rowOff>38100</xdr:rowOff>
    </xdr:from>
    <xdr:to>
      <xdr:col>5</xdr:col>
      <xdr:colOff>160020</xdr:colOff>
      <xdr:row>20</xdr:row>
      <xdr:rowOff>7620</xdr:rowOff>
    </xdr:to>
    <xdr:sp macro="" textlink="">
      <xdr:nvSpPr>
        <xdr:cNvPr id="70689" name="Line 33"/>
        <xdr:cNvSpPr>
          <a:spLocks noChangeShapeType="1"/>
        </xdr:cNvSpPr>
      </xdr:nvSpPr>
      <xdr:spPr bwMode="auto">
        <a:xfrm flipV="1">
          <a:off x="3284220" y="3268980"/>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30480</xdr:colOff>
      <xdr:row>0</xdr:row>
      <xdr:rowOff>7620</xdr:rowOff>
    </xdr:from>
    <xdr:to>
      <xdr:col>8</xdr:col>
      <xdr:colOff>220980</xdr:colOff>
      <xdr:row>5</xdr:row>
      <xdr:rowOff>106680</xdr:rowOff>
    </xdr:to>
    <xdr:pic>
      <xdr:nvPicPr>
        <xdr:cNvPr id="25601"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0480" y="7620"/>
          <a:ext cx="107061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xdr:row>
      <xdr:rowOff>76200</xdr:rowOff>
    </xdr:from>
    <xdr:to>
      <xdr:col>7</xdr:col>
      <xdr:colOff>678180</xdr:colOff>
      <xdr:row>4</xdr:row>
      <xdr:rowOff>76200</xdr:rowOff>
    </xdr:to>
    <xdr:pic>
      <xdr:nvPicPr>
        <xdr:cNvPr id="2560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93580" y="243840"/>
          <a:ext cx="60198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266700</xdr:colOff>
      <xdr:row>1</xdr:row>
      <xdr:rowOff>129540</xdr:rowOff>
    </xdr:from>
    <xdr:to>
      <xdr:col>1</xdr:col>
      <xdr:colOff>198120</xdr:colOff>
      <xdr:row>3</xdr:row>
      <xdr:rowOff>144780</xdr:rowOff>
    </xdr:to>
    <xdr:sp macro="" textlink="">
      <xdr:nvSpPr>
        <xdr:cNvPr id="25606" name="Text Box 6"/>
        <xdr:cNvSpPr txBox="1">
          <a:spLocks noChangeArrowheads="1"/>
        </xdr:cNvSpPr>
      </xdr:nvSpPr>
      <xdr:spPr bwMode="auto">
        <a:xfrm>
          <a:off x="266700" y="297180"/>
          <a:ext cx="2720340" cy="35052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Allocations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304800</xdr:colOff>
      <xdr:row>1</xdr:row>
      <xdr:rowOff>7620</xdr:rowOff>
    </xdr:from>
    <xdr:to>
      <xdr:col>8</xdr:col>
      <xdr:colOff>220980</xdr:colOff>
      <xdr:row>6</xdr:row>
      <xdr:rowOff>106680</xdr:rowOff>
    </xdr:to>
    <xdr:pic>
      <xdr:nvPicPr>
        <xdr:cNvPr id="6860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929640" y="182880"/>
          <a:ext cx="521208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2</xdr:row>
      <xdr:rowOff>76200</xdr:rowOff>
    </xdr:from>
    <xdr:to>
      <xdr:col>8</xdr:col>
      <xdr:colOff>281940</xdr:colOff>
      <xdr:row>5</xdr:row>
      <xdr:rowOff>68580</xdr:rowOff>
    </xdr:to>
    <xdr:pic>
      <xdr:nvPicPr>
        <xdr:cNvPr id="6861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08320" y="419100"/>
          <a:ext cx="59436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952500</xdr:colOff>
      <xdr:row>2</xdr:row>
      <xdr:rowOff>129540</xdr:rowOff>
    </xdr:from>
    <xdr:to>
      <xdr:col>3</xdr:col>
      <xdr:colOff>45720</xdr:colOff>
      <xdr:row>4</xdr:row>
      <xdr:rowOff>144780</xdr:rowOff>
    </xdr:to>
    <xdr:sp macro="" textlink="">
      <xdr:nvSpPr>
        <xdr:cNvPr id="68611" name="Text Box 3"/>
        <xdr:cNvSpPr txBox="1">
          <a:spLocks noChangeArrowheads="1"/>
        </xdr:cNvSpPr>
      </xdr:nvSpPr>
      <xdr:spPr bwMode="auto">
        <a:xfrm>
          <a:off x="1577340" y="472440"/>
          <a:ext cx="2324100" cy="35052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Time Summary 2002</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68580</xdr:colOff>
      <xdr:row>0</xdr:row>
      <xdr:rowOff>76200</xdr:rowOff>
    </xdr:from>
    <xdr:to>
      <xdr:col>8</xdr:col>
      <xdr:colOff>266700</xdr:colOff>
      <xdr:row>7</xdr:row>
      <xdr:rowOff>30480</xdr:rowOff>
    </xdr:to>
    <xdr:pic>
      <xdr:nvPicPr>
        <xdr:cNvPr id="4403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8580" y="76200"/>
          <a:ext cx="13571220" cy="112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541020</xdr:colOff>
      <xdr:row>1</xdr:row>
      <xdr:rowOff>91440</xdr:rowOff>
    </xdr:from>
    <xdr:to>
      <xdr:col>6</xdr:col>
      <xdr:colOff>1135380</xdr:colOff>
      <xdr:row>4</xdr:row>
      <xdr:rowOff>91440</xdr:rowOff>
    </xdr:to>
    <xdr:pic>
      <xdr:nvPicPr>
        <xdr:cNvPr id="4403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19260" y="259080"/>
          <a:ext cx="59436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266700</xdr:colOff>
      <xdr:row>1</xdr:row>
      <xdr:rowOff>129540</xdr:rowOff>
    </xdr:from>
    <xdr:to>
      <xdr:col>2</xdr:col>
      <xdr:colOff>548640</xdr:colOff>
      <xdr:row>3</xdr:row>
      <xdr:rowOff>144780</xdr:rowOff>
    </xdr:to>
    <xdr:sp macro="" textlink="">
      <xdr:nvSpPr>
        <xdr:cNvPr id="44035" name="Text Box 3"/>
        <xdr:cNvSpPr txBox="1">
          <a:spLocks noChangeArrowheads="1"/>
        </xdr:cNvSpPr>
      </xdr:nvSpPr>
      <xdr:spPr bwMode="auto">
        <a:xfrm>
          <a:off x="266700" y="297180"/>
          <a:ext cx="4145280" cy="35052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Corporate Allocations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38100</xdr:colOff>
      <xdr:row>0</xdr:row>
      <xdr:rowOff>76200</xdr:rowOff>
    </xdr:from>
    <xdr:to>
      <xdr:col>13</xdr:col>
      <xdr:colOff>556260</xdr:colOff>
      <xdr:row>6</xdr:row>
      <xdr:rowOff>7620</xdr:rowOff>
    </xdr:to>
    <xdr:pic>
      <xdr:nvPicPr>
        <xdr:cNvPr id="40964" name="Picture 4"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76200"/>
          <a:ext cx="137541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1303020</xdr:colOff>
      <xdr:row>1</xdr:row>
      <xdr:rowOff>129540</xdr:rowOff>
    </xdr:from>
    <xdr:to>
      <xdr:col>8</xdr:col>
      <xdr:colOff>487680</xdr:colOff>
      <xdr:row>4</xdr:row>
      <xdr:rowOff>129540</xdr:rowOff>
    </xdr:to>
    <xdr:pic>
      <xdr:nvPicPr>
        <xdr:cNvPr id="4096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06000" y="297180"/>
          <a:ext cx="59436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266700</xdr:colOff>
      <xdr:row>1</xdr:row>
      <xdr:rowOff>129540</xdr:rowOff>
    </xdr:from>
    <xdr:to>
      <xdr:col>2</xdr:col>
      <xdr:colOff>838200</xdr:colOff>
      <xdr:row>3</xdr:row>
      <xdr:rowOff>144780</xdr:rowOff>
    </xdr:to>
    <xdr:sp macro="" textlink="">
      <xdr:nvSpPr>
        <xdr:cNvPr id="40963" name="Text Box 3"/>
        <xdr:cNvSpPr txBox="1">
          <a:spLocks noChangeArrowheads="1"/>
        </xdr:cNvSpPr>
      </xdr:nvSpPr>
      <xdr:spPr bwMode="auto">
        <a:xfrm>
          <a:off x="266700" y="297180"/>
          <a:ext cx="2004060" cy="35052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RUN RATE ANALYSIS 2002 VS 2001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68580</xdr:colOff>
      <xdr:row>0</xdr:row>
      <xdr:rowOff>30480</xdr:rowOff>
    </xdr:from>
    <xdr:to>
      <xdr:col>15</xdr:col>
      <xdr:colOff>586740</xdr:colOff>
      <xdr:row>5</xdr:row>
      <xdr:rowOff>129540</xdr:rowOff>
    </xdr:to>
    <xdr:pic>
      <xdr:nvPicPr>
        <xdr:cNvPr id="1433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8580" y="30480"/>
          <a:ext cx="1021842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304800</xdr:colOff>
      <xdr:row>1</xdr:row>
      <xdr:rowOff>30480</xdr:rowOff>
    </xdr:from>
    <xdr:to>
      <xdr:col>12</xdr:col>
      <xdr:colOff>304800</xdr:colOff>
      <xdr:row>4</xdr:row>
      <xdr:rowOff>22860</xdr:rowOff>
    </xdr:to>
    <xdr:pic>
      <xdr:nvPicPr>
        <xdr:cNvPr id="1433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05700" y="198120"/>
          <a:ext cx="62484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38100</xdr:colOff>
      <xdr:row>0</xdr:row>
      <xdr:rowOff>45720</xdr:rowOff>
    </xdr:from>
    <xdr:to>
      <xdr:col>11</xdr:col>
      <xdr:colOff>411480</xdr:colOff>
      <xdr:row>3</xdr:row>
      <xdr:rowOff>68580</xdr:rowOff>
    </xdr:to>
    <xdr:pic>
      <xdr:nvPicPr>
        <xdr:cNvPr id="2252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45720"/>
          <a:ext cx="13053060"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0</xdr:row>
      <xdr:rowOff>152400</xdr:rowOff>
    </xdr:from>
    <xdr:to>
      <xdr:col>10</xdr:col>
      <xdr:colOff>533400</xdr:colOff>
      <xdr:row>1</xdr:row>
      <xdr:rowOff>198120</xdr:rowOff>
    </xdr:to>
    <xdr:sp macro="" textlink="">
      <xdr:nvSpPr>
        <xdr:cNvPr id="22530" name="Text Box 2"/>
        <xdr:cNvSpPr txBox="1">
          <a:spLocks noChangeArrowheads="1"/>
        </xdr:cNvSpPr>
      </xdr:nvSpPr>
      <xdr:spPr bwMode="auto">
        <a:xfrm>
          <a:off x="365760" y="152400"/>
          <a:ext cx="7863840" cy="2819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2002 Expense Analysis </a:t>
          </a:r>
        </a:p>
      </xdr:txBody>
    </xdr:sp>
    <xdr:clientData/>
  </xdr:twoCellAnchor>
  <xdr:twoCellAnchor editAs="oneCell">
    <xdr:from>
      <xdr:col>10</xdr:col>
      <xdr:colOff>2308860</xdr:colOff>
      <xdr:row>0</xdr:row>
      <xdr:rowOff>228600</xdr:rowOff>
    </xdr:from>
    <xdr:to>
      <xdr:col>10</xdr:col>
      <xdr:colOff>2865120</xdr:colOff>
      <xdr:row>2</xdr:row>
      <xdr:rowOff>76200</xdr:rowOff>
    </xdr:to>
    <xdr:pic>
      <xdr:nvPicPr>
        <xdr:cNvPr id="2253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05060" y="228600"/>
          <a:ext cx="556260"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xdr:colOff>
      <xdr:row>0</xdr:row>
      <xdr:rowOff>76200</xdr:rowOff>
    </xdr:from>
    <xdr:to>
      <xdr:col>14</xdr:col>
      <xdr:colOff>617220</xdr:colOff>
      <xdr:row>6</xdr:row>
      <xdr:rowOff>22860</xdr:rowOff>
    </xdr:to>
    <xdr:pic>
      <xdr:nvPicPr>
        <xdr:cNvPr id="12294" name="Picture 6"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5720" y="76200"/>
          <a:ext cx="966216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335280</xdr:colOff>
      <xdr:row>0</xdr:row>
      <xdr:rowOff>68580</xdr:rowOff>
    </xdr:from>
    <xdr:to>
      <xdr:col>3</xdr:col>
      <xdr:colOff>30480</xdr:colOff>
      <xdr:row>3</xdr:row>
      <xdr:rowOff>68580</xdr:rowOff>
    </xdr:to>
    <xdr:sp macro="" textlink="">
      <xdr:nvSpPr>
        <xdr:cNvPr id="12292" name="Text Box 4"/>
        <xdr:cNvSpPr txBox="1">
          <a:spLocks noChangeArrowheads="1"/>
        </xdr:cNvSpPr>
      </xdr:nvSpPr>
      <xdr:spPr bwMode="auto">
        <a:xfrm>
          <a:off x="335280" y="68580"/>
          <a:ext cx="1912620" cy="502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Index</a:t>
          </a:r>
        </a:p>
      </xdr:txBody>
    </xdr:sp>
    <xdr:clientData/>
  </xdr:twoCellAnchor>
  <xdr:twoCellAnchor editAs="oneCell">
    <xdr:from>
      <xdr:col>11</xdr:col>
      <xdr:colOff>381000</xdr:colOff>
      <xdr:row>1</xdr:row>
      <xdr:rowOff>129540</xdr:rowOff>
    </xdr:from>
    <xdr:to>
      <xdr:col>12</xdr:col>
      <xdr:colOff>243840</xdr:colOff>
      <xdr:row>4</xdr:row>
      <xdr:rowOff>30480</xdr:rowOff>
    </xdr:to>
    <xdr:pic>
      <xdr:nvPicPr>
        <xdr:cNvPr id="12293"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97140" y="29718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45720</xdr:colOff>
      <xdr:row>0</xdr:row>
      <xdr:rowOff>38100</xdr:rowOff>
    </xdr:from>
    <xdr:to>
      <xdr:col>11</xdr:col>
      <xdr:colOff>403860</xdr:colOff>
      <xdr:row>3</xdr:row>
      <xdr:rowOff>68580</xdr:rowOff>
    </xdr:to>
    <xdr:pic>
      <xdr:nvPicPr>
        <xdr:cNvPr id="2457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5720" y="38100"/>
          <a:ext cx="1223772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0</xdr:row>
      <xdr:rowOff>152400</xdr:rowOff>
    </xdr:from>
    <xdr:to>
      <xdr:col>10</xdr:col>
      <xdr:colOff>525780</xdr:colOff>
      <xdr:row>1</xdr:row>
      <xdr:rowOff>198120</xdr:rowOff>
    </xdr:to>
    <xdr:sp macro="" textlink="">
      <xdr:nvSpPr>
        <xdr:cNvPr id="24578" name="Text Box 2"/>
        <xdr:cNvSpPr txBox="1">
          <a:spLocks noChangeArrowheads="1"/>
        </xdr:cNvSpPr>
      </xdr:nvSpPr>
      <xdr:spPr bwMode="auto">
        <a:xfrm>
          <a:off x="533400" y="152400"/>
          <a:ext cx="6408420" cy="2819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2002 Expense Analysis </a:t>
          </a:r>
        </a:p>
      </xdr:txBody>
    </xdr:sp>
    <xdr:clientData/>
  </xdr:twoCellAnchor>
  <xdr:twoCellAnchor editAs="oneCell">
    <xdr:from>
      <xdr:col>10</xdr:col>
      <xdr:colOff>2537460</xdr:colOff>
      <xdr:row>1</xdr:row>
      <xdr:rowOff>45720</xdr:rowOff>
    </xdr:from>
    <xdr:to>
      <xdr:col>10</xdr:col>
      <xdr:colOff>3093720</xdr:colOff>
      <xdr:row>2</xdr:row>
      <xdr:rowOff>137160</xdr:rowOff>
    </xdr:to>
    <xdr:pic>
      <xdr:nvPicPr>
        <xdr:cNvPr id="2457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53500" y="281940"/>
          <a:ext cx="55626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45720</xdr:colOff>
      <xdr:row>0</xdr:row>
      <xdr:rowOff>30480</xdr:rowOff>
    </xdr:from>
    <xdr:to>
      <xdr:col>11</xdr:col>
      <xdr:colOff>403860</xdr:colOff>
      <xdr:row>3</xdr:row>
      <xdr:rowOff>68580</xdr:rowOff>
    </xdr:to>
    <xdr:pic>
      <xdr:nvPicPr>
        <xdr:cNvPr id="3276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5720" y="30480"/>
          <a:ext cx="13007340" cy="899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0</xdr:row>
      <xdr:rowOff>152400</xdr:rowOff>
    </xdr:from>
    <xdr:to>
      <xdr:col>10</xdr:col>
      <xdr:colOff>525780</xdr:colOff>
      <xdr:row>1</xdr:row>
      <xdr:rowOff>198120</xdr:rowOff>
    </xdr:to>
    <xdr:sp macro="" textlink="">
      <xdr:nvSpPr>
        <xdr:cNvPr id="32770" name="Text Box 2"/>
        <xdr:cNvSpPr txBox="1">
          <a:spLocks noChangeArrowheads="1"/>
        </xdr:cNvSpPr>
      </xdr:nvSpPr>
      <xdr:spPr bwMode="auto">
        <a:xfrm>
          <a:off x="533400" y="152400"/>
          <a:ext cx="6766560" cy="2819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2002 Expense Analysis</a:t>
          </a:r>
          <a:r>
            <a:rPr lang="en-US" sz="1800" b="1" i="0" u="none" strike="noStrike" baseline="0">
              <a:solidFill>
                <a:srgbClr val="CCFFFF"/>
              </a:solidFill>
              <a:latin typeface="Times New Roman"/>
              <a:cs typeface="Times New Roman"/>
            </a:rPr>
            <a:t> </a:t>
          </a:r>
        </a:p>
      </xdr:txBody>
    </xdr:sp>
    <xdr:clientData/>
  </xdr:twoCellAnchor>
  <xdr:twoCellAnchor editAs="oneCell">
    <xdr:from>
      <xdr:col>10</xdr:col>
      <xdr:colOff>2423160</xdr:colOff>
      <xdr:row>1</xdr:row>
      <xdr:rowOff>68580</xdr:rowOff>
    </xdr:from>
    <xdr:to>
      <xdr:col>10</xdr:col>
      <xdr:colOff>2987040</xdr:colOff>
      <xdr:row>2</xdr:row>
      <xdr:rowOff>152400</xdr:rowOff>
    </xdr:to>
    <xdr:pic>
      <xdr:nvPicPr>
        <xdr:cNvPr id="3277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97340" y="304800"/>
          <a:ext cx="563880" cy="39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12</xdr:col>
      <xdr:colOff>533400</xdr:colOff>
      <xdr:row>6</xdr:row>
      <xdr:rowOff>45720</xdr:rowOff>
    </xdr:to>
    <xdr:pic>
      <xdr:nvPicPr>
        <xdr:cNvPr id="4710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38100"/>
          <a:ext cx="9471660" cy="101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106680</xdr:colOff>
      <xdr:row>1</xdr:row>
      <xdr:rowOff>106680</xdr:rowOff>
    </xdr:from>
    <xdr:to>
      <xdr:col>8</xdr:col>
      <xdr:colOff>342900</xdr:colOff>
      <xdr:row>5</xdr:row>
      <xdr:rowOff>45720</xdr:rowOff>
    </xdr:to>
    <xdr:sp macro="" textlink="">
      <xdr:nvSpPr>
        <xdr:cNvPr id="47106" name="Text Box 2"/>
        <xdr:cNvSpPr txBox="1">
          <a:spLocks noChangeArrowheads="1"/>
        </xdr:cNvSpPr>
      </xdr:nvSpPr>
      <xdr:spPr bwMode="auto">
        <a:xfrm>
          <a:off x="731520" y="274320"/>
          <a:ext cx="527304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Run Rate Analysis</a:t>
          </a:r>
        </a:p>
        <a:p>
          <a:pPr algn="l" rtl="0">
            <a:defRPr sz="1000"/>
          </a:pPr>
          <a:r>
            <a:rPr lang="en-US" sz="1800" b="1" i="0" u="none" strike="noStrike" baseline="0">
              <a:solidFill>
                <a:srgbClr val="000000"/>
              </a:solidFill>
              <a:latin typeface="Times New Roman"/>
              <a:cs typeface="Times New Roman"/>
            </a:rPr>
            <a:t>Aug YTD grossed up versus CE2 and versus plan 2001</a:t>
          </a:r>
        </a:p>
      </xdr:txBody>
    </xdr:sp>
    <xdr:clientData/>
  </xdr:twoCellAnchor>
  <xdr:twoCellAnchor editAs="oneCell">
    <xdr:from>
      <xdr:col>9</xdr:col>
      <xdr:colOff>335280</xdr:colOff>
      <xdr:row>1</xdr:row>
      <xdr:rowOff>160020</xdr:rowOff>
    </xdr:from>
    <xdr:to>
      <xdr:col>9</xdr:col>
      <xdr:colOff>822960</xdr:colOff>
      <xdr:row>4</xdr:row>
      <xdr:rowOff>68580</xdr:rowOff>
    </xdr:to>
    <xdr:pic>
      <xdr:nvPicPr>
        <xdr:cNvPr id="4710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327660"/>
          <a:ext cx="487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10</xdr:row>
      <xdr:rowOff>0</xdr:rowOff>
    </xdr:from>
    <xdr:to>
      <xdr:col>6</xdr:col>
      <xdr:colOff>0</xdr:colOff>
      <xdr:row>30</xdr:row>
      <xdr:rowOff>0</xdr:rowOff>
    </xdr:to>
    <xdr:sp macro="" textlink="">
      <xdr:nvSpPr>
        <xdr:cNvPr id="47110" name="Rectangle 6"/>
        <xdr:cNvSpPr>
          <a:spLocks noChangeArrowheads="1"/>
        </xdr:cNvSpPr>
      </xdr:nvSpPr>
      <xdr:spPr bwMode="auto">
        <a:xfrm>
          <a:off x="3634740" y="1684020"/>
          <a:ext cx="937260" cy="319278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8</xdr:col>
      <xdr:colOff>0</xdr:colOff>
      <xdr:row>10</xdr:row>
      <xdr:rowOff>0</xdr:rowOff>
    </xdr:from>
    <xdr:to>
      <xdr:col>9</xdr:col>
      <xdr:colOff>0</xdr:colOff>
      <xdr:row>30</xdr:row>
      <xdr:rowOff>0</xdr:rowOff>
    </xdr:to>
    <xdr:sp macro="" textlink="">
      <xdr:nvSpPr>
        <xdr:cNvPr id="47111" name="Rectangle 7"/>
        <xdr:cNvSpPr>
          <a:spLocks noChangeArrowheads="1"/>
        </xdr:cNvSpPr>
      </xdr:nvSpPr>
      <xdr:spPr bwMode="auto">
        <a:xfrm>
          <a:off x="5661660" y="1684020"/>
          <a:ext cx="1036320" cy="319278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7620</xdr:colOff>
      <xdr:row>0</xdr:row>
      <xdr:rowOff>30480</xdr:rowOff>
    </xdr:from>
    <xdr:to>
      <xdr:col>15</xdr:col>
      <xdr:colOff>563880</xdr:colOff>
      <xdr:row>6</xdr:row>
      <xdr:rowOff>0</xdr:rowOff>
    </xdr:to>
    <xdr:pic>
      <xdr:nvPicPr>
        <xdr:cNvPr id="1740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7620" y="30480"/>
          <a:ext cx="10256520" cy="97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304800</xdr:colOff>
      <xdr:row>1</xdr:row>
      <xdr:rowOff>106680</xdr:rowOff>
    </xdr:from>
    <xdr:to>
      <xdr:col>12</xdr:col>
      <xdr:colOff>167640</xdr:colOff>
      <xdr:row>4</xdr:row>
      <xdr:rowOff>7620</xdr:rowOff>
    </xdr:to>
    <xdr:pic>
      <xdr:nvPicPr>
        <xdr:cNvPr id="1741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05700" y="27432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38100</xdr:colOff>
      <xdr:row>0</xdr:row>
      <xdr:rowOff>68580</xdr:rowOff>
    </xdr:from>
    <xdr:to>
      <xdr:col>9</xdr:col>
      <xdr:colOff>541020</xdr:colOff>
      <xdr:row>6</xdr:row>
      <xdr:rowOff>45720</xdr:rowOff>
    </xdr:to>
    <xdr:pic>
      <xdr:nvPicPr>
        <xdr:cNvPr id="8214" name="Picture 22"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68580"/>
          <a:ext cx="11369040" cy="982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365760</xdr:colOff>
      <xdr:row>2</xdr:row>
      <xdr:rowOff>30480</xdr:rowOff>
    </xdr:from>
    <xdr:to>
      <xdr:col>8</xdr:col>
      <xdr:colOff>853440</xdr:colOff>
      <xdr:row>4</xdr:row>
      <xdr:rowOff>106680</xdr:rowOff>
    </xdr:to>
    <xdr:pic>
      <xdr:nvPicPr>
        <xdr:cNvPr id="8215" name="Picture 2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47960" y="365760"/>
          <a:ext cx="487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419100</xdr:colOff>
      <xdr:row>1</xdr:row>
      <xdr:rowOff>22860</xdr:rowOff>
    </xdr:from>
    <xdr:to>
      <xdr:col>5</xdr:col>
      <xdr:colOff>784860</xdr:colOff>
      <xdr:row>4</xdr:row>
      <xdr:rowOff>22860</xdr:rowOff>
    </xdr:to>
    <xdr:sp macro="" textlink="">
      <xdr:nvSpPr>
        <xdr:cNvPr id="8216" name="Text Box 24"/>
        <xdr:cNvSpPr txBox="1">
          <a:spLocks noChangeArrowheads="1"/>
        </xdr:cNvSpPr>
      </xdr:nvSpPr>
      <xdr:spPr bwMode="auto">
        <a:xfrm>
          <a:off x="419100" y="190500"/>
          <a:ext cx="7368540" cy="502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3175">
              <a:solidFill>
                <a:srgbClr xmlns:mc="http://schemas.openxmlformats.org/markup-compatibility/2006" val="FFFFFF" mc:Ignorable="a14" a14:legacySpreadsheetColorIndex="9"/>
              </a:solidFill>
              <a:miter lim="800000"/>
              <a:headEnd/>
              <a:tailEnd/>
            </a14:hiddenLine>
          </a:ext>
        </a:extLst>
      </xdr:spPr>
      <xdr:txBody>
        <a:bodyPr vertOverflow="clip" wrap="square" lIns="36576" tIns="27432"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Detailed Expenses by Cost Centre 2002 Plan vs 2001</a:t>
          </a:r>
        </a:p>
        <a:p>
          <a:pPr algn="l" rtl="0">
            <a:defRPr sz="1000"/>
          </a:pPr>
          <a:endParaRPr lang="en-US" sz="1800" b="1" i="0" u="none" strike="noStrike" baseline="0">
            <a:solidFill>
              <a:srgbClr val="000000"/>
            </a:solidFill>
            <a:latin typeface="Times New Roman"/>
            <a:cs typeface="Times New Roman"/>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5</xdr:row>
      <xdr:rowOff>144780</xdr:rowOff>
    </xdr:to>
    <xdr:pic>
      <xdr:nvPicPr>
        <xdr:cNvPr id="3174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0" y="0"/>
          <a:ext cx="14554200" cy="982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144780</xdr:colOff>
      <xdr:row>2</xdr:row>
      <xdr:rowOff>7620</xdr:rowOff>
    </xdr:from>
    <xdr:to>
      <xdr:col>11</xdr:col>
      <xdr:colOff>632460</xdr:colOff>
      <xdr:row>4</xdr:row>
      <xdr:rowOff>76200</xdr:rowOff>
    </xdr:to>
    <xdr:pic>
      <xdr:nvPicPr>
        <xdr:cNvPr id="3174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949940" y="34290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419100</xdr:colOff>
      <xdr:row>1</xdr:row>
      <xdr:rowOff>22860</xdr:rowOff>
    </xdr:from>
    <xdr:to>
      <xdr:col>8</xdr:col>
      <xdr:colOff>358140</xdr:colOff>
      <xdr:row>4</xdr:row>
      <xdr:rowOff>22860</xdr:rowOff>
    </xdr:to>
    <xdr:sp macro="" textlink="">
      <xdr:nvSpPr>
        <xdr:cNvPr id="31747" name="Text Box 3"/>
        <xdr:cNvSpPr txBox="1">
          <a:spLocks noChangeArrowheads="1"/>
        </xdr:cNvSpPr>
      </xdr:nvSpPr>
      <xdr:spPr bwMode="auto">
        <a:xfrm>
          <a:off x="419100" y="190500"/>
          <a:ext cx="7932420" cy="502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3175">
              <a:solidFill>
                <a:srgbClr xmlns:mc="http://schemas.openxmlformats.org/markup-compatibility/2006" val="FFFFFF" mc:Ignorable="a14" a14:legacySpreadsheetColorIndex="9"/>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Detailed Expenses by Period  2002 Plan vs 2001</a:t>
          </a:r>
        </a:p>
        <a:p>
          <a:pPr algn="l" rtl="0">
            <a:defRPr sz="1000"/>
          </a:pPr>
          <a:endParaRPr lang="en-US" sz="1800" b="1" i="0" u="none" strike="noStrike" baseline="0">
            <a:solidFill>
              <a:srgbClr val="000000"/>
            </a:solidFill>
            <a:latin typeface="Times New Roman"/>
            <a:cs typeface="Times New Roman"/>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358140</xdr:colOff>
      <xdr:row>5</xdr:row>
      <xdr:rowOff>0</xdr:rowOff>
    </xdr:to>
    <xdr:pic>
      <xdr:nvPicPr>
        <xdr:cNvPr id="3379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605260"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30480</xdr:colOff>
      <xdr:row>1</xdr:row>
      <xdr:rowOff>45720</xdr:rowOff>
    </xdr:from>
    <xdr:to>
      <xdr:col>12</xdr:col>
      <xdr:colOff>518160</xdr:colOff>
      <xdr:row>3</xdr:row>
      <xdr:rowOff>121920</xdr:rowOff>
    </xdr:to>
    <xdr:pic>
      <xdr:nvPicPr>
        <xdr:cNvPr id="3379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28560" y="213360"/>
          <a:ext cx="487680" cy="411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510540</xdr:colOff>
      <xdr:row>6</xdr:row>
      <xdr:rowOff>30480</xdr:rowOff>
    </xdr:to>
    <xdr:pic>
      <xdr:nvPicPr>
        <xdr:cNvPr id="3788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552194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548640</xdr:colOff>
      <xdr:row>1</xdr:row>
      <xdr:rowOff>38100</xdr:rowOff>
    </xdr:from>
    <xdr:to>
      <xdr:col>9</xdr:col>
      <xdr:colOff>304800</xdr:colOff>
      <xdr:row>4</xdr:row>
      <xdr:rowOff>30480</xdr:rowOff>
    </xdr:to>
    <xdr:pic>
      <xdr:nvPicPr>
        <xdr:cNvPr id="3789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23220" y="205740"/>
          <a:ext cx="6477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60960</xdr:colOff>
      <xdr:row>1</xdr:row>
      <xdr:rowOff>0</xdr:rowOff>
    </xdr:from>
    <xdr:to>
      <xdr:col>4</xdr:col>
      <xdr:colOff>449580</xdr:colOff>
      <xdr:row>4</xdr:row>
      <xdr:rowOff>0</xdr:rowOff>
    </xdr:to>
    <xdr:sp macro="" textlink="">
      <xdr:nvSpPr>
        <xdr:cNvPr id="37939" name="Text Box 51"/>
        <xdr:cNvSpPr txBox="1">
          <a:spLocks noChangeArrowheads="1"/>
        </xdr:cNvSpPr>
      </xdr:nvSpPr>
      <xdr:spPr bwMode="auto">
        <a:xfrm>
          <a:off x="685800" y="167640"/>
          <a:ext cx="4945380" cy="50292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Region Detailed Expense by CC - 2002</a:t>
          </a:r>
        </a:p>
        <a:p>
          <a:pPr algn="l" rtl="0">
            <a:defRPr sz="1000"/>
          </a:pPr>
          <a:endParaRPr lang="en-US" sz="1800" b="1"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38081" name="adaytum_page_1_drop_1" hidden="1">
              <a:extLst>
                <a:ext uri="{63B3BB69-23CF-44E3-9099-C40C66FF867C}">
                  <a14:compatExt spid="_x0000_s3808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1051560</xdr:colOff>
          <xdr:row>11</xdr:row>
          <xdr:rowOff>0</xdr:rowOff>
        </xdr:to>
        <xdr:sp macro="" textlink="">
          <xdr:nvSpPr>
            <xdr:cNvPr id="38083" name="adaytum_page_1_drop_2" hidden="1">
              <a:extLst>
                <a:ext uri="{63B3BB69-23CF-44E3-9099-C40C66FF867C}">
                  <a14:compatExt spid="_x0000_s38083"/>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0</xdr:colOff>
          <xdr:row>11</xdr:row>
          <xdr:rowOff>0</xdr:rowOff>
        </xdr:to>
        <xdr:sp macro="" textlink="">
          <xdr:nvSpPr>
            <xdr:cNvPr id="38085" name="adaytum_page_1_drop_3" hidden="1">
              <a:extLst>
                <a:ext uri="{63B3BB69-23CF-44E3-9099-C40C66FF867C}">
                  <a14:compatExt spid="_x0000_s38085"/>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0</xdr:colOff>
          <xdr:row>11</xdr:row>
          <xdr:rowOff>0</xdr:rowOff>
        </xdr:to>
        <xdr:sp macro="" textlink="">
          <xdr:nvSpPr>
            <xdr:cNvPr id="38087" name="adaytum_page_1_drop_4" hidden="1">
              <a:extLst>
                <a:ext uri="{63B3BB69-23CF-44E3-9099-C40C66FF867C}">
                  <a14:compatExt spid="_x0000_s38087"/>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28.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14</xdr:col>
      <xdr:colOff>563880</xdr:colOff>
      <xdr:row>6</xdr:row>
      <xdr:rowOff>30480</xdr:rowOff>
    </xdr:to>
    <xdr:pic>
      <xdr:nvPicPr>
        <xdr:cNvPr id="6041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30480" y="30480"/>
          <a:ext cx="10241280"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182880</xdr:colOff>
      <xdr:row>1</xdr:row>
      <xdr:rowOff>0</xdr:rowOff>
    </xdr:from>
    <xdr:to>
      <xdr:col>7</xdr:col>
      <xdr:colOff>236220</xdr:colOff>
      <xdr:row>4</xdr:row>
      <xdr:rowOff>0</xdr:rowOff>
    </xdr:to>
    <xdr:sp macro="" textlink="">
      <xdr:nvSpPr>
        <xdr:cNvPr id="60419" name="Text Box 3"/>
        <xdr:cNvSpPr txBox="1">
          <a:spLocks noChangeArrowheads="1"/>
        </xdr:cNvSpPr>
      </xdr:nvSpPr>
      <xdr:spPr bwMode="auto">
        <a:xfrm>
          <a:off x="182880" y="167640"/>
          <a:ext cx="4770120" cy="50292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Data Input Page</a:t>
          </a:r>
        </a:p>
      </xdr:txBody>
    </xdr:sp>
    <xdr:clientData/>
  </xdr:twoCellAnchor>
  <xdr:twoCellAnchor editAs="oneCell">
    <xdr:from>
      <xdr:col>10</xdr:col>
      <xdr:colOff>457200</xdr:colOff>
      <xdr:row>1</xdr:row>
      <xdr:rowOff>160020</xdr:rowOff>
    </xdr:from>
    <xdr:to>
      <xdr:col>11</xdr:col>
      <xdr:colOff>480060</xdr:colOff>
      <xdr:row>4</xdr:row>
      <xdr:rowOff>144780</xdr:rowOff>
    </xdr:to>
    <xdr:pic>
      <xdr:nvPicPr>
        <xdr:cNvPr id="60420"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97140" y="327660"/>
          <a:ext cx="647700" cy="487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1104900</xdr:colOff>
      <xdr:row>5</xdr:row>
      <xdr:rowOff>160020</xdr:rowOff>
    </xdr:to>
    <xdr:pic>
      <xdr:nvPicPr>
        <xdr:cNvPr id="5734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978640" cy="99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403860</xdr:colOff>
      <xdr:row>1</xdr:row>
      <xdr:rowOff>106680</xdr:rowOff>
    </xdr:from>
    <xdr:to>
      <xdr:col>8</xdr:col>
      <xdr:colOff>1051560</xdr:colOff>
      <xdr:row>4</xdr:row>
      <xdr:rowOff>99060</xdr:rowOff>
    </xdr:to>
    <xdr:pic>
      <xdr:nvPicPr>
        <xdr:cNvPr id="5734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42220" y="274320"/>
          <a:ext cx="6477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57361" name="adaytum_page_3_drop_1" hidden="1">
              <a:extLst>
                <a:ext uri="{63B3BB69-23CF-44E3-9099-C40C66FF867C}">
                  <a14:compatExt spid="_x0000_s5736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3</xdr:col>
          <xdr:colOff>0</xdr:colOff>
          <xdr:row>29</xdr:row>
          <xdr:rowOff>0</xdr:rowOff>
        </xdr:to>
        <xdr:sp macro="" textlink="">
          <xdr:nvSpPr>
            <xdr:cNvPr id="57362" name="adaytum_page_3_drop_2" hidden="1">
              <a:extLst>
                <a:ext uri="{63B3BB69-23CF-44E3-9099-C40C66FF867C}">
                  <a14:compatExt spid="_x0000_s5736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0</xdr:colOff>
          <xdr:row>29</xdr:row>
          <xdr:rowOff>0</xdr:rowOff>
        </xdr:to>
        <xdr:sp macro="" textlink="">
          <xdr:nvSpPr>
            <xdr:cNvPr id="57363" name="adaytum_page_3_drop_3" hidden="1">
              <a:extLst>
                <a:ext uri="{63B3BB69-23CF-44E3-9099-C40C66FF867C}">
                  <a14:compatExt spid="_x0000_s57363"/>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1</xdr:col>
      <xdr:colOff>60960</xdr:colOff>
      <xdr:row>1</xdr:row>
      <xdr:rowOff>0</xdr:rowOff>
    </xdr:from>
    <xdr:to>
      <xdr:col>4</xdr:col>
      <xdr:colOff>0</xdr:colOff>
      <xdr:row>4</xdr:row>
      <xdr:rowOff>0</xdr:rowOff>
    </xdr:to>
    <xdr:sp macro="" textlink="">
      <xdr:nvSpPr>
        <xdr:cNvPr id="57364" name="Text Box 20"/>
        <xdr:cNvSpPr txBox="1">
          <a:spLocks noChangeArrowheads="1"/>
        </xdr:cNvSpPr>
      </xdr:nvSpPr>
      <xdr:spPr bwMode="auto">
        <a:xfrm>
          <a:off x="685800" y="167640"/>
          <a:ext cx="4533900" cy="50292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Region Detailed Expense by CC</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57458" name="adaytum_page_1_drop_1" hidden="1">
              <a:extLst>
                <a:ext uri="{63B3BB69-23CF-44E3-9099-C40C66FF867C}">
                  <a14:compatExt spid="_x0000_s5745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57460" name="adaytum_page_1_drop_2" hidden="1">
              <a:extLst>
                <a:ext uri="{63B3BB69-23CF-44E3-9099-C40C66FF867C}">
                  <a14:compatExt spid="_x0000_s5746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57462" name="adaytum_page_1_drop_3" hidden="1">
              <a:extLst>
                <a:ext uri="{63B3BB69-23CF-44E3-9099-C40C66FF867C}">
                  <a14:compatExt spid="_x0000_s5746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57464" name="adaytum_page_1_drop_4" hidden="1">
              <a:extLst>
                <a:ext uri="{63B3BB69-23CF-44E3-9099-C40C66FF867C}">
                  <a14:compatExt spid="_x0000_s5746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45720</xdr:colOff>
      <xdr:row>0</xdr:row>
      <xdr:rowOff>76200</xdr:rowOff>
    </xdr:from>
    <xdr:to>
      <xdr:col>13</xdr:col>
      <xdr:colOff>388620</xdr:colOff>
      <xdr:row>6</xdr:row>
      <xdr:rowOff>22860</xdr:rowOff>
    </xdr:to>
    <xdr:pic>
      <xdr:nvPicPr>
        <xdr:cNvPr id="3076" name="Picture 4"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5720" y="76200"/>
          <a:ext cx="1327404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502920</xdr:colOff>
      <xdr:row>1</xdr:row>
      <xdr:rowOff>91440</xdr:rowOff>
    </xdr:from>
    <xdr:to>
      <xdr:col>3</xdr:col>
      <xdr:colOff>1264920</xdr:colOff>
      <xdr:row>4</xdr:row>
      <xdr:rowOff>129540</xdr:rowOff>
    </xdr:to>
    <xdr:sp macro="" textlink="">
      <xdr:nvSpPr>
        <xdr:cNvPr id="3078" name="Text Box 6"/>
        <xdr:cNvSpPr txBox="1">
          <a:spLocks noChangeArrowheads="1"/>
        </xdr:cNvSpPr>
      </xdr:nvSpPr>
      <xdr:spPr bwMode="auto">
        <a:xfrm>
          <a:off x="502920" y="259080"/>
          <a:ext cx="3931920" cy="541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 Gross Margin Summary</a:t>
          </a:r>
        </a:p>
        <a:p>
          <a:pPr algn="l" rtl="0">
            <a:defRPr sz="1000"/>
          </a:pPr>
          <a:r>
            <a:rPr lang="en-US" sz="1800" b="1" i="0" u="none" strike="noStrike" baseline="0">
              <a:solidFill>
                <a:srgbClr val="000000"/>
              </a:solidFill>
              <a:latin typeface="Times New Roman"/>
              <a:cs typeface="Times New Roman"/>
            </a:rPr>
            <a:t> </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Summary PL</a:t>
          </a:r>
        </a:p>
        <a:p>
          <a:pPr algn="l" rtl="0">
            <a:defRPr sz="1000"/>
          </a:pPr>
          <a:r>
            <a:rPr lang="en-US" sz="1600" b="1" i="0" u="none" strike="noStrike" baseline="0">
              <a:solidFill>
                <a:srgbClr val="CCFFFF"/>
              </a:solidFill>
              <a:latin typeface="Arial"/>
              <a:cs typeface="Arial"/>
            </a:rPr>
            <a:t> </a:t>
          </a:r>
        </a:p>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Scandinavia</a:t>
          </a:r>
        </a:p>
        <a:p>
          <a:pPr algn="l" rtl="0">
            <a:defRPr sz="1000"/>
          </a:pPr>
          <a:r>
            <a:rPr lang="en-US" sz="1600" b="1" i="0" u="none" strike="noStrike" baseline="0">
              <a:solidFill>
                <a:srgbClr val="CCFFFF"/>
              </a:solidFill>
              <a:latin typeface="Arial"/>
              <a:cs typeface="Arial"/>
            </a:rPr>
            <a:t>CE1 Full Year G&amp;A v Budget</a:t>
          </a:r>
        </a:p>
      </xdr:txBody>
    </xdr:sp>
    <xdr:clientData/>
  </xdr:twoCellAnchor>
  <xdr:twoCellAnchor editAs="oneCell">
    <xdr:from>
      <xdr:col>9</xdr:col>
      <xdr:colOff>1318260</xdr:colOff>
      <xdr:row>1</xdr:row>
      <xdr:rowOff>0</xdr:rowOff>
    </xdr:from>
    <xdr:to>
      <xdr:col>10</xdr:col>
      <xdr:colOff>190500</xdr:colOff>
      <xdr:row>3</xdr:row>
      <xdr:rowOff>68580</xdr:rowOff>
    </xdr:to>
    <xdr:pic>
      <xdr:nvPicPr>
        <xdr:cNvPr id="3081"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26140" y="16764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358140</xdr:colOff>
      <xdr:row>18</xdr:row>
      <xdr:rowOff>76200</xdr:rowOff>
    </xdr:from>
    <xdr:to>
      <xdr:col>8</xdr:col>
      <xdr:colOff>716280</xdr:colOff>
      <xdr:row>35</xdr:row>
      <xdr:rowOff>0</xdr:rowOff>
    </xdr:to>
    <xdr:graphicFrame macro="">
      <xdr:nvGraphicFramePr>
        <xdr:cNvPr id="3084"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9</xdr:row>
      <xdr:rowOff>0</xdr:rowOff>
    </xdr:from>
    <xdr:to>
      <xdr:col>8</xdr:col>
      <xdr:colOff>0</xdr:colOff>
      <xdr:row>15</xdr:row>
      <xdr:rowOff>0</xdr:rowOff>
    </xdr:to>
    <xdr:sp macro="" textlink="">
      <xdr:nvSpPr>
        <xdr:cNvPr id="3086" name="Rectangle 14"/>
        <xdr:cNvSpPr>
          <a:spLocks noChangeArrowheads="1"/>
        </xdr:cNvSpPr>
      </xdr:nvSpPr>
      <xdr:spPr bwMode="auto">
        <a:xfrm>
          <a:off x="7566660" y="1661160"/>
          <a:ext cx="1417320" cy="12954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30480</xdr:colOff>
      <xdr:row>0</xdr:row>
      <xdr:rowOff>7620</xdr:rowOff>
    </xdr:from>
    <xdr:to>
      <xdr:col>17</xdr:col>
      <xdr:colOff>472440</xdr:colOff>
      <xdr:row>6</xdr:row>
      <xdr:rowOff>38100</xdr:rowOff>
    </xdr:to>
    <xdr:pic>
      <xdr:nvPicPr>
        <xdr:cNvPr id="2969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30480" y="7620"/>
          <a:ext cx="1549146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281940</xdr:colOff>
      <xdr:row>1</xdr:row>
      <xdr:rowOff>60960</xdr:rowOff>
    </xdr:from>
    <xdr:to>
      <xdr:col>14</xdr:col>
      <xdr:colOff>106680</xdr:colOff>
      <xdr:row>4</xdr:row>
      <xdr:rowOff>45720</xdr:rowOff>
    </xdr:to>
    <xdr:pic>
      <xdr:nvPicPr>
        <xdr:cNvPr id="29698"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780520" y="228600"/>
          <a:ext cx="647700" cy="487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9792" name="adaytum_page_2_drop_1" hidden="1">
              <a:extLst>
                <a:ext uri="{63B3BB69-23CF-44E3-9099-C40C66FF867C}">
                  <a14:compatExt spid="_x0000_s2979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3</xdr:col>
          <xdr:colOff>0</xdr:colOff>
          <xdr:row>28</xdr:row>
          <xdr:rowOff>0</xdr:rowOff>
        </xdr:to>
        <xdr:sp macro="" textlink="">
          <xdr:nvSpPr>
            <xdr:cNvPr id="29793" name="adaytum_page_2_drop_2" hidden="1">
              <a:extLst>
                <a:ext uri="{63B3BB69-23CF-44E3-9099-C40C66FF867C}">
                  <a14:compatExt spid="_x0000_s29793"/>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0</xdr:colOff>
          <xdr:row>28</xdr:row>
          <xdr:rowOff>0</xdr:rowOff>
        </xdr:to>
        <xdr:sp macro="" textlink="">
          <xdr:nvSpPr>
            <xdr:cNvPr id="29794" name="adaytum_page_2_drop_3" hidden="1">
              <a:extLst>
                <a:ext uri="{63B3BB69-23CF-44E3-9099-C40C66FF867C}">
                  <a14:compatExt spid="_x0000_s2979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1</xdr:col>
      <xdr:colOff>60960</xdr:colOff>
      <xdr:row>1</xdr:row>
      <xdr:rowOff>0</xdr:rowOff>
    </xdr:from>
    <xdr:to>
      <xdr:col>5</xdr:col>
      <xdr:colOff>388620</xdr:colOff>
      <xdr:row>4</xdr:row>
      <xdr:rowOff>0</xdr:rowOff>
    </xdr:to>
    <xdr:sp macro="" textlink="">
      <xdr:nvSpPr>
        <xdr:cNvPr id="29795" name="Text Box 99"/>
        <xdr:cNvSpPr txBox="1">
          <a:spLocks noChangeArrowheads="1"/>
        </xdr:cNvSpPr>
      </xdr:nvSpPr>
      <xdr:spPr bwMode="auto">
        <a:xfrm>
          <a:off x="685800" y="167640"/>
          <a:ext cx="4617720" cy="50292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Region Detailed Expense by Period</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43</xdr:row>
          <xdr:rowOff>0</xdr:rowOff>
        </xdr:from>
        <xdr:to>
          <xdr:col>2</xdr:col>
          <xdr:colOff>0</xdr:colOff>
          <xdr:row>44</xdr:row>
          <xdr:rowOff>0</xdr:rowOff>
        </xdr:to>
        <xdr:sp macro="" textlink="">
          <xdr:nvSpPr>
            <xdr:cNvPr id="29920" name="adaytum_page_3_drop_1" hidden="1">
              <a:extLst>
                <a:ext uri="{63B3BB69-23CF-44E3-9099-C40C66FF867C}">
                  <a14:compatExt spid="_x0000_s2992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3</xdr:col>
          <xdr:colOff>0</xdr:colOff>
          <xdr:row>44</xdr:row>
          <xdr:rowOff>0</xdr:rowOff>
        </xdr:to>
        <xdr:sp macro="" textlink="">
          <xdr:nvSpPr>
            <xdr:cNvPr id="29921" name="adaytum_page_3_drop_2" hidden="1">
              <a:extLst>
                <a:ext uri="{63B3BB69-23CF-44E3-9099-C40C66FF867C}">
                  <a14:compatExt spid="_x0000_s2992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43</xdr:row>
          <xdr:rowOff>0</xdr:rowOff>
        </xdr:from>
        <xdr:to>
          <xdr:col>4</xdr:col>
          <xdr:colOff>0</xdr:colOff>
          <xdr:row>44</xdr:row>
          <xdr:rowOff>0</xdr:rowOff>
        </xdr:to>
        <xdr:sp macro="" textlink="">
          <xdr:nvSpPr>
            <xdr:cNvPr id="29922" name="adaytum_page_3_drop_3" hidden="1">
              <a:extLst>
                <a:ext uri="{63B3BB69-23CF-44E3-9099-C40C66FF867C}">
                  <a14:compatExt spid="_x0000_s2992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30002" name="adaytum_page_1_drop_1" hidden="1">
              <a:extLst>
                <a:ext uri="{63B3BB69-23CF-44E3-9099-C40C66FF867C}">
                  <a14:compatExt spid="_x0000_s3000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30004" name="adaytum_page_1_drop_2" hidden="1">
              <a:extLst>
                <a:ext uri="{63B3BB69-23CF-44E3-9099-C40C66FF867C}">
                  <a14:compatExt spid="_x0000_s3000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30006" name="adaytum_page_1_drop_3" hidden="1">
              <a:extLst>
                <a:ext uri="{63B3BB69-23CF-44E3-9099-C40C66FF867C}">
                  <a14:compatExt spid="_x0000_s30006"/>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30008" name="adaytum_page_1_drop_4" hidden="1">
              <a:extLst>
                <a:ext uri="{63B3BB69-23CF-44E3-9099-C40C66FF867C}">
                  <a14:compatExt spid="_x0000_s3000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358140</xdr:colOff>
      <xdr:row>5</xdr:row>
      <xdr:rowOff>160020</xdr:rowOff>
    </xdr:to>
    <xdr:pic>
      <xdr:nvPicPr>
        <xdr:cNvPr id="5836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795760" cy="998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701040</xdr:colOff>
      <xdr:row>1</xdr:row>
      <xdr:rowOff>106680</xdr:rowOff>
    </xdr:from>
    <xdr:to>
      <xdr:col>9</xdr:col>
      <xdr:colOff>274320</xdr:colOff>
      <xdr:row>4</xdr:row>
      <xdr:rowOff>99060</xdr:rowOff>
    </xdr:to>
    <xdr:pic>
      <xdr:nvPicPr>
        <xdr:cNvPr id="5837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15400" y="274320"/>
          <a:ext cx="6477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60960</xdr:colOff>
      <xdr:row>1</xdr:row>
      <xdr:rowOff>0</xdr:rowOff>
    </xdr:from>
    <xdr:to>
      <xdr:col>4</xdr:col>
      <xdr:colOff>0</xdr:colOff>
      <xdr:row>4</xdr:row>
      <xdr:rowOff>0</xdr:rowOff>
    </xdr:to>
    <xdr:sp macro="" textlink="">
      <xdr:nvSpPr>
        <xdr:cNvPr id="58388" name="Text Box 20"/>
        <xdr:cNvSpPr txBox="1">
          <a:spLocks noChangeArrowheads="1"/>
        </xdr:cNvSpPr>
      </xdr:nvSpPr>
      <xdr:spPr bwMode="auto">
        <a:xfrm>
          <a:off x="685800" y="167640"/>
          <a:ext cx="2948940" cy="50292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Headcount Detail by CC</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58540" name="adaytum_page_3_drop_1" hidden="1">
              <a:extLst>
                <a:ext uri="{63B3BB69-23CF-44E3-9099-C40C66FF867C}">
                  <a14:compatExt spid="_x0000_s5854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640080</xdr:colOff>
          <xdr:row>13</xdr:row>
          <xdr:rowOff>0</xdr:rowOff>
        </xdr:to>
        <xdr:sp macro="" textlink="">
          <xdr:nvSpPr>
            <xdr:cNvPr id="58542" name="adaytum_page_3_drop_2" hidden="1">
              <a:extLst>
                <a:ext uri="{63B3BB69-23CF-44E3-9099-C40C66FF867C}">
                  <a14:compatExt spid="_x0000_s5854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58544" name="adaytum_page_3_drop_3" hidden="1">
              <a:extLst>
                <a:ext uri="{63B3BB69-23CF-44E3-9099-C40C66FF867C}">
                  <a14:compatExt spid="_x0000_s5854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0</xdr:colOff>
          <xdr:row>13</xdr:row>
          <xdr:rowOff>0</xdr:rowOff>
        </xdr:to>
        <xdr:sp macro="" textlink="">
          <xdr:nvSpPr>
            <xdr:cNvPr id="58546" name="adaytum_page_3_drop_4" hidden="1">
              <a:extLst>
                <a:ext uri="{63B3BB69-23CF-44E3-9099-C40C66FF867C}">
                  <a14:compatExt spid="_x0000_s58546"/>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58560" name="adaytum_page_1_drop_1" hidden="1">
              <a:extLst>
                <a:ext uri="{63B3BB69-23CF-44E3-9099-C40C66FF867C}">
                  <a14:compatExt spid="_x0000_s5856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106680</xdr:rowOff>
    </xdr:from>
    <xdr:to>
      <xdr:col>17</xdr:col>
      <xdr:colOff>723900</xdr:colOff>
      <xdr:row>7</xdr:row>
      <xdr:rowOff>68580</xdr:rowOff>
    </xdr:to>
    <xdr:pic>
      <xdr:nvPicPr>
        <xdr:cNvPr id="20496" name="Picture 16"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0" y="106680"/>
          <a:ext cx="19278600" cy="113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1051560</xdr:colOff>
      <xdr:row>1</xdr:row>
      <xdr:rowOff>106680</xdr:rowOff>
    </xdr:from>
    <xdr:to>
      <xdr:col>13</xdr:col>
      <xdr:colOff>822960</xdr:colOff>
      <xdr:row>5</xdr:row>
      <xdr:rowOff>7620</xdr:rowOff>
    </xdr:to>
    <xdr:pic>
      <xdr:nvPicPr>
        <xdr:cNvPr id="2048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81760" y="274320"/>
          <a:ext cx="861060"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350520</xdr:colOff>
      <xdr:row>3</xdr:row>
      <xdr:rowOff>99060</xdr:rowOff>
    </xdr:to>
    <xdr:sp macro="" textlink="">
      <xdr:nvSpPr>
        <xdr:cNvPr id="20483" name="Text Box 3"/>
        <xdr:cNvSpPr txBox="1">
          <a:spLocks noChangeArrowheads="1"/>
        </xdr:cNvSpPr>
      </xdr:nvSpPr>
      <xdr:spPr bwMode="auto">
        <a:xfrm>
          <a:off x="0" y="0"/>
          <a:ext cx="1173480" cy="601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endParaRPr lang="en-US" sz="1600" b="1" i="0" u="none" strike="noStrike" baseline="0">
            <a:solidFill>
              <a:srgbClr val="CCFFFF"/>
            </a:solidFill>
            <a:latin typeface="Arial"/>
            <a:cs typeface="Arial"/>
          </a:endParaRPr>
        </a:p>
        <a:p>
          <a:pPr algn="l" rtl="0">
            <a:defRPr sz="1000"/>
          </a:pP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Summary PL</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Summary PL</a:t>
          </a:r>
        </a:p>
        <a:p>
          <a:pPr algn="l" rtl="0">
            <a:defRPr sz="1000"/>
          </a:pPr>
          <a:r>
            <a:rPr lang="en-US" sz="1600" b="1" i="0" u="none" strike="noStrike" baseline="0">
              <a:solidFill>
                <a:srgbClr val="CCFFFF"/>
              </a:solidFill>
              <a:latin typeface="Arial"/>
              <a:cs typeface="Arial"/>
            </a:rPr>
            <a:t> </a:t>
          </a:r>
        </a:p>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Scandinavia</a:t>
          </a:r>
        </a:p>
        <a:p>
          <a:pPr algn="l" rtl="0">
            <a:defRPr sz="1000"/>
          </a:pPr>
          <a:r>
            <a:rPr lang="en-US" sz="1600" b="1" i="0" u="none" strike="noStrike" baseline="0">
              <a:solidFill>
                <a:srgbClr val="CCFFFF"/>
              </a:solidFill>
              <a:latin typeface="Arial"/>
              <a:cs typeface="Arial"/>
            </a:rPr>
            <a:t>CE1 Full Year G&amp;A v Budget</a:t>
          </a:r>
        </a:p>
      </xdr:txBody>
    </xdr:sp>
    <xdr:clientData/>
  </xdr:twoCellAnchor>
  <xdr:twoCellAnchor>
    <xdr:from>
      <xdr:col>0</xdr:col>
      <xdr:colOff>304800</xdr:colOff>
      <xdr:row>1</xdr:row>
      <xdr:rowOff>68580</xdr:rowOff>
    </xdr:from>
    <xdr:to>
      <xdr:col>5</xdr:col>
      <xdr:colOff>541020</xdr:colOff>
      <xdr:row>5</xdr:row>
      <xdr:rowOff>91440</xdr:rowOff>
    </xdr:to>
    <xdr:sp macro="" textlink="">
      <xdr:nvSpPr>
        <xdr:cNvPr id="20487" name="Text Box 7"/>
        <xdr:cNvSpPr txBox="1">
          <a:spLocks noChangeArrowheads="1"/>
        </xdr:cNvSpPr>
      </xdr:nvSpPr>
      <xdr:spPr bwMode="auto">
        <a:xfrm>
          <a:off x="304800" y="236220"/>
          <a:ext cx="5745480" cy="69342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endParaRPr lang="en-US" sz="1800" b="1" i="0" u="none" strike="noStrike" baseline="0">
            <a:solidFill>
              <a:srgbClr val="000000"/>
            </a:solidFill>
            <a:latin typeface="Times New Roman"/>
            <a:cs typeface="Times New Roman"/>
          </a:endParaRPr>
        </a:p>
        <a:p>
          <a:pPr algn="l" rtl="0">
            <a:defRPr sz="1000"/>
          </a:pPr>
          <a:r>
            <a:rPr lang="en-US" sz="1800" b="1" i="0" u="none" strike="noStrike" baseline="0">
              <a:solidFill>
                <a:srgbClr val="000000"/>
              </a:solidFill>
              <a:latin typeface="Times New Roman"/>
              <a:cs typeface="Times New Roman"/>
            </a:rPr>
            <a:t>Cost Summary</a:t>
          </a:r>
        </a:p>
      </xdr:txBody>
    </xdr:sp>
    <xdr:clientData/>
  </xdr:twoCellAnchor>
  <xdr:twoCellAnchor>
    <xdr:from>
      <xdr:col>2</xdr:col>
      <xdr:colOff>30480</xdr:colOff>
      <xdr:row>26</xdr:row>
      <xdr:rowOff>45720</xdr:rowOff>
    </xdr:from>
    <xdr:to>
      <xdr:col>13</xdr:col>
      <xdr:colOff>0</xdr:colOff>
      <xdr:row>50</xdr:row>
      <xdr:rowOff>7620</xdr:rowOff>
    </xdr:to>
    <xdr:graphicFrame macro="">
      <xdr:nvGraphicFramePr>
        <xdr:cNvPr id="2049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10</xdr:row>
      <xdr:rowOff>0</xdr:rowOff>
    </xdr:from>
    <xdr:to>
      <xdr:col>9</xdr:col>
      <xdr:colOff>0</xdr:colOff>
      <xdr:row>16</xdr:row>
      <xdr:rowOff>0</xdr:rowOff>
    </xdr:to>
    <xdr:sp macro="" textlink="">
      <xdr:nvSpPr>
        <xdr:cNvPr id="20500" name="Rectangle 20"/>
        <xdr:cNvSpPr>
          <a:spLocks noChangeArrowheads="1"/>
        </xdr:cNvSpPr>
      </xdr:nvSpPr>
      <xdr:spPr bwMode="auto">
        <a:xfrm>
          <a:off x="8686800" y="1722120"/>
          <a:ext cx="1059180" cy="185166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777240</xdr:colOff>
          <xdr:row>5</xdr:row>
          <xdr:rowOff>0</xdr:rowOff>
        </xdr:to>
        <xdr:sp macro="" textlink="">
          <xdr:nvSpPr>
            <xdr:cNvPr id="4097" name="adaytum_page_1_drop_2" hidden="1">
              <a:extLst>
                <a:ext uri="{63B3BB69-23CF-44E3-9099-C40C66FF867C}">
                  <a14:compatExt spid="_x0000_s4097"/>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1211580</xdr:colOff>
          <xdr:row>5</xdr:row>
          <xdr:rowOff>0</xdr:rowOff>
        </xdr:to>
        <xdr:sp macro="" textlink="">
          <xdr:nvSpPr>
            <xdr:cNvPr id="4098" name="adaytum_page_1_drop_1" hidden="1">
              <a:extLst>
                <a:ext uri="{63B3BB69-23CF-44E3-9099-C40C66FF867C}">
                  <a14:compatExt spid="_x0000_s409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0</xdr:col>
      <xdr:colOff>60960</xdr:colOff>
      <xdr:row>0</xdr:row>
      <xdr:rowOff>45720</xdr:rowOff>
    </xdr:from>
    <xdr:to>
      <xdr:col>12</xdr:col>
      <xdr:colOff>342900</xdr:colOff>
      <xdr:row>6</xdr:row>
      <xdr:rowOff>7620</xdr:rowOff>
    </xdr:to>
    <xdr:pic>
      <xdr:nvPicPr>
        <xdr:cNvPr id="4099" name="Picture 3"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40000"/>
          <a:extLst>
            <a:ext uri="{28A0092B-C50C-407E-A947-70E740481C1C}">
              <a14:useLocalDpi xmlns:a14="http://schemas.microsoft.com/office/drawing/2010/main" val="0"/>
            </a:ext>
          </a:extLst>
        </a:blip>
        <a:srcRect l="31760" t="24426" b="-3592"/>
        <a:stretch>
          <a:fillRect/>
        </a:stretch>
      </xdr:blipFill>
      <xdr:spPr bwMode="auto">
        <a:xfrm>
          <a:off x="60960" y="45720"/>
          <a:ext cx="19644360" cy="1303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906780</xdr:colOff>
      <xdr:row>2</xdr:row>
      <xdr:rowOff>106680</xdr:rowOff>
    </xdr:from>
    <xdr:to>
      <xdr:col>11</xdr:col>
      <xdr:colOff>1592580</xdr:colOff>
      <xdr:row>3</xdr:row>
      <xdr:rowOff>114300</xdr:rowOff>
    </xdr:to>
    <xdr:pic>
      <xdr:nvPicPr>
        <xdr:cNvPr id="4100"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702540" y="441960"/>
          <a:ext cx="685800" cy="48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3</xdr:col>
      <xdr:colOff>342900</xdr:colOff>
      <xdr:row>3</xdr:row>
      <xdr:rowOff>60960</xdr:rowOff>
    </xdr:to>
    <xdr:sp macro="" textlink="">
      <xdr:nvSpPr>
        <xdr:cNvPr id="4101" name="Text Box 5"/>
        <xdr:cNvSpPr txBox="1">
          <a:spLocks noChangeArrowheads="1"/>
        </xdr:cNvSpPr>
      </xdr:nvSpPr>
      <xdr:spPr bwMode="auto">
        <a:xfrm>
          <a:off x="0" y="0"/>
          <a:ext cx="3832860" cy="8686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     </a:t>
          </a: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  PL Expense  Analysis</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      </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769620</xdr:colOff>
          <xdr:row>5</xdr:row>
          <xdr:rowOff>0</xdr:rowOff>
        </xdr:to>
        <xdr:sp macro="" textlink="">
          <xdr:nvSpPr>
            <xdr:cNvPr id="4110" name="adaytum_page_1_drop_2" hidden="1">
              <a:extLst>
                <a:ext uri="{63B3BB69-23CF-44E3-9099-C40C66FF867C}">
                  <a14:compatExt spid="_x0000_s411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2</xdr:col>
          <xdr:colOff>411480</xdr:colOff>
          <xdr:row>5</xdr:row>
          <xdr:rowOff>0</xdr:rowOff>
        </xdr:to>
        <xdr:sp macro="" textlink="">
          <xdr:nvSpPr>
            <xdr:cNvPr id="4111" name="adaytum_page_1_drop_1" hidden="1">
              <a:extLst>
                <a:ext uri="{63B3BB69-23CF-44E3-9099-C40C66FF867C}">
                  <a14:compatExt spid="_x0000_s411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38100</xdr:colOff>
      <xdr:row>1</xdr:row>
      <xdr:rowOff>76200</xdr:rowOff>
    </xdr:from>
    <xdr:to>
      <xdr:col>14</xdr:col>
      <xdr:colOff>556260</xdr:colOff>
      <xdr:row>7</xdr:row>
      <xdr:rowOff>7620</xdr:rowOff>
    </xdr:to>
    <xdr:pic>
      <xdr:nvPicPr>
        <xdr:cNvPr id="6758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47700" y="251460"/>
          <a:ext cx="1181862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1303020</xdr:colOff>
      <xdr:row>2</xdr:row>
      <xdr:rowOff>129540</xdr:rowOff>
    </xdr:from>
    <xdr:to>
      <xdr:col>9</xdr:col>
      <xdr:colOff>601980</xdr:colOff>
      <xdr:row>5</xdr:row>
      <xdr:rowOff>129540</xdr:rowOff>
    </xdr:to>
    <xdr:pic>
      <xdr:nvPicPr>
        <xdr:cNvPr id="6758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26580" y="472440"/>
          <a:ext cx="60198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266700</xdr:colOff>
      <xdr:row>2</xdr:row>
      <xdr:rowOff>129540</xdr:rowOff>
    </xdr:from>
    <xdr:to>
      <xdr:col>3</xdr:col>
      <xdr:colOff>2895600</xdr:colOff>
      <xdr:row>4</xdr:row>
      <xdr:rowOff>144780</xdr:rowOff>
    </xdr:to>
    <xdr:sp macro="" textlink="">
      <xdr:nvSpPr>
        <xdr:cNvPr id="67587" name="Text Box 3"/>
        <xdr:cNvSpPr txBox="1">
          <a:spLocks noChangeArrowheads="1"/>
        </xdr:cNvSpPr>
      </xdr:nvSpPr>
      <xdr:spPr bwMode="auto">
        <a:xfrm>
          <a:off x="876300" y="472440"/>
          <a:ext cx="3886200" cy="35052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Summary / Scenario Page</a:t>
          </a:r>
        </a:p>
        <a:p>
          <a:pPr algn="l" rtl="0">
            <a:defRPr sz="1000"/>
          </a:pPr>
          <a:r>
            <a:rPr lang="en-US" sz="1800" b="1" i="0" u="none" strike="noStrike" baseline="0">
              <a:solidFill>
                <a:srgbClr val="000000"/>
              </a:solidFill>
              <a:latin typeface="Times New Roman"/>
              <a:cs typeface="Times New Roman"/>
            </a:rPr>
            <a:t>cenario Page ANALYSIS 2002 VS 2001</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30480</xdr:colOff>
      <xdr:row>1</xdr:row>
      <xdr:rowOff>152400</xdr:rowOff>
    </xdr:from>
    <xdr:to>
      <xdr:col>11</xdr:col>
      <xdr:colOff>533400</xdr:colOff>
      <xdr:row>2</xdr:row>
      <xdr:rowOff>205740</xdr:rowOff>
    </xdr:to>
    <xdr:sp macro="" textlink="">
      <xdr:nvSpPr>
        <xdr:cNvPr id="65538" name="Text Box 2"/>
        <xdr:cNvSpPr txBox="1">
          <a:spLocks noChangeArrowheads="1"/>
        </xdr:cNvSpPr>
      </xdr:nvSpPr>
      <xdr:spPr bwMode="auto">
        <a:xfrm>
          <a:off x="1562100" y="327660"/>
          <a:ext cx="0" cy="2514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2002 Expense Analysis</a:t>
          </a:r>
          <a:r>
            <a:rPr lang="en-US" sz="1800" b="1" i="0" u="none" strike="noStrike" baseline="0">
              <a:solidFill>
                <a:srgbClr val="CCFFFF"/>
              </a:solidFill>
              <a:latin typeface="Times New Roman"/>
              <a:cs typeface="Times New Roman"/>
            </a:rPr>
            <a:t> </a:t>
          </a:r>
        </a:p>
      </xdr:txBody>
    </xdr:sp>
    <xdr:clientData/>
  </xdr:twoCellAnchor>
  <xdr:twoCellAnchor editAs="oneCell">
    <xdr:from>
      <xdr:col>33</xdr:col>
      <xdr:colOff>2811780</xdr:colOff>
      <xdr:row>1</xdr:row>
      <xdr:rowOff>182880</xdr:rowOff>
    </xdr:from>
    <xdr:to>
      <xdr:col>33</xdr:col>
      <xdr:colOff>4030980</xdr:colOff>
      <xdr:row>4</xdr:row>
      <xdr:rowOff>106680</xdr:rowOff>
    </xdr:to>
    <xdr:pic>
      <xdr:nvPicPr>
        <xdr:cNvPr id="65539"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0840" y="358140"/>
          <a:ext cx="121920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228600</xdr:colOff>
      <xdr:row>2</xdr:row>
      <xdr:rowOff>30480</xdr:rowOff>
    </xdr:from>
    <xdr:to>
      <xdr:col>33</xdr:col>
      <xdr:colOff>2811780</xdr:colOff>
      <xdr:row>7</xdr:row>
      <xdr:rowOff>129540</xdr:rowOff>
    </xdr:to>
    <xdr:pic>
      <xdr:nvPicPr>
        <xdr:cNvPr id="65546" name="Picture 10" descr="S:\Graphics\SERVER 7 (1st Nov 99)\Tom Bruce-Jones\TB-0000__-Fin times\FT conference slides banner.jpg"/>
        <xdr:cNvPicPr>
          <a:picLocks noChangeAspect="1" noChangeArrowheads="1"/>
        </xdr:cNvPicPr>
      </xdr:nvPicPr>
      <xdr:blipFill>
        <a:blip xmlns:r="http://schemas.openxmlformats.org/officeDocument/2006/relationships" r:embed="rId2">
          <a:lum bright="-2000" contrast="38000"/>
          <a:extLst>
            <a:ext uri="{28A0092B-C50C-407E-A947-70E740481C1C}">
              <a14:useLocalDpi xmlns:a14="http://schemas.microsoft.com/office/drawing/2010/main" val="0"/>
            </a:ext>
          </a:extLst>
        </a:blip>
        <a:srcRect l="31760" t="24426" b="-3592"/>
        <a:stretch>
          <a:fillRect/>
        </a:stretch>
      </xdr:blipFill>
      <xdr:spPr bwMode="auto">
        <a:xfrm>
          <a:off x="838200" y="441960"/>
          <a:ext cx="969264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777240</xdr:colOff>
      <xdr:row>3</xdr:row>
      <xdr:rowOff>129540</xdr:rowOff>
    </xdr:from>
    <xdr:to>
      <xdr:col>33</xdr:col>
      <xdr:colOff>1005840</xdr:colOff>
      <xdr:row>5</xdr:row>
      <xdr:rowOff>144780</xdr:rowOff>
    </xdr:to>
    <xdr:sp macro="" textlink="">
      <xdr:nvSpPr>
        <xdr:cNvPr id="65548" name="Text Box 12"/>
        <xdr:cNvSpPr txBox="1">
          <a:spLocks noChangeArrowheads="1"/>
        </xdr:cNvSpPr>
      </xdr:nvSpPr>
      <xdr:spPr bwMode="auto">
        <a:xfrm>
          <a:off x="1386840" y="708660"/>
          <a:ext cx="7338060" cy="35052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Consultancy /Legal &amp; Subscriptions Summary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30480</xdr:rowOff>
    </xdr:from>
    <xdr:to>
      <xdr:col>14</xdr:col>
      <xdr:colOff>594360</xdr:colOff>
      <xdr:row>6</xdr:row>
      <xdr:rowOff>160020</xdr:rowOff>
    </xdr:to>
    <xdr:pic>
      <xdr:nvPicPr>
        <xdr:cNvPr id="26629" name="Picture 1029"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0480" y="30480"/>
          <a:ext cx="12230100" cy="113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617220</xdr:colOff>
      <xdr:row>1</xdr:row>
      <xdr:rowOff>91440</xdr:rowOff>
    </xdr:from>
    <xdr:to>
      <xdr:col>14</xdr:col>
      <xdr:colOff>487680</xdr:colOff>
      <xdr:row>3</xdr:row>
      <xdr:rowOff>160020</xdr:rowOff>
    </xdr:to>
    <xdr:pic>
      <xdr:nvPicPr>
        <xdr:cNvPr id="26626" name="Picture 10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66220" y="25908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236220</xdr:colOff>
      <xdr:row>19</xdr:row>
      <xdr:rowOff>144780</xdr:rowOff>
    </xdr:from>
    <xdr:to>
      <xdr:col>9</xdr:col>
      <xdr:colOff>723900</xdr:colOff>
      <xdr:row>44</xdr:row>
      <xdr:rowOff>137160</xdr:rowOff>
    </xdr:to>
    <xdr:graphicFrame macro="">
      <xdr:nvGraphicFramePr>
        <xdr:cNvPr id="26627"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464820</xdr:colOff>
      <xdr:row>1</xdr:row>
      <xdr:rowOff>106680</xdr:rowOff>
    </xdr:from>
    <xdr:to>
      <xdr:col>7</xdr:col>
      <xdr:colOff>22860</xdr:colOff>
      <xdr:row>4</xdr:row>
      <xdr:rowOff>106680</xdr:rowOff>
    </xdr:to>
    <xdr:sp macro="" textlink="">
      <xdr:nvSpPr>
        <xdr:cNvPr id="26628" name="Text Box 1028"/>
        <xdr:cNvSpPr txBox="1">
          <a:spLocks noChangeArrowheads="1"/>
        </xdr:cNvSpPr>
      </xdr:nvSpPr>
      <xdr:spPr bwMode="auto">
        <a:xfrm>
          <a:off x="708660" y="274320"/>
          <a:ext cx="4282440" cy="50292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2002 Headcount Summary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0</xdr:row>
      <xdr:rowOff>38100</xdr:rowOff>
    </xdr:from>
    <xdr:to>
      <xdr:col>14</xdr:col>
      <xdr:colOff>533400</xdr:colOff>
      <xdr:row>5</xdr:row>
      <xdr:rowOff>160020</xdr:rowOff>
    </xdr:to>
    <xdr:pic>
      <xdr:nvPicPr>
        <xdr:cNvPr id="66561"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76200" y="38100"/>
          <a:ext cx="9204960" cy="960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335280</xdr:colOff>
      <xdr:row>1</xdr:row>
      <xdr:rowOff>7620</xdr:rowOff>
    </xdr:from>
    <xdr:to>
      <xdr:col>4</xdr:col>
      <xdr:colOff>525780</xdr:colOff>
      <xdr:row>4</xdr:row>
      <xdr:rowOff>7620</xdr:rowOff>
    </xdr:to>
    <xdr:sp macro="" textlink="">
      <xdr:nvSpPr>
        <xdr:cNvPr id="66562" name="Text Box 2"/>
        <xdr:cNvSpPr txBox="1">
          <a:spLocks noChangeArrowheads="1"/>
        </xdr:cNvSpPr>
      </xdr:nvSpPr>
      <xdr:spPr bwMode="auto">
        <a:xfrm>
          <a:off x="335280" y="175260"/>
          <a:ext cx="2689860" cy="502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160020</xdr:colOff>
      <xdr:row>1</xdr:row>
      <xdr:rowOff>106680</xdr:rowOff>
    </xdr:from>
    <xdr:to>
      <xdr:col>12</xdr:col>
      <xdr:colOff>22860</xdr:colOff>
      <xdr:row>4</xdr:row>
      <xdr:rowOff>7620</xdr:rowOff>
    </xdr:to>
    <xdr:pic>
      <xdr:nvPicPr>
        <xdr:cNvPr id="66563"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260" y="274320"/>
          <a:ext cx="48768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15</xdr:row>
          <xdr:rowOff>60960</xdr:rowOff>
        </xdr:from>
        <xdr:to>
          <xdr:col>0</xdr:col>
          <xdr:colOff>45720</xdr:colOff>
          <xdr:row>15</xdr:row>
          <xdr:rowOff>91440</xdr:rowOff>
        </xdr:to>
        <xdr:sp macro="" textlink="">
          <xdr:nvSpPr>
            <xdr:cNvPr id="66564" name="Object 4" hidden="1">
              <a:extLst>
                <a:ext uri="{63B3BB69-23CF-44E3-9099-C40C66FF867C}">
                  <a14:compatExt spid="_x0000_s66564"/>
                </a:ext>
              </a:extLst>
            </xdr:cNvPr>
            <xdr:cNvSpPr/>
          </xdr:nvSpPr>
          <xdr:spPr bwMode="auto">
            <a:xfrm>
              <a:off x="0" y="0"/>
              <a:ext cx="0" cy="0"/>
            </a:xfrm>
            <a:prstGeom prst="rect">
              <a:avLst/>
            </a:prstGeom>
            <a:noFill/>
            <a:ln>
              <a:noFill/>
            </a:ln>
            <a:extLst>
              <a:ext uri="{909E8E84-426E-40DD-AFC4-6F175D3DCCD1}">
                <a14:hiddenFill>
                  <a:solidFill>
                    <a:srgbClr val="00CC9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Library" Target="adaytum.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mcmahon/Local%20Settings/Temporary%20Internet%20Files/OLK52/Budget%202002%20(Paul%20Dawson%20scenarios)%20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aytum"/>
      <sheetName val="APLDLL"/>
      <sheetName val="ArrayFns"/>
      <sheetName val="ButtonFns"/>
      <sheetName val="Backwards"/>
      <sheetName val="ConvertFns"/>
      <sheetName val="CopyDelete"/>
      <sheetName val="CubeWiz"/>
      <sheetName val="DListPaste"/>
      <sheetName val="ErrorFns"/>
      <sheetName val="LockSave"/>
      <sheetName val="LogonFns"/>
      <sheetName val="MenuProcs"/>
      <sheetName val="Misc"/>
      <sheetName val="NoteFns"/>
      <sheetName val="Refresh"/>
      <sheetName val="Registry"/>
      <sheetName val="ReplaceWiz"/>
      <sheetName val="ReselectWiz"/>
      <sheetName val="SelectObject"/>
      <sheetName val="ToFromSheet"/>
      <sheetName val="Utilities"/>
      <sheetName val="ViewOptions"/>
      <sheetName val="WinFns"/>
      <sheetName val="GlobalDefs"/>
      <sheetName val="Clipboard"/>
      <sheetName val="DialogBase"/>
      <sheetName val="Languages"/>
      <sheetName val="MenuDefn"/>
      <sheetName val="DialogDefn"/>
    </sheetNames>
    <definedNames>
      <definedName name="AdaytumDropDow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ltancy &amp; Legal"/>
      <sheetName val="Budget 2002 Summary"/>
      <sheetName val="Consultancy"/>
      <sheetName val="Budget 2002 Scenarios"/>
      <sheetName val="Remote"/>
      <sheetName val="Summary"/>
      <sheetName val="Budget 2002"/>
      <sheetName val="Allocations"/>
      <sheetName val="CE2"/>
      <sheetName val="Original CE1"/>
    </sheetNames>
    <sheetDataSet>
      <sheetData sheetId="0">
        <row r="27">
          <cell r="Y27">
            <v>840666.26000000013</v>
          </cell>
          <cell r="Z27">
            <v>711362.24999999988</v>
          </cell>
        </row>
        <row r="40">
          <cell r="Z40">
            <v>355976.28</v>
          </cell>
          <cell r="AE40">
            <v>245000</v>
          </cell>
        </row>
        <row r="55">
          <cell r="AE55">
            <v>102406.18</v>
          </cell>
        </row>
      </sheetData>
      <sheetData sheetId="1">
        <row r="40">
          <cell r="D40">
            <v>1823528</v>
          </cell>
          <cell r="O40">
            <v>1384175</v>
          </cell>
        </row>
        <row r="45">
          <cell r="D45">
            <v>257381</v>
          </cell>
          <cell r="O45">
            <v>271775</v>
          </cell>
        </row>
        <row r="57">
          <cell r="D57">
            <v>35092</v>
          </cell>
          <cell r="O57">
            <v>4481.333333333333</v>
          </cell>
        </row>
        <row r="65">
          <cell r="D65">
            <v>840666.26000000013</v>
          </cell>
        </row>
        <row r="70">
          <cell r="O70">
            <v>245000</v>
          </cell>
        </row>
        <row r="74">
          <cell r="D74">
            <v>108346</v>
          </cell>
          <cell r="O74">
            <v>100000</v>
          </cell>
        </row>
        <row r="84">
          <cell r="D84">
            <v>156303</v>
          </cell>
          <cell r="O84">
            <v>122406.18</v>
          </cell>
        </row>
        <row r="88">
          <cell r="D88">
            <v>26850</v>
          </cell>
          <cell r="O88">
            <v>20000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ctrlProp" Target="../ctrlProps/ctrlProp8.xml"/><Relationship Id="rId2" Type="http://schemas.openxmlformats.org/officeDocument/2006/relationships/drawing" Target="../drawings/drawing27.xml"/><Relationship Id="rId1" Type="http://schemas.openxmlformats.org/officeDocument/2006/relationships/printerSettings" Target="../printerSettings/printerSettings28.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vmlDrawing" Target="../drawings/vmlDrawing4.vml"/><Relationship Id="rId7" Type="http://schemas.openxmlformats.org/officeDocument/2006/relationships/ctrlProp" Target="../ctrlProps/ctrlProp12.xml"/><Relationship Id="rId2" Type="http://schemas.openxmlformats.org/officeDocument/2006/relationships/drawing" Target="../drawings/drawing29.xml"/><Relationship Id="rId1" Type="http://schemas.openxmlformats.org/officeDocument/2006/relationships/printerSettings" Target="../printerSettings/printerSettings30.bin"/><Relationship Id="rId6" Type="http://schemas.openxmlformats.org/officeDocument/2006/relationships/ctrlProp" Target="../ctrlProps/ctrlProp11.xml"/><Relationship Id="rId11" Type="http://schemas.openxmlformats.org/officeDocument/2006/relationships/comments" Target="../comments2.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31.xml.rels><?xml version="1.0" encoding="UTF-8" standalone="yes"?>
<Relationships xmlns="http://schemas.openxmlformats.org/package/2006/relationships"><Relationship Id="rId8" Type="http://schemas.openxmlformats.org/officeDocument/2006/relationships/ctrlProp" Target="../ctrlProps/ctrlProp20.xml"/><Relationship Id="rId13" Type="http://schemas.openxmlformats.org/officeDocument/2006/relationships/ctrlProp" Target="../ctrlProps/ctrlProp25.xml"/><Relationship Id="rId3" Type="http://schemas.openxmlformats.org/officeDocument/2006/relationships/vmlDrawing" Target="../drawings/vmlDrawing5.vml"/><Relationship Id="rId7" Type="http://schemas.openxmlformats.org/officeDocument/2006/relationships/ctrlProp" Target="../ctrlProps/ctrlProp19.xml"/><Relationship Id="rId12" Type="http://schemas.openxmlformats.org/officeDocument/2006/relationships/ctrlProp" Target="../ctrlProps/ctrlProp24.xml"/><Relationship Id="rId2" Type="http://schemas.openxmlformats.org/officeDocument/2006/relationships/drawing" Target="../drawings/drawing30.xml"/><Relationship Id="rId1" Type="http://schemas.openxmlformats.org/officeDocument/2006/relationships/printerSettings" Target="../printerSettings/printerSettings31.bin"/><Relationship Id="rId6" Type="http://schemas.openxmlformats.org/officeDocument/2006/relationships/ctrlProp" Target="../ctrlProps/ctrlProp18.xml"/><Relationship Id="rId11" Type="http://schemas.openxmlformats.org/officeDocument/2006/relationships/ctrlProp" Target="../ctrlProps/ctrlProp23.xml"/><Relationship Id="rId5" Type="http://schemas.openxmlformats.org/officeDocument/2006/relationships/ctrlProp" Target="../ctrlProps/ctrlProp17.xml"/><Relationship Id="rId10" Type="http://schemas.openxmlformats.org/officeDocument/2006/relationships/ctrlProp" Target="../ctrlProps/ctrlProp22.xml"/><Relationship Id="rId4" Type="http://schemas.openxmlformats.org/officeDocument/2006/relationships/ctrlProp" Target="../ctrlProps/ctrlProp16.xml"/><Relationship Id="rId9" Type="http://schemas.openxmlformats.org/officeDocument/2006/relationships/ctrlProp" Target="../ctrlProps/ctrlProp21.xml"/><Relationship Id="rId14" Type="http://schemas.openxmlformats.org/officeDocument/2006/relationships/comments" Target="../comments3.xml"/></Relationships>
</file>

<file path=xl/worksheets/_rels/sheet32.xml.rels><?xml version="1.0" encoding="UTF-8" standalone="yes"?>
<Relationships xmlns="http://schemas.openxmlformats.org/package/2006/relationships"><Relationship Id="rId8" Type="http://schemas.openxmlformats.org/officeDocument/2006/relationships/ctrlProp" Target="../ctrlProps/ctrlProp30.xml"/><Relationship Id="rId3" Type="http://schemas.openxmlformats.org/officeDocument/2006/relationships/vmlDrawing" Target="../drawings/vmlDrawing6.vml"/><Relationship Id="rId7" Type="http://schemas.openxmlformats.org/officeDocument/2006/relationships/ctrlProp" Target="../ctrlProps/ctrlProp29.xml"/><Relationship Id="rId2" Type="http://schemas.openxmlformats.org/officeDocument/2006/relationships/drawing" Target="../drawings/drawing31.xml"/><Relationship Id="rId1" Type="http://schemas.openxmlformats.org/officeDocument/2006/relationships/printerSettings" Target="../printerSettings/printerSettings32.bin"/><Relationship Id="rId6" Type="http://schemas.openxmlformats.org/officeDocument/2006/relationships/ctrlProp" Target="../ctrlProps/ctrlProp28.xml"/><Relationship Id="rId5" Type="http://schemas.openxmlformats.org/officeDocument/2006/relationships/ctrlProp" Target="../ctrlProps/ctrlProp27.xml"/><Relationship Id="rId4" Type="http://schemas.openxmlformats.org/officeDocument/2006/relationships/ctrlProp" Target="../ctrlProps/ctrlProp26.xml"/><Relationship Id="rId9" Type="http://schemas.openxmlformats.org/officeDocument/2006/relationships/comments" Target="../comments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1:H16"/>
  <sheetViews>
    <sheetView tabSelected="1" workbookViewId="0">
      <selection activeCell="C9" sqref="C9"/>
    </sheetView>
  </sheetViews>
  <sheetFormatPr defaultColWidth="9.109375" defaultRowHeight="13.2"/>
  <cols>
    <col min="1" max="1" width="9.109375" style="16"/>
    <col min="2" max="2" width="13.88671875" style="16" customWidth="1"/>
    <col min="3" max="16384" width="9.109375" style="16"/>
  </cols>
  <sheetData>
    <row r="11" spans="2:8" ht="13.8" thickBot="1"/>
    <row r="12" spans="2:8" ht="13.8" thickBot="1">
      <c r="B12" s="894" t="s">
        <v>657</v>
      </c>
    </row>
    <row r="16" spans="2:8">
      <c r="H16" s="16">
        <f>-H14</f>
        <v>0</v>
      </c>
    </row>
  </sheetData>
  <phoneticPr fontId="0" type="noConversion"/>
  <pageMargins left="0.75" right="0.75" top="1" bottom="1" header="0.5" footer="0.5"/>
  <pageSetup paperSize="9" scale="6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B12"/>
  <sheetViews>
    <sheetView workbookViewId="0">
      <selection activeCell="C9" sqref="C9"/>
    </sheetView>
  </sheetViews>
  <sheetFormatPr defaultRowHeight="13.2"/>
  <cols>
    <col min="2" max="2" width="13.88671875" customWidth="1"/>
  </cols>
  <sheetData>
    <row r="11" spans="2:2" ht="13.8" thickBot="1"/>
    <row r="12" spans="2:2" ht="13.8" thickBot="1">
      <c r="B12" s="894" t="s">
        <v>657</v>
      </c>
    </row>
  </sheetData>
  <phoneticPr fontId="0"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E46"/>
  <sheetViews>
    <sheetView workbookViewId="0">
      <selection activeCell="A23" sqref="A23"/>
    </sheetView>
  </sheetViews>
  <sheetFormatPr defaultColWidth="9.109375" defaultRowHeight="13.2"/>
  <cols>
    <col min="1" max="16384" width="9.109375" style="16"/>
  </cols>
  <sheetData>
    <row r="4" spans="2:2" ht="30" customHeight="1"/>
    <row r="9" spans="2:2">
      <c r="B9" s="585"/>
    </row>
    <row r="42" spans="1:5">
      <c r="A42" s="585" t="s">
        <v>303</v>
      </c>
      <c r="B42" s="585"/>
      <c r="E42" s="585">
        <v>9.5</v>
      </c>
    </row>
    <row r="43" spans="1:5">
      <c r="A43" s="956"/>
      <c r="B43" s="127"/>
      <c r="C43" s="127"/>
      <c r="D43" s="127"/>
      <c r="E43" s="956"/>
    </row>
    <row r="44" spans="1:5">
      <c r="A44" s="956"/>
      <c r="B44" s="127"/>
      <c r="C44" s="127"/>
      <c r="D44" s="127"/>
      <c r="E44" s="956"/>
    </row>
    <row r="45" spans="1:5">
      <c r="A45" s="956"/>
      <c r="B45" s="127"/>
      <c r="C45" s="127"/>
      <c r="D45" s="127"/>
      <c r="E45" s="956"/>
    </row>
    <row r="46" spans="1:5">
      <c r="A46" s="956"/>
      <c r="B46" s="956"/>
      <c r="C46" s="127"/>
      <c r="D46" s="127"/>
      <c r="E46" s="956"/>
    </row>
  </sheetData>
  <phoneticPr fontId="0" type="noConversion"/>
  <pageMargins left="0.75" right="0.75" top="0.53" bottom="0.66" header="0.5" footer="0.5"/>
  <pageSetup paperSize="9" scale="83"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45"/>
  <sheetViews>
    <sheetView topLeftCell="A18" workbookViewId="0">
      <selection activeCell="J42" sqref="J42"/>
    </sheetView>
  </sheetViews>
  <sheetFormatPr defaultColWidth="9.109375" defaultRowHeight="13.2"/>
  <cols>
    <col min="1" max="16384" width="9.109375" style="16"/>
  </cols>
  <sheetData>
    <row r="4" spans="2:2" ht="30" customHeight="1"/>
    <row r="7" spans="2:2">
      <c r="B7" s="585"/>
    </row>
    <row r="41" spans="2:8">
      <c r="B41" s="585" t="s">
        <v>304</v>
      </c>
      <c r="C41" s="585"/>
      <c r="H41" s="585">
        <v>12</v>
      </c>
    </row>
    <row r="42" spans="2:8">
      <c r="B42" s="956"/>
      <c r="C42" s="127"/>
      <c r="D42" s="127"/>
      <c r="E42" s="127"/>
      <c r="F42" s="127"/>
      <c r="G42" s="127"/>
      <c r="H42" s="956"/>
    </row>
    <row r="43" spans="2:8">
      <c r="B43" s="956"/>
      <c r="C43" s="127"/>
      <c r="D43" s="127"/>
      <c r="E43" s="127"/>
      <c r="F43" s="127"/>
      <c r="G43" s="127"/>
      <c r="H43" s="956"/>
    </row>
    <row r="44" spans="2:8">
      <c r="B44" s="956"/>
      <c r="C44" s="127"/>
      <c r="D44" s="127"/>
      <c r="E44" s="127"/>
      <c r="F44" s="127"/>
      <c r="G44" s="127"/>
      <c r="H44" s="956"/>
    </row>
    <row r="45" spans="2:8">
      <c r="B45" s="956"/>
      <c r="C45" s="956"/>
      <c r="D45" s="127"/>
      <c r="E45" s="127"/>
      <c r="F45" s="127"/>
      <c r="G45" s="127"/>
      <c r="H45" s="956"/>
    </row>
  </sheetData>
  <phoneticPr fontId="0" type="noConversion"/>
  <pageMargins left="0.75" right="0.75" top="0.53" bottom="0.66" header="0.5" footer="0.5"/>
  <pageSetup paperSize="9" scale="85" orientation="landscape" r:id="rId1"/>
  <headerFooter alignWithMargins="0">
    <oddHeader>Page &amp;P</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E46"/>
  <sheetViews>
    <sheetView tabSelected="1" workbookViewId="0">
      <selection activeCell="C9" sqref="C9"/>
    </sheetView>
  </sheetViews>
  <sheetFormatPr defaultColWidth="9.109375" defaultRowHeight="13.2"/>
  <cols>
    <col min="1" max="16384" width="9.109375" style="16"/>
  </cols>
  <sheetData>
    <row r="4" spans="2:2" ht="30" customHeight="1"/>
    <row r="7" spans="2:2">
      <c r="B7" s="41" t="s">
        <v>721</v>
      </c>
    </row>
    <row r="9" spans="2:2">
      <c r="B9" s="585"/>
    </row>
    <row r="42" spans="1:5">
      <c r="A42" s="585" t="s">
        <v>303</v>
      </c>
      <c r="B42" s="585"/>
      <c r="E42" s="585">
        <v>9.5</v>
      </c>
    </row>
    <row r="43" spans="1:5">
      <c r="A43" s="956" t="s">
        <v>722</v>
      </c>
      <c r="B43" s="127"/>
      <c r="C43" s="127"/>
      <c r="D43" s="127"/>
      <c r="E43" s="956">
        <v>19</v>
      </c>
    </row>
    <row r="44" spans="1:5">
      <c r="A44" s="956"/>
      <c r="B44" s="127"/>
      <c r="C44" s="127"/>
      <c r="D44" s="127"/>
      <c r="E44" s="956"/>
    </row>
    <row r="45" spans="1:5">
      <c r="A45" s="956"/>
      <c r="B45" s="127"/>
      <c r="C45" s="127"/>
      <c r="D45" s="127"/>
      <c r="E45" s="956"/>
    </row>
    <row r="46" spans="1:5">
      <c r="A46" s="956"/>
      <c r="B46" s="956"/>
      <c r="C46" s="127"/>
      <c r="D46" s="127"/>
      <c r="E46" s="956"/>
    </row>
  </sheetData>
  <phoneticPr fontId="0" type="noConversion"/>
  <pageMargins left="0.75" right="0.75" top="0.53" bottom="0.66" header="0.5" footer="0.5"/>
  <pageSetup paperSize="9" scale="83" orientation="landscape" r:id="rId1"/>
  <headerFooter alignWithMargins="0">
    <oddFooter xml:space="preserve">&amp;LPage 6a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45"/>
  <sheetViews>
    <sheetView tabSelected="1" workbookViewId="0">
      <selection activeCell="C9" sqref="C9"/>
    </sheetView>
  </sheetViews>
  <sheetFormatPr defaultColWidth="9.109375" defaultRowHeight="13.2"/>
  <cols>
    <col min="1" max="16384" width="9.109375" style="16"/>
  </cols>
  <sheetData>
    <row r="4" spans="2:2" ht="30" customHeight="1"/>
    <row r="6" spans="2:2">
      <c r="B6" s="41" t="s">
        <v>721</v>
      </c>
    </row>
    <row r="7" spans="2:2">
      <c r="B7" s="585"/>
    </row>
    <row r="41" spans="2:8">
      <c r="B41" s="585" t="s">
        <v>304</v>
      </c>
      <c r="C41" s="585"/>
      <c r="H41" s="585">
        <v>9.5</v>
      </c>
    </row>
    <row r="42" spans="2:8">
      <c r="B42" s="956" t="s">
        <v>723</v>
      </c>
      <c r="C42" s="127"/>
      <c r="D42" s="127"/>
      <c r="E42" s="127"/>
      <c r="F42" s="127"/>
      <c r="G42" s="127"/>
      <c r="H42" s="956">
        <v>19</v>
      </c>
    </row>
    <row r="43" spans="2:8">
      <c r="B43" s="956"/>
      <c r="C43" s="127"/>
      <c r="D43" s="127"/>
      <c r="E43" s="127"/>
      <c r="F43" s="127"/>
      <c r="G43" s="127"/>
      <c r="H43" s="956"/>
    </row>
    <row r="44" spans="2:8">
      <c r="B44" s="956"/>
      <c r="C44" s="127"/>
      <c r="D44" s="127"/>
      <c r="E44" s="127"/>
      <c r="F44" s="127"/>
      <c r="G44" s="127"/>
      <c r="H44" s="956"/>
    </row>
    <row r="45" spans="2:8">
      <c r="B45" s="956"/>
      <c r="C45" s="956"/>
      <c r="D45" s="127"/>
      <c r="E45" s="127"/>
      <c r="F45" s="127"/>
      <c r="G45" s="127"/>
      <c r="H45" s="956"/>
    </row>
  </sheetData>
  <phoneticPr fontId="0" type="noConversion"/>
  <pageMargins left="0.75" right="0.75" top="0.53" bottom="0.66" header="0.5" footer="0.5"/>
  <pageSetup paperSize="9" scale="85" orientation="landscape" r:id="rId1"/>
  <headerFooter alignWithMargins="0">
    <oddHeader>Page &amp;P</oddHeader>
    <oddFooter>&amp;LPage 6b</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52"/>
  <sheetViews>
    <sheetView tabSelected="1" topLeftCell="A8" zoomScale="75" workbookViewId="0">
      <selection activeCell="C9" sqref="C9"/>
    </sheetView>
  </sheetViews>
  <sheetFormatPr defaultColWidth="9.109375" defaultRowHeight="13.2"/>
  <cols>
    <col min="1" max="1" width="40.6640625" style="16" customWidth="1"/>
    <col min="2" max="2" width="15" style="128" customWidth="1"/>
    <col min="3" max="3" width="19" style="129" customWidth="1"/>
    <col min="4" max="4" width="15.88671875" style="128" customWidth="1"/>
    <col min="5" max="5" width="8" style="16" customWidth="1"/>
    <col min="6" max="6" width="19.6640625" style="16" customWidth="1"/>
    <col min="7" max="7" width="20.5546875" style="16" customWidth="1"/>
    <col min="8" max="8" width="14.5546875" style="16" customWidth="1"/>
    <col min="9" max="9" width="5.109375" style="16" customWidth="1"/>
    <col min="10" max="16384" width="9.109375" style="16"/>
  </cols>
  <sheetData>
    <row r="1" spans="1:9">
      <c r="A1" s="195"/>
      <c r="B1" s="215"/>
      <c r="C1" s="216"/>
      <c r="D1" s="215"/>
      <c r="E1" s="196"/>
      <c r="F1" s="196"/>
      <c r="G1" s="196"/>
      <c r="H1" s="196"/>
      <c r="I1" s="166"/>
    </row>
    <row r="2" spans="1:9">
      <c r="A2" s="197"/>
      <c r="B2" s="217"/>
      <c r="C2" s="218"/>
      <c r="D2" s="217"/>
      <c r="E2" s="127"/>
      <c r="F2" s="127"/>
      <c r="G2" s="127"/>
      <c r="H2" s="127"/>
      <c r="I2" s="167"/>
    </row>
    <row r="3" spans="1:9">
      <c r="A3" s="197"/>
      <c r="B3" s="217"/>
      <c r="C3" s="218"/>
      <c r="D3" s="217"/>
      <c r="E3" s="127"/>
      <c r="F3" s="127"/>
      <c r="G3" s="127"/>
      <c r="H3" s="127"/>
      <c r="I3" s="167"/>
    </row>
    <row r="4" spans="1:9">
      <c r="A4" s="197"/>
      <c r="B4" s="217"/>
      <c r="C4" s="218"/>
      <c r="D4" s="217"/>
      <c r="E4" s="127"/>
      <c r="F4" s="127"/>
      <c r="G4" s="127"/>
      <c r="H4" s="127"/>
      <c r="I4" s="167"/>
    </row>
    <row r="5" spans="1:9">
      <c r="A5" s="197"/>
      <c r="B5" s="217"/>
      <c r="C5" s="218"/>
      <c r="D5" s="217"/>
      <c r="E5" s="127"/>
      <c r="F5" s="127"/>
      <c r="G5" s="127"/>
      <c r="H5" s="127"/>
      <c r="I5" s="167"/>
    </row>
    <row r="6" spans="1:9">
      <c r="A6" s="197"/>
      <c r="B6" s="217"/>
      <c r="C6" s="218"/>
      <c r="D6" s="217"/>
      <c r="E6" s="127"/>
      <c r="F6" s="127"/>
      <c r="G6" s="127"/>
      <c r="H6" s="127"/>
      <c r="I6" s="167"/>
    </row>
    <row r="7" spans="1:9">
      <c r="A7" s="197"/>
      <c r="B7" s="217"/>
      <c r="C7" s="218"/>
      <c r="D7" s="217"/>
      <c r="E7" s="127"/>
      <c r="F7" s="127"/>
      <c r="G7" s="127"/>
      <c r="H7" s="127"/>
      <c r="I7" s="167"/>
    </row>
    <row r="8" spans="1:9">
      <c r="A8" s="197"/>
      <c r="B8" s="217"/>
      <c r="C8" s="218"/>
      <c r="D8" s="217"/>
      <c r="E8" s="127"/>
      <c r="F8" s="127"/>
      <c r="G8" s="127"/>
      <c r="H8" s="127"/>
      <c r="I8" s="167"/>
    </row>
    <row r="9" spans="1:9" ht="15" customHeight="1">
      <c r="A9" s="298"/>
      <c r="B9" s="127"/>
      <c r="C9" s="127"/>
      <c r="D9" s="127"/>
      <c r="E9" s="127"/>
      <c r="F9" s="127"/>
      <c r="G9" s="605"/>
      <c r="H9" s="127"/>
      <c r="I9" s="167"/>
    </row>
    <row r="10" spans="1:9">
      <c r="A10" s="197"/>
      <c r="B10" s="217"/>
      <c r="C10" s="218"/>
      <c r="D10" s="217"/>
      <c r="E10" s="127"/>
      <c r="F10" s="127"/>
      <c r="G10" s="127"/>
      <c r="H10" s="127"/>
      <c r="I10" s="167"/>
    </row>
    <row r="11" spans="1:9" ht="13.8" thickBot="1">
      <c r="A11" s="197"/>
      <c r="B11" s="217"/>
      <c r="C11" s="218"/>
      <c r="D11" s="217"/>
      <c r="E11" s="127"/>
      <c r="F11" s="127"/>
      <c r="G11" s="127"/>
      <c r="H11" s="127"/>
      <c r="I11" s="167"/>
    </row>
    <row r="12" spans="1:9" s="130" customFormat="1" ht="26.4">
      <c r="A12" s="219"/>
      <c r="B12" s="901" t="s">
        <v>686</v>
      </c>
      <c r="C12" s="892" t="s">
        <v>686</v>
      </c>
      <c r="D12" s="460" t="s">
        <v>686</v>
      </c>
      <c r="E12" s="220"/>
      <c r="F12" s="458" t="s">
        <v>687</v>
      </c>
      <c r="G12" s="459" t="s">
        <v>687</v>
      </c>
      <c r="H12" s="460" t="s">
        <v>687</v>
      </c>
      <c r="I12" s="221"/>
    </row>
    <row r="13" spans="1:9" ht="16.5" customHeight="1" thickBot="1">
      <c r="A13" s="197"/>
      <c r="B13" s="902" t="s">
        <v>39</v>
      </c>
      <c r="C13" s="462" t="s">
        <v>68</v>
      </c>
      <c r="D13" s="463" t="s">
        <v>32</v>
      </c>
      <c r="E13" s="28"/>
      <c r="F13" s="461" t="s">
        <v>39</v>
      </c>
      <c r="G13" s="462" t="s">
        <v>68</v>
      </c>
      <c r="H13" s="463" t="s">
        <v>32</v>
      </c>
      <c r="I13" s="222"/>
    </row>
    <row r="14" spans="1:9" ht="24.75" customHeight="1">
      <c r="A14" s="197"/>
      <c r="B14" s="306" t="s">
        <v>347</v>
      </c>
      <c r="C14" s="218"/>
      <c r="D14" s="217"/>
      <c r="E14" s="127"/>
      <c r="F14" s="127"/>
      <c r="G14" s="127"/>
      <c r="H14" s="127"/>
      <c r="I14" s="167"/>
    </row>
    <row r="15" spans="1:9">
      <c r="A15" s="237" t="s">
        <v>246</v>
      </c>
      <c r="B15" s="131">
        <v>5185876</v>
      </c>
      <c r="C15" s="135">
        <v>1</v>
      </c>
      <c r="D15" s="138">
        <v>19</v>
      </c>
      <c r="E15" s="127"/>
      <c r="F15" s="131">
        <v>2674838</v>
      </c>
      <c r="G15" s="135">
        <v>1</v>
      </c>
      <c r="H15" s="138">
        <v>10</v>
      </c>
      <c r="I15" s="167"/>
    </row>
    <row r="16" spans="1:9">
      <c r="A16" s="238"/>
      <c r="B16" s="132"/>
      <c r="C16" s="136"/>
      <c r="D16" s="139"/>
      <c r="E16" s="127"/>
      <c r="F16" s="132"/>
      <c r="G16" s="136"/>
      <c r="H16" s="139"/>
      <c r="I16" s="167"/>
    </row>
    <row r="17" spans="1:9">
      <c r="A17" s="237" t="s">
        <v>69</v>
      </c>
      <c r="B17" s="133"/>
      <c r="C17" s="137"/>
      <c r="D17" s="140"/>
      <c r="E17" s="127"/>
      <c r="F17" s="133"/>
      <c r="G17" s="137"/>
      <c r="H17" s="140"/>
      <c r="I17" s="167"/>
    </row>
    <row r="18" spans="1:9">
      <c r="A18" s="239"/>
      <c r="B18" s="133"/>
      <c r="C18" s="137"/>
      <c r="D18" s="140"/>
      <c r="E18" s="127"/>
      <c r="F18" s="133"/>
      <c r="G18" s="137"/>
      <c r="H18" s="140"/>
      <c r="I18" s="167"/>
    </row>
    <row r="19" spans="1:9">
      <c r="A19" s="927" t="s">
        <v>684</v>
      </c>
      <c r="B19" s="133"/>
      <c r="C19" s="137"/>
      <c r="D19" s="140"/>
      <c r="E19" s="127"/>
      <c r="F19" s="133"/>
      <c r="G19" s="137"/>
      <c r="H19" s="140"/>
      <c r="I19" s="167"/>
    </row>
    <row r="20" spans="1:9">
      <c r="A20" s="239" t="s">
        <v>359</v>
      </c>
      <c r="B20" s="126">
        <f>+$B$15*C20</f>
        <v>1182379.7280000001</v>
      </c>
      <c r="C20" s="606">
        <v>0.22800000000000001</v>
      </c>
      <c r="D20" s="141">
        <v>5</v>
      </c>
      <c r="E20" s="127"/>
      <c r="F20" s="126">
        <f>+$F$15*G20</f>
        <v>748954.64</v>
      </c>
      <c r="G20" s="137">
        <v>0.28000000000000003</v>
      </c>
      <c r="H20" s="141">
        <v>3</v>
      </c>
      <c r="I20" s="167"/>
    </row>
    <row r="21" spans="1:9">
      <c r="A21" s="239" t="s">
        <v>419</v>
      </c>
      <c r="B21" s="126">
        <f t="shared" ref="B21:B41" si="0">+$B$15*C21</f>
        <v>3567882.6879999996</v>
      </c>
      <c r="C21" s="606">
        <v>0.68799999999999994</v>
      </c>
      <c r="D21" s="141">
        <v>13</v>
      </c>
      <c r="E21" s="127"/>
      <c r="F21" s="126">
        <f t="shared" ref="F21:F41" si="1">+$F$15*G21</f>
        <v>1818889.84</v>
      </c>
      <c r="G21" s="137">
        <v>0.68</v>
      </c>
      <c r="H21" s="141">
        <v>6</v>
      </c>
      <c r="I21" s="167"/>
    </row>
    <row r="22" spans="1:9">
      <c r="A22" s="239" t="s">
        <v>382</v>
      </c>
      <c r="B22" s="126">
        <f t="shared" si="0"/>
        <v>0</v>
      </c>
      <c r="C22" s="606"/>
      <c r="D22" s="141">
        <f t="shared" ref="D22:D33" si="2">+$D$15*C22</f>
        <v>0</v>
      </c>
      <c r="E22" s="127"/>
      <c r="F22" s="126">
        <f t="shared" si="1"/>
        <v>0</v>
      </c>
      <c r="G22" s="137"/>
      <c r="H22" s="141">
        <f t="shared" ref="H22:H41" si="3">+$H$15*G22</f>
        <v>0</v>
      </c>
      <c r="I22" s="167"/>
    </row>
    <row r="23" spans="1:9">
      <c r="A23" s="239" t="s">
        <v>349</v>
      </c>
      <c r="B23" s="126">
        <f t="shared" si="0"/>
        <v>0</v>
      </c>
      <c r="C23" s="606"/>
      <c r="D23" s="141">
        <f t="shared" si="2"/>
        <v>0</v>
      </c>
      <c r="E23" s="127"/>
      <c r="F23" s="126">
        <f t="shared" si="1"/>
        <v>0</v>
      </c>
      <c r="G23" s="137"/>
      <c r="H23" s="141">
        <f t="shared" si="3"/>
        <v>0</v>
      </c>
      <c r="I23" s="167"/>
    </row>
    <row r="24" spans="1:9">
      <c r="A24" s="239" t="s">
        <v>388</v>
      </c>
      <c r="B24" s="126">
        <f t="shared" si="0"/>
        <v>0</v>
      </c>
      <c r="C24" s="606"/>
      <c r="D24" s="141">
        <f t="shared" si="2"/>
        <v>0</v>
      </c>
      <c r="E24" s="127"/>
      <c r="F24" s="126">
        <f t="shared" si="1"/>
        <v>0</v>
      </c>
      <c r="G24" s="137"/>
      <c r="H24" s="141">
        <f t="shared" si="3"/>
        <v>0</v>
      </c>
      <c r="I24" s="167"/>
    </row>
    <row r="25" spans="1:9">
      <c r="A25" s="239" t="s">
        <v>350</v>
      </c>
      <c r="B25" s="126">
        <f t="shared" si="0"/>
        <v>51858.76</v>
      </c>
      <c r="C25" s="606">
        <v>0.01</v>
      </c>
      <c r="D25" s="141">
        <v>0</v>
      </c>
      <c r="E25" s="127"/>
      <c r="F25" s="126">
        <f t="shared" si="1"/>
        <v>0</v>
      </c>
      <c r="G25" s="137"/>
      <c r="H25" s="141">
        <f t="shared" si="3"/>
        <v>0</v>
      </c>
      <c r="I25" s="167"/>
    </row>
    <row r="26" spans="1:9">
      <c r="A26" s="239" t="s">
        <v>420</v>
      </c>
      <c r="B26" s="126">
        <f t="shared" si="0"/>
        <v>0</v>
      </c>
      <c r="C26" s="606"/>
      <c r="D26" s="141">
        <f t="shared" si="2"/>
        <v>0</v>
      </c>
      <c r="E26" s="127"/>
      <c r="F26" s="126">
        <f t="shared" si="1"/>
        <v>0</v>
      </c>
      <c r="G26" s="137"/>
      <c r="H26" s="141">
        <f t="shared" si="3"/>
        <v>0</v>
      </c>
      <c r="I26" s="167"/>
    </row>
    <row r="27" spans="1:9">
      <c r="A27" s="239" t="s">
        <v>394</v>
      </c>
      <c r="B27" s="126">
        <f t="shared" si="0"/>
        <v>0</v>
      </c>
      <c r="C27" s="606"/>
      <c r="D27" s="141">
        <f t="shared" si="2"/>
        <v>0</v>
      </c>
      <c r="E27" s="127"/>
      <c r="F27" s="126">
        <f t="shared" si="1"/>
        <v>0</v>
      </c>
      <c r="G27" s="137"/>
      <c r="H27" s="141">
        <f t="shared" si="3"/>
        <v>0</v>
      </c>
      <c r="I27" s="167"/>
    </row>
    <row r="28" spans="1:9">
      <c r="A28" s="239" t="s">
        <v>395</v>
      </c>
      <c r="B28" s="126">
        <f t="shared" si="0"/>
        <v>0</v>
      </c>
      <c r="C28" s="606"/>
      <c r="D28" s="141">
        <f t="shared" si="2"/>
        <v>0</v>
      </c>
      <c r="E28" s="127"/>
      <c r="F28" s="126">
        <f t="shared" si="1"/>
        <v>0</v>
      </c>
      <c r="G28" s="137"/>
      <c r="H28" s="141">
        <f t="shared" si="3"/>
        <v>0</v>
      </c>
      <c r="I28" s="167"/>
    </row>
    <row r="29" spans="1:9">
      <c r="A29" s="239" t="s">
        <v>396</v>
      </c>
      <c r="B29" s="126">
        <f t="shared" si="0"/>
        <v>51858.76</v>
      </c>
      <c r="C29" s="606">
        <v>0.01</v>
      </c>
      <c r="D29" s="141">
        <v>0</v>
      </c>
      <c r="E29" s="127"/>
      <c r="F29" s="126">
        <f t="shared" si="1"/>
        <v>0</v>
      </c>
      <c r="G29" s="137"/>
      <c r="H29" s="141">
        <f t="shared" si="3"/>
        <v>0</v>
      </c>
      <c r="I29" s="167"/>
    </row>
    <row r="30" spans="1:9">
      <c r="A30" s="239" t="s">
        <v>397</v>
      </c>
      <c r="B30" s="126">
        <f t="shared" si="0"/>
        <v>0</v>
      </c>
      <c r="C30" s="606"/>
      <c r="D30" s="141">
        <f t="shared" si="2"/>
        <v>0</v>
      </c>
      <c r="E30" s="127"/>
      <c r="F30" s="126">
        <f t="shared" si="1"/>
        <v>0</v>
      </c>
      <c r="G30" s="137"/>
      <c r="H30" s="141">
        <f t="shared" si="3"/>
        <v>0</v>
      </c>
      <c r="I30" s="167"/>
    </row>
    <row r="31" spans="1:9">
      <c r="A31" s="239" t="s">
        <v>421</v>
      </c>
      <c r="B31" s="126">
        <f t="shared" si="0"/>
        <v>0</v>
      </c>
      <c r="C31" s="606"/>
      <c r="D31" s="141">
        <f t="shared" si="2"/>
        <v>0</v>
      </c>
      <c r="E31" s="127"/>
      <c r="F31" s="126">
        <f t="shared" si="1"/>
        <v>0</v>
      </c>
      <c r="G31" s="137"/>
      <c r="H31" s="141">
        <f t="shared" si="3"/>
        <v>0</v>
      </c>
      <c r="I31" s="167"/>
    </row>
    <row r="32" spans="1:9">
      <c r="A32" s="239" t="s">
        <v>422</v>
      </c>
      <c r="B32" s="126">
        <f t="shared" si="0"/>
        <v>0</v>
      </c>
      <c r="C32" s="606"/>
      <c r="D32" s="141">
        <f t="shared" si="2"/>
        <v>0</v>
      </c>
      <c r="E32" s="127"/>
      <c r="F32" s="126">
        <f t="shared" si="1"/>
        <v>0</v>
      </c>
      <c r="G32" s="137"/>
      <c r="H32" s="141">
        <f t="shared" si="3"/>
        <v>0</v>
      </c>
      <c r="I32" s="167"/>
    </row>
    <row r="33" spans="1:9">
      <c r="A33" s="239" t="s">
        <v>423</v>
      </c>
      <c r="B33" s="126">
        <f t="shared" si="0"/>
        <v>0</v>
      </c>
      <c r="C33" s="606"/>
      <c r="D33" s="141">
        <f t="shared" si="2"/>
        <v>0</v>
      </c>
      <c r="E33" s="127"/>
      <c r="F33" s="126">
        <f t="shared" si="1"/>
        <v>0</v>
      </c>
      <c r="G33" s="137"/>
      <c r="H33" s="141">
        <f t="shared" si="3"/>
        <v>0</v>
      </c>
      <c r="I33" s="167"/>
    </row>
    <row r="34" spans="1:9">
      <c r="A34" s="927" t="s">
        <v>719</v>
      </c>
      <c r="B34" s="951">
        <f>+SUM(B20:B33)</f>
        <v>4853979.9359999988</v>
      </c>
      <c r="C34" s="952">
        <v>0.94</v>
      </c>
      <c r="D34" s="953">
        <v>18</v>
      </c>
      <c r="E34" s="134"/>
      <c r="F34" s="951">
        <f>+SUM(F20:F33)</f>
        <v>2567844.48</v>
      </c>
      <c r="G34" s="135">
        <f>+G20+G21</f>
        <v>0.96000000000000008</v>
      </c>
      <c r="H34" s="953">
        <v>9</v>
      </c>
      <c r="I34" s="167"/>
    </row>
    <row r="35" spans="1:9">
      <c r="A35" s="927"/>
      <c r="B35" s="126"/>
      <c r="C35" s="606"/>
      <c r="D35" s="141"/>
      <c r="E35" s="127"/>
      <c r="F35" s="126"/>
      <c r="G35" s="137"/>
      <c r="H35" s="141"/>
      <c r="I35" s="167"/>
    </row>
    <row r="36" spans="1:9">
      <c r="A36" s="927" t="s">
        <v>685</v>
      </c>
      <c r="B36" s="126"/>
      <c r="C36" s="606"/>
      <c r="D36" s="141"/>
      <c r="E36" s="127"/>
      <c r="F36" s="126"/>
      <c r="G36" s="137"/>
      <c r="H36" s="141"/>
      <c r="I36" s="167"/>
    </row>
    <row r="37" spans="1:9">
      <c r="A37" s="239" t="s">
        <v>396</v>
      </c>
      <c r="B37" s="126">
        <f t="shared" si="0"/>
        <v>51858.76</v>
      </c>
      <c r="C37" s="606">
        <v>0.01</v>
      </c>
      <c r="D37" s="141">
        <v>0</v>
      </c>
      <c r="E37" s="127"/>
      <c r="F37" s="126">
        <f t="shared" si="1"/>
        <v>0</v>
      </c>
      <c r="G37" s="137"/>
      <c r="H37" s="141">
        <f t="shared" si="3"/>
        <v>0</v>
      </c>
      <c r="I37" s="167"/>
    </row>
    <row r="38" spans="1:9">
      <c r="A38" s="239" t="s">
        <v>424</v>
      </c>
      <c r="B38" s="126">
        <f t="shared" si="0"/>
        <v>51858.76</v>
      </c>
      <c r="C38" s="606">
        <v>0.01</v>
      </c>
      <c r="D38" s="141">
        <v>0</v>
      </c>
      <c r="E38" s="127"/>
      <c r="F38" s="126">
        <f t="shared" si="1"/>
        <v>26748.38</v>
      </c>
      <c r="G38" s="137">
        <v>0.01</v>
      </c>
      <c r="H38" s="141">
        <v>0</v>
      </c>
      <c r="I38" s="167"/>
    </row>
    <row r="39" spans="1:9">
      <c r="A39" s="239" t="s">
        <v>406</v>
      </c>
      <c r="B39" s="126">
        <f t="shared" si="0"/>
        <v>51858.76</v>
      </c>
      <c r="C39" s="606">
        <v>0.01</v>
      </c>
      <c r="D39" s="141">
        <v>0</v>
      </c>
      <c r="E39" s="127"/>
      <c r="F39" s="126">
        <f t="shared" si="1"/>
        <v>80245.14</v>
      </c>
      <c r="G39" s="137">
        <v>0.03</v>
      </c>
      <c r="H39" s="141">
        <v>1</v>
      </c>
      <c r="I39" s="167"/>
    </row>
    <row r="40" spans="1:9">
      <c r="A40" s="239" t="s">
        <v>407</v>
      </c>
      <c r="B40" s="126">
        <f t="shared" si="0"/>
        <v>176319.78400000001</v>
      </c>
      <c r="C40" s="137">
        <v>3.4000000000000002E-2</v>
      </c>
      <c r="D40" s="141">
        <v>1</v>
      </c>
      <c r="E40" s="127"/>
      <c r="F40" s="126">
        <f t="shared" si="1"/>
        <v>0</v>
      </c>
      <c r="G40" s="137"/>
      <c r="H40" s="141">
        <f t="shared" si="3"/>
        <v>0</v>
      </c>
      <c r="I40" s="167"/>
    </row>
    <row r="41" spans="1:9">
      <c r="A41" s="239" t="s">
        <v>412</v>
      </c>
      <c r="B41" s="126">
        <f t="shared" si="0"/>
        <v>0</v>
      </c>
      <c r="C41" s="137"/>
      <c r="D41" s="141">
        <v>0</v>
      </c>
      <c r="E41" s="127"/>
      <c r="F41" s="126">
        <f t="shared" si="1"/>
        <v>0</v>
      </c>
      <c r="G41" s="137"/>
      <c r="H41" s="141">
        <f t="shared" si="3"/>
        <v>0</v>
      </c>
      <c r="I41" s="167"/>
    </row>
    <row r="42" spans="1:9">
      <c r="A42" s="927" t="s">
        <v>720</v>
      </c>
      <c r="B42" s="951">
        <f>+SUM(B37:B41)</f>
        <v>331896.06400000001</v>
      </c>
      <c r="C42" s="135">
        <v>0.06</v>
      </c>
      <c r="D42" s="953">
        <v>1</v>
      </c>
      <c r="E42" s="134"/>
      <c r="F42" s="951">
        <f>+SUM(F37:F41)</f>
        <v>106993.52</v>
      </c>
      <c r="G42" s="135">
        <v>0.04</v>
      </c>
      <c r="H42" s="953">
        <v>1</v>
      </c>
      <c r="I42" s="167"/>
    </row>
    <row r="43" spans="1:9" ht="13.8" thickBot="1">
      <c r="A43" s="927"/>
      <c r="B43" s="126"/>
      <c r="C43" s="137"/>
      <c r="D43" s="141"/>
      <c r="E43" s="127"/>
      <c r="F43" s="955"/>
      <c r="G43" s="137"/>
      <c r="H43" s="141"/>
      <c r="I43" s="167"/>
    </row>
    <row r="44" spans="1:9" ht="13.8" thickBot="1">
      <c r="A44" s="197"/>
      <c r="B44" s="242">
        <f>+B34+B42</f>
        <v>5185875.9999999991</v>
      </c>
      <c r="C44" s="243">
        <f>+C34+C42</f>
        <v>1</v>
      </c>
      <c r="D44" s="928">
        <f>+D34+D42</f>
        <v>19</v>
      </c>
      <c r="E44" s="185"/>
      <c r="F44" s="954">
        <f>+F34+F42</f>
        <v>2674838</v>
      </c>
      <c r="G44" s="243">
        <v>1</v>
      </c>
      <c r="H44" s="928">
        <f>+H34+H42</f>
        <v>10</v>
      </c>
      <c r="I44" s="167"/>
    </row>
    <row r="45" spans="1:9">
      <c r="A45" s="197"/>
      <c r="B45" s="217"/>
      <c r="C45" s="218"/>
      <c r="D45" s="217"/>
      <c r="E45" s="127"/>
      <c r="F45" s="127"/>
      <c r="G45" s="127"/>
      <c r="H45" s="127"/>
      <c r="I45" s="167"/>
    </row>
    <row r="46" spans="1:9">
      <c r="A46" s="197"/>
      <c r="B46" s="217"/>
      <c r="C46" s="218"/>
      <c r="D46" s="217"/>
      <c r="E46" s="127"/>
      <c r="F46" s="127"/>
      <c r="G46" s="127"/>
      <c r="H46" s="127"/>
      <c r="I46" s="167"/>
    </row>
    <row r="47" spans="1:9">
      <c r="A47" s="197"/>
      <c r="B47" s="217"/>
      <c r="C47" s="218"/>
      <c r="D47" s="217"/>
      <c r="E47" s="127"/>
      <c r="F47" s="127"/>
      <c r="G47" s="127"/>
      <c r="H47" s="127"/>
      <c r="I47" s="167"/>
    </row>
    <row r="48" spans="1:9">
      <c r="A48" s="197"/>
      <c r="B48" s="217"/>
      <c r="C48" s="218"/>
      <c r="D48" s="217"/>
      <c r="E48" s="127"/>
      <c r="F48" s="127"/>
      <c r="G48" s="127"/>
      <c r="H48" s="127"/>
      <c r="I48" s="167"/>
    </row>
    <row r="49" spans="1:9">
      <c r="A49" s="197"/>
      <c r="B49" s="217"/>
      <c r="C49" s="218"/>
      <c r="D49" s="217"/>
      <c r="E49" s="127"/>
      <c r="F49" s="127"/>
      <c r="G49" s="127"/>
      <c r="H49" s="127"/>
      <c r="I49" s="167"/>
    </row>
    <row r="50" spans="1:9">
      <c r="A50" s="197"/>
      <c r="B50" s="217"/>
      <c r="C50" s="218"/>
      <c r="D50" s="217"/>
      <c r="E50" s="127"/>
      <c r="F50" s="127"/>
      <c r="G50" s="127"/>
      <c r="H50" s="127"/>
      <c r="I50" s="167"/>
    </row>
    <row r="51" spans="1:9">
      <c r="A51" s="197"/>
      <c r="B51" s="217"/>
      <c r="C51" s="218"/>
      <c r="D51" s="217"/>
      <c r="E51" s="127"/>
      <c r="F51" s="127"/>
      <c r="G51" s="127"/>
      <c r="H51" s="127"/>
      <c r="I51" s="167"/>
    </row>
    <row r="52" spans="1:9" ht="13.8" thickBot="1">
      <c r="A52" s="198"/>
      <c r="B52" s="225"/>
      <c r="C52" s="226"/>
      <c r="D52" s="225"/>
      <c r="E52" s="199"/>
      <c r="F52" s="199"/>
      <c r="G52" s="199"/>
      <c r="H52" s="199"/>
      <c r="I52" s="168"/>
    </row>
  </sheetData>
  <phoneticPr fontId="0" type="noConversion"/>
  <pageMargins left="0.75" right="0.75" top="0.71" bottom="0.78" header="0.5" footer="0.5"/>
  <pageSetup paperSize="9" scale="72" orientation="landscape" r:id="rId1"/>
  <headerFooter alignWithMargins="0">
    <oddFooter>&amp;L&amp;9Page 7&amp;C&amp;9Source: Financial Planning and Analysis&amp;R&amp;9Printed : &amp;D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34"/>
  <sheetViews>
    <sheetView showGridLines="0" tabSelected="1" topLeftCell="C1" zoomScale="75" zoomScaleNormal="100" workbookViewId="0">
      <selection activeCell="C9" sqref="C9"/>
    </sheetView>
  </sheetViews>
  <sheetFormatPr defaultRowHeight="13.2" outlineLevelCol="1"/>
  <cols>
    <col min="1" max="1" width="9.109375" style="7" customWidth="1"/>
    <col min="2" max="2" width="33.44140625" customWidth="1"/>
    <col min="3" max="3" width="13.6640625" style="607" customWidth="1"/>
    <col min="4" max="4" width="7.44140625" style="647" customWidth="1"/>
    <col min="5" max="21" width="5.6640625" style="647" customWidth="1"/>
    <col min="22" max="22" width="5.6640625" style="648" customWidth="1"/>
    <col min="24" max="24" width="0" hidden="1" customWidth="1"/>
    <col min="26" max="26" width="10.5546875" hidden="1" customWidth="1" outlineLevel="1"/>
    <col min="27" max="27" width="9.6640625" style="610" hidden="1" customWidth="1" outlineLevel="1"/>
    <col min="28" max="28" width="0" style="610" hidden="1" customWidth="1" outlineLevel="1"/>
    <col min="29" max="33" width="0" hidden="1" customWidth="1" outlineLevel="1"/>
    <col min="34" max="34" width="0" style="611" hidden="1" customWidth="1" outlineLevel="1"/>
    <col min="35" max="35" width="9.109375" customWidth="1" collapsed="1"/>
    <col min="39" max="39" width="11.88671875" customWidth="1"/>
  </cols>
  <sheetData>
    <row r="1" spans="1:34" ht="13.8" thickBot="1">
      <c r="B1" s="157"/>
      <c r="C1" s="645"/>
      <c r="D1" s="612"/>
      <c r="E1" s="612"/>
      <c r="F1" s="612"/>
      <c r="G1" s="612"/>
      <c r="H1" s="612"/>
      <c r="I1" s="612"/>
      <c r="J1" s="612"/>
      <c r="K1" s="612"/>
      <c r="L1" s="612"/>
      <c r="M1" s="612"/>
      <c r="N1" s="612"/>
      <c r="O1" s="612"/>
      <c r="P1" s="612"/>
      <c r="Q1" s="612"/>
      <c r="R1" s="612"/>
      <c r="S1" s="612"/>
      <c r="T1" s="612"/>
      <c r="U1" s="612"/>
      <c r="V1" s="938"/>
    </row>
    <row r="2" spans="1:34" s="16" customFormat="1">
      <c r="A2" s="7"/>
      <c r="B2" s="910"/>
      <c r="C2" s="216"/>
      <c r="D2" s="215"/>
      <c r="E2" s="196"/>
      <c r="F2" s="196"/>
      <c r="G2" s="196"/>
      <c r="H2" s="196"/>
      <c r="I2" s="196"/>
      <c r="J2" s="196"/>
      <c r="K2" s="196"/>
      <c r="L2" s="196"/>
      <c r="M2" s="196"/>
      <c r="N2" s="196"/>
      <c r="O2" s="196"/>
      <c r="P2" s="196"/>
      <c r="Q2" s="196"/>
      <c r="R2" s="196"/>
      <c r="S2" s="196"/>
      <c r="T2" s="196"/>
      <c r="U2" s="196"/>
      <c r="V2" s="196"/>
      <c r="W2" s="166"/>
      <c r="X2" s="166"/>
    </row>
    <row r="3" spans="1:34" s="16" customFormat="1">
      <c r="A3" s="7"/>
      <c r="B3" s="223"/>
      <c r="C3" s="218"/>
      <c r="D3" s="217"/>
      <c r="E3" s="127"/>
      <c r="F3" s="127"/>
      <c r="G3" s="127"/>
      <c r="H3" s="127"/>
      <c r="I3" s="127"/>
      <c r="J3" s="127"/>
      <c r="K3" s="127"/>
      <c r="L3" s="127"/>
      <c r="M3" s="127"/>
      <c r="N3" s="127"/>
      <c r="O3" s="127"/>
      <c r="P3" s="127"/>
      <c r="Q3" s="127"/>
      <c r="R3" s="127"/>
      <c r="S3" s="127"/>
      <c r="T3" s="127"/>
      <c r="U3" s="127"/>
      <c r="V3" s="127"/>
      <c r="W3" s="167"/>
      <c r="X3" s="167"/>
    </row>
    <row r="4" spans="1:34" s="16" customFormat="1">
      <c r="A4" s="7"/>
      <c r="B4" s="223"/>
      <c r="C4" s="218"/>
      <c r="D4" s="217"/>
      <c r="E4" s="127"/>
      <c r="F4" s="127"/>
      <c r="G4" s="127"/>
      <c r="H4" s="127"/>
      <c r="I4" s="127"/>
      <c r="J4" s="127"/>
      <c r="K4" s="127"/>
      <c r="L4" s="127"/>
      <c r="M4" s="127"/>
      <c r="N4" s="127"/>
      <c r="O4" s="127"/>
      <c r="P4" s="127"/>
      <c r="Q4" s="127"/>
      <c r="R4" s="127"/>
      <c r="S4" s="127"/>
      <c r="T4" s="127"/>
      <c r="U4" s="127"/>
      <c r="V4" s="127"/>
      <c r="W4" s="167"/>
      <c r="X4" s="167"/>
    </row>
    <row r="5" spans="1:34" s="16" customFormat="1">
      <c r="A5" s="7"/>
      <c r="B5" s="223"/>
      <c r="C5" s="218"/>
      <c r="D5" s="217"/>
      <c r="E5" s="127"/>
      <c r="F5" s="127"/>
      <c r="G5" s="127"/>
      <c r="H5" s="127"/>
      <c r="I5" s="127"/>
      <c r="J5" s="127"/>
      <c r="K5" s="127"/>
      <c r="L5" s="127"/>
      <c r="M5" s="127"/>
      <c r="N5" s="127"/>
      <c r="O5" s="127"/>
      <c r="P5" s="127"/>
      <c r="Q5" s="127"/>
      <c r="R5" s="127"/>
      <c r="S5" s="127"/>
      <c r="T5" s="127"/>
      <c r="U5" s="127"/>
      <c r="V5" s="127"/>
      <c r="W5" s="167"/>
      <c r="X5" s="167"/>
    </row>
    <row r="6" spans="1:34" s="16" customFormat="1">
      <c r="A6" s="7"/>
      <c r="B6" s="223"/>
      <c r="C6" s="218"/>
      <c r="D6" s="217"/>
      <c r="E6" s="127"/>
      <c r="F6" s="127"/>
      <c r="G6" s="127"/>
      <c r="H6" s="127"/>
      <c r="I6" s="127"/>
      <c r="J6" s="127"/>
      <c r="K6" s="127"/>
      <c r="L6" s="127"/>
      <c r="M6" s="127"/>
      <c r="N6" s="127"/>
      <c r="O6" s="127"/>
      <c r="P6" s="127"/>
      <c r="Q6" s="127"/>
      <c r="R6" s="127"/>
      <c r="S6" s="127"/>
      <c r="T6" s="127"/>
      <c r="U6" s="127"/>
      <c r="V6" s="127"/>
      <c r="W6" s="167"/>
      <c r="X6" s="167"/>
    </row>
    <row r="7" spans="1:34">
      <c r="B7" s="176"/>
      <c r="C7" s="645"/>
      <c r="D7" s="612"/>
      <c r="E7" s="612"/>
      <c r="F7" s="612"/>
      <c r="G7" s="612"/>
      <c r="H7" s="612"/>
      <c r="I7" s="612"/>
      <c r="J7" s="612"/>
      <c r="K7" s="612"/>
      <c r="L7" s="612"/>
      <c r="M7" s="612"/>
      <c r="N7" s="612"/>
      <c r="O7" s="612"/>
      <c r="P7" s="612"/>
      <c r="Q7" s="612"/>
      <c r="R7" s="612"/>
      <c r="S7" s="612"/>
      <c r="T7" s="612"/>
      <c r="U7" s="612"/>
      <c r="V7" s="609"/>
      <c r="W7" s="177"/>
      <c r="X7" s="177"/>
    </row>
    <row r="8" spans="1:34" ht="13.8" thickBot="1">
      <c r="B8" s="176"/>
      <c r="C8" s="645"/>
      <c r="D8" s="613">
        <v>1</v>
      </c>
      <c r="E8" s="613">
        <v>2</v>
      </c>
      <c r="F8" s="613">
        <v>3</v>
      </c>
      <c r="G8" s="613">
        <v>4</v>
      </c>
      <c r="H8" s="613">
        <v>5</v>
      </c>
      <c r="I8" s="613">
        <v>6</v>
      </c>
      <c r="J8" s="613">
        <v>7</v>
      </c>
      <c r="K8" s="613">
        <v>8</v>
      </c>
      <c r="L8" s="613">
        <v>9</v>
      </c>
      <c r="M8" s="613">
        <v>10</v>
      </c>
      <c r="N8" s="613">
        <v>11</v>
      </c>
      <c r="O8" s="613">
        <v>12</v>
      </c>
      <c r="P8" s="613">
        <v>13</v>
      </c>
      <c r="Q8" s="613">
        <v>14</v>
      </c>
      <c r="R8" s="613">
        <v>15</v>
      </c>
      <c r="S8" s="613">
        <v>16</v>
      </c>
      <c r="T8" s="613">
        <v>17</v>
      </c>
      <c r="U8" s="613">
        <v>18</v>
      </c>
      <c r="V8" s="613"/>
      <c r="W8" s="186"/>
      <c r="X8" s="186"/>
      <c r="Y8" s="7"/>
      <c r="Z8" s="614">
        <v>1</v>
      </c>
      <c r="AA8" s="615">
        <v>0.55000000000000004</v>
      </c>
      <c r="AB8" s="615"/>
      <c r="AC8" s="7"/>
      <c r="AD8" s="7"/>
      <c r="AE8" s="7"/>
    </row>
    <row r="9" spans="1:34" ht="103.8" thickBot="1">
      <c r="B9" s="616" t="s">
        <v>426</v>
      </c>
      <c r="C9" s="617" t="s">
        <v>427</v>
      </c>
      <c r="D9" s="618" t="s">
        <v>428</v>
      </c>
      <c r="E9" s="619" t="s">
        <v>429</v>
      </c>
      <c r="F9" s="620" t="s">
        <v>430</v>
      </c>
      <c r="G9" s="620" t="s">
        <v>431</v>
      </c>
      <c r="H9" s="620" t="s">
        <v>432</v>
      </c>
      <c r="I9" s="620" t="s">
        <v>433</v>
      </c>
      <c r="J9" s="620" t="s">
        <v>434</v>
      </c>
      <c r="K9" s="619" t="s">
        <v>435</v>
      </c>
      <c r="L9" s="619" t="s">
        <v>436</v>
      </c>
      <c r="M9" s="619" t="s">
        <v>437</v>
      </c>
      <c r="N9" s="619" t="s">
        <v>438</v>
      </c>
      <c r="O9" s="620" t="s">
        <v>439</v>
      </c>
      <c r="P9" s="619" t="s">
        <v>440</v>
      </c>
      <c r="Q9" s="620" t="s">
        <v>441</v>
      </c>
      <c r="R9" s="619" t="s">
        <v>442</v>
      </c>
      <c r="S9" s="620" t="s">
        <v>443</v>
      </c>
      <c r="T9" s="620" t="s">
        <v>444</v>
      </c>
      <c r="U9" s="620" t="s">
        <v>445</v>
      </c>
      <c r="V9" s="621" t="s">
        <v>446</v>
      </c>
      <c r="W9" s="705" t="s">
        <v>447</v>
      </c>
      <c r="X9" s="705" t="s">
        <v>448</v>
      </c>
      <c r="Y9" s="7"/>
      <c r="Z9" s="12" t="s">
        <v>449</v>
      </c>
      <c r="AA9" s="622" t="s">
        <v>449</v>
      </c>
      <c r="AB9" s="615"/>
      <c r="AC9" s="7"/>
      <c r="AD9" s="7"/>
      <c r="AE9" s="7"/>
    </row>
    <row r="10" spans="1:34">
      <c r="B10" s="706" t="s">
        <v>450</v>
      </c>
      <c r="C10" s="623"/>
      <c r="D10" s="624"/>
      <c r="E10" s="624"/>
      <c r="F10" s="624"/>
      <c r="G10" s="624"/>
      <c r="H10" s="624"/>
      <c r="I10" s="624"/>
      <c r="J10" s="624"/>
      <c r="K10" s="624"/>
      <c r="L10" s="624"/>
      <c r="M10" s="624"/>
      <c r="N10" s="624"/>
      <c r="O10" s="624"/>
      <c r="P10" s="624"/>
      <c r="Q10" s="624"/>
      <c r="R10" s="624"/>
      <c r="S10" s="624"/>
      <c r="T10" s="624"/>
      <c r="U10" s="624"/>
      <c r="V10" s="625"/>
      <c r="W10" s="186"/>
      <c r="X10" s="186"/>
      <c r="Y10" s="7"/>
      <c r="Z10" s="626" t="s">
        <v>39</v>
      </c>
      <c r="AA10" s="627" t="s">
        <v>448</v>
      </c>
      <c r="AB10" s="615"/>
      <c r="AC10" s="7"/>
      <c r="AD10" s="7"/>
      <c r="AE10" s="7"/>
    </row>
    <row r="11" spans="1:34">
      <c r="B11" s="707" t="s">
        <v>351</v>
      </c>
      <c r="C11" s="601">
        <f t="shared" ref="C11:C19" si="0">+X11</f>
        <v>6.9722222222222227E-2</v>
      </c>
      <c r="D11" s="628">
        <f>+AH11+AB11</f>
        <v>0.22750000000000001</v>
      </c>
      <c r="E11" s="629"/>
      <c r="F11" s="629"/>
      <c r="G11" s="629"/>
      <c r="H11" s="629">
        <v>0.5</v>
      </c>
      <c r="I11" s="629"/>
      <c r="J11" s="629"/>
      <c r="K11" s="629">
        <v>0.3</v>
      </c>
      <c r="L11" s="629"/>
      <c r="M11" s="629"/>
      <c r="N11" s="629">
        <f>+D11</f>
        <v>0.22750000000000001</v>
      </c>
      <c r="O11" s="629"/>
      <c r="P11" s="629"/>
      <c r="Q11" s="629"/>
      <c r="R11" s="629"/>
      <c r="S11" s="629"/>
      <c r="T11" s="629"/>
      <c r="U11" s="629"/>
      <c r="V11" s="630"/>
      <c r="W11" s="708">
        <f t="shared" ref="W11:W19" si="1">+SUM(D11:U11)</f>
        <v>1.2550000000000001</v>
      </c>
      <c r="X11" s="708">
        <f t="shared" ref="X11:X42" si="2">+W11/18</f>
        <v>6.9722222222222227E-2</v>
      </c>
      <c r="Y11" s="7"/>
      <c r="Z11" s="614">
        <f t="shared" ref="Z11:Z42" si="3">+E11+F11+G11+H11+I11+J11+K11+L11+M11+O11+P11+Q11+R11+S11+T11+U11</f>
        <v>0.8</v>
      </c>
      <c r="AA11" s="615">
        <f t="shared" ref="AA11:AA42" si="4">+Z11/16</f>
        <v>0.05</v>
      </c>
      <c r="AB11" s="631">
        <f t="shared" ref="AB11:AB42" si="5">+AA11/$AA$82*$AA$8</f>
        <v>2.7500000000000004E-2</v>
      </c>
      <c r="AC11" s="7" t="s">
        <v>451</v>
      </c>
      <c r="AD11" s="7"/>
      <c r="AE11" s="7"/>
      <c r="AH11" s="611">
        <v>0.2</v>
      </c>
    </row>
    <row r="12" spans="1:34">
      <c r="B12" s="707" t="s">
        <v>662</v>
      </c>
      <c r="C12" s="601">
        <f t="shared" si="0"/>
        <v>9.9409722222222219E-2</v>
      </c>
      <c r="D12" s="629">
        <f>+AH12+AB12</f>
        <v>0.2446875</v>
      </c>
      <c r="E12" s="629">
        <v>0.25</v>
      </c>
      <c r="F12" s="629"/>
      <c r="G12" s="629"/>
      <c r="H12" s="629"/>
      <c r="I12" s="629">
        <v>0.5</v>
      </c>
      <c r="J12" s="629"/>
      <c r="K12" s="629">
        <v>0.3</v>
      </c>
      <c r="L12" s="629"/>
      <c r="M12" s="629"/>
      <c r="N12" s="629">
        <f>+D12</f>
        <v>0.2446875</v>
      </c>
      <c r="O12" s="629"/>
      <c r="P12" s="629">
        <v>0.25</v>
      </c>
      <c r="Q12" s="629"/>
      <c r="R12" s="629"/>
      <c r="S12" s="629"/>
      <c r="T12" s="629"/>
      <c r="U12" s="629"/>
      <c r="V12" s="630"/>
      <c r="W12" s="708">
        <f t="shared" si="1"/>
        <v>1.7893749999999999</v>
      </c>
      <c r="X12" s="708">
        <f t="shared" si="2"/>
        <v>9.9409722222222219E-2</v>
      </c>
      <c r="Y12" s="7"/>
      <c r="Z12" s="614">
        <f t="shared" si="3"/>
        <v>1.3</v>
      </c>
      <c r="AA12" s="615">
        <f t="shared" si="4"/>
        <v>8.1250000000000003E-2</v>
      </c>
      <c r="AB12" s="631">
        <f t="shared" si="5"/>
        <v>4.4687500000000005E-2</v>
      </c>
      <c r="AC12" s="7"/>
      <c r="AD12" s="7"/>
      <c r="AE12" s="7"/>
      <c r="AH12" s="611">
        <v>0.2</v>
      </c>
    </row>
    <row r="13" spans="1:34">
      <c r="B13" s="707" t="s">
        <v>352</v>
      </c>
      <c r="C13" s="601">
        <f t="shared" si="0"/>
        <v>5.3437499999999999E-2</v>
      </c>
      <c r="D13" s="629">
        <f>+AB13</f>
        <v>3.0937500000000003E-2</v>
      </c>
      <c r="E13" s="629"/>
      <c r="F13" s="629"/>
      <c r="G13" s="629"/>
      <c r="H13" s="629">
        <v>0.5</v>
      </c>
      <c r="I13" s="629"/>
      <c r="J13" s="629"/>
      <c r="K13" s="629">
        <v>0.4</v>
      </c>
      <c r="L13" s="629"/>
      <c r="M13" s="629"/>
      <c r="N13" s="629">
        <f>+D13</f>
        <v>3.0937500000000003E-2</v>
      </c>
      <c r="O13" s="629"/>
      <c r="P13" s="629"/>
      <c r="Q13" s="629"/>
      <c r="R13" s="629"/>
      <c r="S13" s="629"/>
      <c r="T13" s="629"/>
      <c r="U13" s="629"/>
      <c r="V13" s="630"/>
      <c r="W13" s="708">
        <f t="shared" si="1"/>
        <v>0.96187499999999992</v>
      </c>
      <c r="X13" s="708">
        <f t="shared" si="2"/>
        <v>5.3437499999999999E-2</v>
      </c>
      <c r="Y13" s="7"/>
      <c r="Z13" s="614">
        <f t="shared" si="3"/>
        <v>0.9</v>
      </c>
      <c r="AA13" s="615">
        <f t="shared" si="4"/>
        <v>5.6250000000000001E-2</v>
      </c>
      <c r="AB13" s="631">
        <f t="shared" si="5"/>
        <v>3.0937500000000003E-2</v>
      </c>
      <c r="AC13" s="7"/>
      <c r="AD13" s="7"/>
      <c r="AE13" s="7"/>
    </row>
    <row r="14" spans="1:34">
      <c r="B14" s="707" t="s">
        <v>353</v>
      </c>
      <c r="C14" s="601">
        <f t="shared" si="0"/>
        <v>2.9687500000000002E-2</v>
      </c>
      <c r="D14" s="629">
        <f>+AB14</f>
        <v>1.7187500000000001E-2</v>
      </c>
      <c r="E14" s="629"/>
      <c r="F14" s="629"/>
      <c r="G14" s="629"/>
      <c r="H14" s="629"/>
      <c r="I14" s="629">
        <v>0.5</v>
      </c>
      <c r="J14" s="629"/>
      <c r="K14" s="629"/>
      <c r="L14" s="629"/>
      <c r="M14" s="629"/>
      <c r="N14" s="629">
        <f>+D14</f>
        <v>1.7187500000000001E-2</v>
      </c>
      <c r="O14" s="629"/>
      <c r="P14" s="629"/>
      <c r="Q14" s="629"/>
      <c r="R14" s="629"/>
      <c r="S14" s="629"/>
      <c r="T14" s="629"/>
      <c r="U14" s="629"/>
      <c r="V14" s="630"/>
      <c r="W14" s="708">
        <f t="shared" si="1"/>
        <v>0.53437500000000004</v>
      </c>
      <c r="X14" s="708">
        <f t="shared" si="2"/>
        <v>2.9687500000000002E-2</v>
      </c>
      <c r="Y14" s="7"/>
      <c r="Z14" s="614">
        <f t="shared" si="3"/>
        <v>0.5</v>
      </c>
      <c r="AA14" s="615">
        <f t="shared" si="4"/>
        <v>3.125E-2</v>
      </c>
      <c r="AB14" s="631">
        <f t="shared" si="5"/>
        <v>1.7187500000000001E-2</v>
      </c>
      <c r="AC14" s="7"/>
      <c r="AD14" s="7"/>
      <c r="AE14" s="7"/>
    </row>
    <row r="15" spans="1:34">
      <c r="B15" s="707" t="s">
        <v>354</v>
      </c>
      <c r="C15" s="601">
        <f t="shared" si="0"/>
        <v>0</v>
      </c>
      <c r="D15" s="629"/>
      <c r="E15" s="629"/>
      <c r="F15" s="629"/>
      <c r="G15" s="629"/>
      <c r="H15" s="629"/>
      <c r="I15" s="629"/>
      <c r="J15" s="629"/>
      <c r="K15" s="629"/>
      <c r="L15" s="629"/>
      <c r="M15" s="629"/>
      <c r="N15" s="629"/>
      <c r="O15" s="629"/>
      <c r="P15" s="629"/>
      <c r="Q15" s="629"/>
      <c r="R15" s="629"/>
      <c r="S15" s="629"/>
      <c r="T15" s="629"/>
      <c r="U15" s="629"/>
      <c r="V15" s="630"/>
      <c r="W15" s="708">
        <f t="shared" si="1"/>
        <v>0</v>
      </c>
      <c r="X15" s="708">
        <f t="shared" si="2"/>
        <v>0</v>
      </c>
      <c r="Y15" s="7"/>
      <c r="Z15" s="614">
        <f t="shared" si="3"/>
        <v>0</v>
      </c>
      <c r="AA15" s="615">
        <f t="shared" si="4"/>
        <v>0</v>
      </c>
      <c r="AB15" s="631">
        <f t="shared" si="5"/>
        <v>0</v>
      </c>
      <c r="AC15" s="7"/>
      <c r="AD15" s="7"/>
      <c r="AE15" s="7"/>
    </row>
    <row r="16" spans="1:34">
      <c r="B16" s="707" t="s">
        <v>355</v>
      </c>
      <c r="C16" s="601">
        <f t="shared" si="0"/>
        <v>0</v>
      </c>
      <c r="D16" s="629"/>
      <c r="E16" s="629"/>
      <c r="F16" s="629"/>
      <c r="G16" s="629"/>
      <c r="H16" s="629"/>
      <c r="I16" s="629"/>
      <c r="J16" s="629"/>
      <c r="K16" s="629"/>
      <c r="L16" s="629"/>
      <c r="M16" s="629"/>
      <c r="N16" s="629"/>
      <c r="O16" s="629"/>
      <c r="P16" s="629"/>
      <c r="Q16" s="629"/>
      <c r="R16" s="629"/>
      <c r="S16" s="629"/>
      <c r="T16" s="629"/>
      <c r="U16" s="629"/>
      <c r="V16" s="630"/>
      <c r="W16" s="708">
        <f t="shared" si="1"/>
        <v>0</v>
      </c>
      <c r="X16" s="708">
        <f t="shared" si="2"/>
        <v>0</v>
      </c>
      <c r="Y16" s="7"/>
      <c r="Z16" s="614">
        <f t="shared" si="3"/>
        <v>0</v>
      </c>
      <c r="AA16" s="615">
        <f t="shared" si="4"/>
        <v>0</v>
      </c>
      <c r="AB16" s="631">
        <f t="shared" si="5"/>
        <v>0</v>
      </c>
      <c r="AC16" s="7"/>
      <c r="AD16" s="7"/>
      <c r="AE16" s="7"/>
    </row>
    <row r="17" spans="1:45">
      <c r="B17" s="707" t="s">
        <v>356</v>
      </c>
      <c r="C17" s="601">
        <f t="shared" si="0"/>
        <v>2.9687500000000002E-2</v>
      </c>
      <c r="D17" s="629">
        <f>+AB17</f>
        <v>1.7187500000000001E-2</v>
      </c>
      <c r="E17" s="629">
        <v>0.25</v>
      </c>
      <c r="F17" s="629"/>
      <c r="G17" s="629"/>
      <c r="H17" s="629"/>
      <c r="I17" s="629"/>
      <c r="J17" s="629"/>
      <c r="K17" s="629"/>
      <c r="L17" s="629"/>
      <c r="M17" s="629"/>
      <c r="N17" s="629">
        <f>+D17</f>
        <v>1.7187500000000001E-2</v>
      </c>
      <c r="O17" s="629"/>
      <c r="P17" s="629">
        <v>0.25</v>
      </c>
      <c r="Q17" s="629"/>
      <c r="R17" s="629"/>
      <c r="S17" s="629"/>
      <c r="T17" s="629"/>
      <c r="U17" s="629"/>
      <c r="V17" s="630"/>
      <c r="W17" s="708">
        <f t="shared" si="1"/>
        <v>0.53437500000000004</v>
      </c>
      <c r="X17" s="708">
        <f t="shared" si="2"/>
        <v>2.9687500000000002E-2</v>
      </c>
      <c r="Y17" s="7"/>
      <c r="Z17" s="614">
        <f t="shared" si="3"/>
        <v>0.5</v>
      </c>
      <c r="AA17" s="615">
        <f t="shared" si="4"/>
        <v>3.125E-2</v>
      </c>
      <c r="AB17" s="631">
        <f t="shared" si="5"/>
        <v>1.7187500000000001E-2</v>
      </c>
      <c r="AC17" s="7"/>
      <c r="AD17" s="7"/>
      <c r="AE17" s="7"/>
    </row>
    <row r="18" spans="1:45">
      <c r="B18" s="707" t="s">
        <v>357</v>
      </c>
      <c r="C18" s="601">
        <f t="shared" si="0"/>
        <v>0</v>
      </c>
      <c r="D18" s="629"/>
      <c r="E18" s="629"/>
      <c r="F18" s="629"/>
      <c r="G18" s="629"/>
      <c r="H18" s="629"/>
      <c r="I18" s="629"/>
      <c r="J18" s="629"/>
      <c r="K18" s="629"/>
      <c r="L18" s="629"/>
      <c r="M18" s="629"/>
      <c r="N18" s="629"/>
      <c r="O18" s="629"/>
      <c r="P18" s="629"/>
      <c r="Q18" s="629"/>
      <c r="R18" s="629"/>
      <c r="S18" s="629"/>
      <c r="T18" s="629"/>
      <c r="U18" s="629"/>
      <c r="V18" s="630"/>
      <c r="W18" s="708">
        <f t="shared" si="1"/>
        <v>0</v>
      </c>
      <c r="X18" s="708">
        <f t="shared" si="2"/>
        <v>0</v>
      </c>
      <c r="Y18" s="7"/>
      <c r="Z18" s="614">
        <f t="shared" si="3"/>
        <v>0</v>
      </c>
      <c r="AA18" s="615">
        <f t="shared" si="4"/>
        <v>0</v>
      </c>
      <c r="AB18" s="631">
        <f t="shared" si="5"/>
        <v>0</v>
      </c>
      <c r="AC18" s="7"/>
      <c r="AD18" s="7"/>
      <c r="AE18" s="7"/>
      <c r="AI18" s="7"/>
      <c r="AJ18" s="7"/>
      <c r="AK18" s="7"/>
      <c r="AL18" s="7"/>
      <c r="AM18" s="7"/>
      <c r="AN18" s="7"/>
      <c r="AO18" s="7"/>
      <c r="AP18" s="7"/>
      <c r="AQ18" s="7"/>
      <c r="AR18" s="7"/>
      <c r="AS18" s="7"/>
    </row>
    <row r="19" spans="1:45">
      <c r="B19" s="707" t="s">
        <v>358</v>
      </c>
      <c r="C19" s="601">
        <f t="shared" si="0"/>
        <v>0</v>
      </c>
      <c r="D19" s="629"/>
      <c r="E19" s="629"/>
      <c r="F19" s="629"/>
      <c r="G19" s="629"/>
      <c r="H19" s="629"/>
      <c r="I19" s="629"/>
      <c r="J19" s="629"/>
      <c r="K19" s="629"/>
      <c r="L19" s="629"/>
      <c r="M19" s="629"/>
      <c r="N19" s="629"/>
      <c r="O19" s="629"/>
      <c r="P19" s="629"/>
      <c r="Q19" s="629"/>
      <c r="R19" s="629"/>
      <c r="S19" s="629"/>
      <c r="T19" s="629"/>
      <c r="U19" s="629"/>
      <c r="V19" s="630"/>
      <c r="W19" s="708">
        <f t="shared" si="1"/>
        <v>0</v>
      </c>
      <c r="X19" s="708">
        <f t="shared" si="2"/>
        <v>0</v>
      </c>
      <c r="Y19" s="7"/>
      <c r="Z19" s="614">
        <f t="shared" si="3"/>
        <v>0</v>
      </c>
      <c r="AA19" s="615">
        <f t="shared" si="4"/>
        <v>0</v>
      </c>
      <c r="AB19" s="631">
        <f t="shared" si="5"/>
        <v>0</v>
      </c>
      <c r="AC19" s="7"/>
      <c r="AD19" s="7"/>
      <c r="AE19" s="7"/>
      <c r="AI19" s="7"/>
      <c r="AJ19" s="7"/>
      <c r="AK19" s="7"/>
      <c r="AL19" s="7"/>
      <c r="AM19" s="7"/>
      <c r="AN19" s="7"/>
      <c r="AO19" s="7"/>
      <c r="AP19" s="7"/>
      <c r="AQ19" s="7"/>
      <c r="AR19" s="7"/>
      <c r="AS19" s="7"/>
    </row>
    <row r="20" spans="1:45" s="634" customFormat="1" ht="13.8" thickBot="1">
      <c r="A20" s="12"/>
      <c r="B20" s="709" t="s">
        <v>359</v>
      </c>
      <c r="C20" s="602">
        <f>AVERAGE(D20:U20)</f>
        <v>0.28194444444444439</v>
      </c>
      <c r="D20" s="632">
        <f t="shared" ref="D20:W20" si="6">SUM(D11:D19)</f>
        <v>0.53749999999999998</v>
      </c>
      <c r="E20" s="632">
        <f t="shared" si="6"/>
        <v>0.5</v>
      </c>
      <c r="F20" s="632">
        <f t="shared" si="6"/>
        <v>0</v>
      </c>
      <c r="G20" s="632">
        <f t="shared" si="6"/>
        <v>0</v>
      </c>
      <c r="H20" s="632">
        <f t="shared" si="6"/>
        <v>1</v>
      </c>
      <c r="I20" s="632">
        <f t="shared" si="6"/>
        <v>1</v>
      </c>
      <c r="J20" s="632">
        <f t="shared" si="6"/>
        <v>0</v>
      </c>
      <c r="K20" s="632">
        <f t="shared" si="6"/>
        <v>1</v>
      </c>
      <c r="L20" s="632">
        <f t="shared" si="6"/>
        <v>0</v>
      </c>
      <c r="M20" s="632">
        <f t="shared" si="6"/>
        <v>0</v>
      </c>
      <c r="N20" s="632">
        <f t="shared" si="6"/>
        <v>0.53749999999999998</v>
      </c>
      <c r="O20" s="632">
        <f t="shared" si="6"/>
        <v>0</v>
      </c>
      <c r="P20" s="632">
        <f t="shared" si="6"/>
        <v>0.5</v>
      </c>
      <c r="Q20" s="632">
        <f t="shared" si="6"/>
        <v>0</v>
      </c>
      <c r="R20" s="632">
        <f t="shared" si="6"/>
        <v>0</v>
      </c>
      <c r="S20" s="632">
        <f t="shared" si="6"/>
        <v>0</v>
      </c>
      <c r="T20" s="632">
        <f t="shared" si="6"/>
        <v>0</v>
      </c>
      <c r="U20" s="632">
        <f t="shared" si="6"/>
        <v>0</v>
      </c>
      <c r="V20" s="633">
        <f t="shared" si="6"/>
        <v>0</v>
      </c>
      <c r="W20" s="939">
        <f t="shared" si="6"/>
        <v>5.0749999999999993</v>
      </c>
      <c r="X20" s="708">
        <f t="shared" si="2"/>
        <v>0.28194444444444439</v>
      </c>
      <c r="Y20" s="12"/>
      <c r="Z20" s="614">
        <f t="shared" si="3"/>
        <v>4</v>
      </c>
      <c r="AA20" s="615">
        <f t="shared" si="4"/>
        <v>0.25</v>
      </c>
      <c r="AB20" s="631">
        <f t="shared" si="5"/>
        <v>0.13750000000000001</v>
      </c>
      <c r="AC20" s="12"/>
      <c r="AD20" s="12"/>
      <c r="AE20" s="12"/>
      <c r="AH20" s="635"/>
      <c r="AI20" s="12"/>
      <c r="AJ20" s="12"/>
      <c r="AK20" s="12"/>
      <c r="AL20" s="12"/>
      <c r="AM20" s="12"/>
      <c r="AN20" s="12"/>
      <c r="AO20" s="12"/>
      <c r="AP20" s="12"/>
      <c r="AQ20" s="12"/>
      <c r="AR20" s="12"/>
      <c r="AS20" s="12"/>
    </row>
    <row r="21" spans="1:45">
      <c r="B21" s="707" t="s">
        <v>360</v>
      </c>
      <c r="C21" s="601">
        <f t="shared" ref="C21:C30" si="7">+X21</f>
        <v>0.10687500000000001</v>
      </c>
      <c r="D21" s="629">
        <f>+AB21</f>
        <v>6.1875000000000013E-2</v>
      </c>
      <c r="E21" s="629"/>
      <c r="F21" s="629">
        <v>0.5</v>
      </c>
      <c r="G21" s="629"/>
      <c r="H21" s="629"/>
      <c r="I21" s="629"/>
      <c r="J21" s="629"/>
      <c r="K21" s="629"/>
      <c r="L21" s="629"/>
      <c r="M21" s="629"/>
      <c r="N21" s="629">
        <f>+D21</f>
        <v>6.1875000000000013E-2</v>
      </c>
      <c r="O21" s="629">
        <v>0.5</v>
      </c>
      <c r="P21" s="629"/>
      <c r="Q21" s="629">
        <v>0.1</v>
      </c>
      <c r="R21" s="629">
        <v>0.1</v>
      </c>
      <c r="S21" s="629">
        <v>0.1</v>
      </c>
      <c r="T21" s="629">
        <v>0.5</v>
      </c>
      <c r="U21" s="629"/>
      <c r="V21" s="630"/>
      <c r="W21" s="708">
        <f t="shared" ref="W21:W30" si="8">+SUM(D21:U21)</f>
        <v>1.9237500000000003</v>
      </c>
      <c r="X21" s="708">
        <f t="shared" si="2"/>
        <v>0.10687500000000001</v>
      </c>
      <c r="Y21" s="7"/>
      <c r="Z21" s="614">
        <f t="shared" si="3"/>
        <v>1.8000000000000003</v>
      </c>
      <c r="AA21" s="615">
        <f t="shared" si="4"/>
        <v>0.11250000000000002</v>
      </c>
      <c r="AB21" s="631">
        <f t="shared" si="5"/>
        <v>6.1875000000000013E-2</v>
      </c>
      <c r="AC21" s="7"/>
      <c r="AD21" s="7"/>
      <c r="AE21" s="7"/>
      <c r="AI21" s="930" t="s">
        <v>425</v>
      </c>
      <c r="AJ21" s="931"/>
      <c r="AK21" s="932"/>
      <c r="AL21" s="932"/>
      <c r="AM21" s="940"/>
      <c r="AN21" s="608"/>
      <c r="AO21" s="185"/>
      <c r="AP21" s="185"/>
      <c r="AQ21" s="185"/>
      <c r="AR21" s="185"/>
      <c r="AS21" s="7"/>
    </row>
    <row r="22" spans="1:45">
      <c r="B22" s="707" t="s">
        <v>361</v>
      </c>
      <c r="C22" s="601">
        <f t="shared" si="7"/>
        <v>0.17812499999999998</v>
      </c>
      <c r="D22" s="629">
        <f>+AB22</f>
        <v>0.10312500000000001</v>
      </c>
      <c r="E22" s="629"/>
      <c r="F22" s="629"/>
      <c r="G22" s="629"/>
      <c r="H22" s="629"/>
      <c r="I22" s="629"/>
      <c r="J22" s="629">
        <v>1</v>
      </c>
      <c r="K22" s="629"/>
      <c r="L22" s="629"/>
      <c r="M22" s="629">
        <v>1</v>
      </c>
      <c r="N22" s="629">
        <f>+D22</f>
        <v>0.10312500000000001</v>
      </c>
      <c r="O22" s="629"/>
      <c r="P22" s="629"/>
      <c r="Q22" s="629">
        <v>0.1</v>
      </c>
      <c r="R22" s="629">
        <v>0.1</v>
      </c>
      <c r="S22" s="629">
        <v>0.1</v>
      </c>
      <c r="T22" s="629"/>
      <c r="U22" s="629">
        <v>0.7</v>
      </c>
      <c r="V22" s="630"/>
      <c r="W22" s="708">
        <f t="shared" si="8"/>
        <v>3.2062499999999998</v>
      </c>
      <c r="X22" s="708">
        <f t="shared" si="2"/>
        <v>0.17812499999999998</v>
      </c>
      <c r="Y22" s="7"/>
      <c r="Z22" s="614">
        <f t="shared" si="3"/>
        <v>3</v>
      </c>
      <c r="AA22" s="615">
        <f t="shared" si="4"/>
        <v>0.1875</v>
      </c>
      <c r="AB22" s="631">
        <f t="shared" si="5"/>
        <v>0.10312500000000001</v>
      </c>
      <c r="AC22" s="7"/>
      <c r="AD22" s="7"/>
      <c r="AE22" s="7"/>
      <c r="AI22" s="942" t="s">
        <v>691</v>
      </c>
      <c r="AJ22" s="891"/>
      <c r="AK22" s="891"/>
      <c r="AL22" s="891"/>
      <c r="AM22" s="937"/>
      <c r="AN22" s="608"/>
      <c r="AO22" s="185"/>
      <c r="AP22" s="185"/>
      <c r="AQ22" s="185"/>
      <c r="AR22" s="185"/>
      <c r="AS22" s="7"/>
    </row>
    <row r="23" spans="1:45">
      <c r="B23" s="707" t="s">
        <v>362</v>
      </c>
      <c r="C23" s="601">
        <f t="shared" si="7"/>
        <v>3.2656249999999998E-2</v>
      </c>
      <c r="D23" s="629">
        <f>+AB23</f>
        <v>1.8906249999999999E-2</v>
      </c>
      <c r="E23" s="629"/>
      <c r="F23" s="629"/>
      <c r="G23" s="629">
        <v>0.25</v>
      </c>
      <c r="H23" s="629"/>
      <c r="I23" s="629"/>
      <c r="J23" s="629"/>
      <c r="K23" s="629"/>
      <c r="L23" s="629"/>
      <c r="M23" s="629"/>
      <c r="N23" s="629">
        <f>+D23</f>
        <v>1.8906249999999999E-2</v>
      </c>
      <c r="O23" s="629"/>
      <c r="P23" s="629"/>
      <c r="Q23" s="629">
        <v>0.1</v>
      </c>
      <c r="R23" s="629">
        <v>0.1</v>
      </c>
      <c r="S23" s="629">
        <v>0.1</v>
      </c>
      <c r="T23" s="629"/>
      <c r="U23" s="629"/>
      <c r="V23" s="630"/>
      <c r="W23" s="708">
        <f t="shared" si="8"/>
        <v>0.58781249999999996</v>
      </c>
      <c r="X23" s="708">
        <f t="shared" si="2"/>
        <v>3.2656249999999998E-2</v>
      </c>
      <c r="Y23" s="7"/>
      <c r="Z23" s="614">
        <f t="shared" si="3"/>
        <v>0.54999999999999993</v>
      </c>
      <c r="AA23" s="615">
        <f t="shared" si="4"/>
        <v>3.4374999999999996E-2</v>
      </c>
      <c r="AB23" s="631">
        <f t="shared" si="5"/>
        <v>1.8906249999999999E-2</v>
      </c>
      <c r="AC23" s="7"/>
      <c r="AD23" s="7"/>
      <c r="AE23" s="7"/>
      <c r="AI23" s="942" t="s">
        <v>689</v>
      </c>
      <c r="AJ23" s="934"/>
      <c r="AK23" s="929"/>
      <c r="AL23" s="929"/>
      <c r="AM23" s="941"/>
      <c r="AN23" s="608"/>
      <c r="AO23" s="185"/>
      <c r="AP23" s="185"/>
      <c r="AQ23" s="185"/>
      <c r="AR23" s="185"/>
      <c r="AS23" s="7"/>
    </row>
    <row r="24" spans="1:45">
      <c r="B24" s="707" t="s">
        <v>363</v>
      </c>
      <c r="C24" s="601">
        <f t="shared" si="7"/>
        <v>0</v>
      </c>
      <c r="D24" s="629"/>
      <c r="E24" s="629"/>
      <c r="F24" s="629"/>
      <c r="G24" s="629"/>
      <c r="H24" s="629"/>
      <c r="I24" s="629"/>
      <c r="J24" s="629"/>
      <c r="K24" s="629"/>
      <c r="L24" s="629"/>
      <c r="M24" s="629"/>
      <c r="N24" s="629"/>
      <c r="O24" s="629"/>
      <c r="P24" s="629"/>
      <c r="Q24" s="629"/>
      <c r="R24" s="629"/>
      <c r="S24" s="629"/>
      <c r="T24" s="629"/>
      <c r="U24" s="629"/>
      <c r="V24" s="630"/>
      <c r="W24" s="708">
        <f t="shared" si="8"/>
        <v>0</v>
      </c>
      <c r="X24" s="708">
        <f t="shared" si="2"/>
        <v>0</v>
      </c>
      <c r="Y24" s="7"/>
      <c r="Z24" s="614">
        <f t="shared" si="3"/>
        <v>0</v>
      </c>
      <c r="AA24" s="615">
        <f t="shared" si="4"/>
        <v>0</v>
      </c>
      <c r="AB24" s="631">
        <f t="shared" si="5"/>
        <v>0</v>
      </c>
      <c r="AC24" s="7"/>
      <c r="AD24" s="7"/>
      <c r="AE24" s="7"/>
      <c r="AI24" s="933" t="s">
        <v>688</v>
      </c>
      <c r="AJ24" s="891"/>
      <c r="AK24" s="891"/>
      <c r="AL24" s="891"/>
      <c r="AM24" s="941"/>
      <c r="AN24" s="608"/>
      <c r="AO24" s="185"/>
      <c r="AP24" s="185"/>
      <c r="AQ24" s="185"/>
      <c r="AR24" s="185"/>
      <c r="AS24" s="7"/>
    </row>
    <row r="25" spans="1:45">
      <c r="B25" s="707" t="s">
        <v>364</v>
      </c>
      <c r="C25" s="601">
        <f t="shared" si="7"/>
        <v>0</v>
      </c>
      <c r="D25" s="629"/>
      <c r="E25" s="629"/>
      <c r="F25" s="629"/>
      <c r="G25" s="629"/>
      <c r="H25" s="629"/>
      <c r="I25" s="629"/>
      <c r="J25" s="629"/>
      <c r="K25" s="629"/>
      <c r="L25" s="629"/>
      <c r="M25" s="629"/>
      <c r="N25" s="629"/>
      <c r="O25" s="629"/>
      <c r="P25" s="629"/>
      <c r="Q25" s="629"/>
      <c r="R25" s="629"/>
      <c r="S25" s="629"/>
      <c r="T25" s="629"/>
      <c r="U25" s="629"/>
      <c r="V25" s="630"/>
      <c r="W25" s="708">
        <f t="shared" si="8"/>
        <v>0</v>
      </c>
      <c r="X25" s="708">
        <f t="shared" si="2"/>
        <v>0</v>
      </c>
      <c r="Y25" s="7"/>
      <c r="Z25" s="614">
        <f t="shared" si="3"/>
        <v>0</v>
      </c>
      <c r="AA25" s="615">
        <f t="shared" si="4"/>
        <v>0</v>
      </c>
      <c r="AB25" s="631">
        <f t="shared" si="5"/>
        <v>0</v>
      </c>
      <c r="AC25" s="7"/>
      <c r="AD25" s="7"/>
      <c r="AE25" s="7"/>
      <c r="AI25" s="942" t="s">
        <v>705</v>
      </c>
      <c r="AJ25" s="934"/>
      <c r="AK25" s="929"/>
      <c r="AL25" s="929"/>
      <c r="AM25" s="941"/>
      <c r="AN25" s="185"/>
      <c r="AO25" s="185"/>
      <c r="AP25" s="185"/>
      <c r="AQ25" s="185"/>
      <c r="AR25" s="185"/>
      <c r="AS25" s="7"/>
    </row>
    <row r="26" spans="1:45" ht="13.8" thickBot="1">
      <c r="B26" s="707" t="s">
        <v>365</v>
      </c>
      <c r="C26" s="601">
        <f t="shared" si="7"/>
        <v>0</v>
      </c>
      <c r="D26" s="629"/>
      <c r="E26" s="629"/>
      <c r="F26" s="629"/>
      <c r="G26" s="629"/>
      <c r="H26" s="629"/>
      <c r="I26" s="629"/>
      <c r="J26" s="629"/>
      <c r="K26" s="629"/>
      <c r="L26" s="629"/>
      <c r="M26" s="629"/>
      <c r="N26" s="629"/>
      <c r="O26" s="629"/>
      <c r="P26" s="629"/>
      <c r="Q26" s="629"/>
      <c r="R26" s="629"/>
      <c r="S26" s="629"/>
      <c r="T26" s="629"/>
      <c r="U26" s="629"/>
      <c r="V26" s="630"/>
      <c r="W26" s="708">
        <f t="shared" si="8"/>
        <v>0</v>
      </c>
      <c r="X26" s="708">
        <f t="shared" si="2"/>
        <v>0</v>
      </c>
      <c r="Y26" s="7"/>
      <c r="Z26" s="614">
        <f t="shared" si="3"/>
        <v>0</v>
      </c>
      <c r="AA26" s="615">
        <f t="shared" si="4"/>
        <v>0</v>
      </c>
      <c r="AB26" s="631">
        <f t="shared" si="5"/>
        <v>0</v>
      </c>
      <c r="AC26" s="7"/>
      <c r="AD26" s="7"/>
      <c r="AE26" s="7"/>
      <c r="AI26" s="943" t="s">
        <v>690</v>
      </c>
      <c r="AJ26" s="935"/>
      <c r="AK26" s="936"/>
      <c r="AL26" s="936"/>
      <c r="AM26" s="899"/>
      <c r="AN26" s="7"/>
      <c r="AO26" s="7"/>
      <c r="AP26" s="7"/>
      <c r="AQ26" s="7"/>
      <c r="AR26" s="7"/>
      <c r="AS26" s="7"/>
    </row>
    <row r="27" spans="1:45">
      <c r="B27" s="707" t="s">
        <v>366</v>
      </c>
      <c r="C27" s="601">
        <f t="shared" si="7"/>
        <v>0</v>
      </c>
      <c r="D27" s="629"/>
      <c r="E27" s="629"/>
      <c r="F27" s="629"/>
      <c r="G27" s="629"/>
      <c r="H27" s="629"/>
      <c r="I27" s="629"/>
      <c r="J27" s="629"/>
      <c r="K27" s="629"/>
      <c r="L27" s="629"/>
      <c r="M27" s="629"/>
      <c r="N27" s="629"/>
      <c r="O27" s="629"/>
      <c r="P27" s="629"/>
      <c r="Q27" s="629"/>
      <c r="R27" s="629"/>
      <c r="S27" s="629"/>
      <c r="T27" s="629"/>
      <c r="U27" s="629"/>
      <c r="V27" s="630"/>
      <c r="W27" s="708">
        <f t="shared" si="8"/>
        <v>0</v>
      </c>
      <c r="X27" s="708">
        <f t="shared" si="2"/>
        <v>0</v>
      </c>
      <c r="Y27" s="7"/>
      <c r="Z27" s="614">
        <f t="shared" si="3"/>
        <v>0</v>
      </c>
      <c r="AA27" s="615">
        <f t="shared" si="4"/>
        <v>0</v>
      </c>
      <c r="AB27" s="631">
        <f t="shared" si="5"/>
        <v>0</v>
      </c>
      <c r="AC27" s="7"/>
      <c r="AD27" s="7"/>
      <c r="AE27" s="7"/>
      <c r="AI27" s="7"/>
      <c r="AJ27" s="7"/>
      <c r="AK27" s="7"/>
      <c r="AL27" s="7"/>
      <c r="AM27" s="7"/>
      <c r="AN27" s="7"/>
      <c r="AO27" s="7"/>
      <c r="AP27" s="7"/>
      <c r="AQ27" s="7"/>
      <c r="AR27" s="7"/>
      <c r="AS27" s="7"/>
    </row>
    <row r="28" spans="1:45">
      <c r="B28" s="707" t="s">
        <v>367</v>
      </c>
      <c r="C28" s="601">
        <f t="shared" si="7"/>
        <v>6.2343750000000003E-2</v>
      </c>
      <c r="D28" s="629">
        <f>+AB28</f>
        <v>3.6093750000000008E-2</v>
      </c>
      <c r="E28" s="629"/>
      <c r="F28" s="629"/>
      <c r="G28" s="629">
        <v>0.25</v>
      </c>
      <c r="H28" s="629"/>
      <c r="I28" s="629"/>
      <c r="J28" s="629"/>
      <c r="K28" s="629"/>
      <c r="L28" s="629">
        <v>0.5</v>
      </c>
      <c r="M28" s="629"/>
      <c r="N28" s="629">
        <f>+D28</f>
        <v>3.6093750000000008E-2</v>
      </c>
      <c r="O28" s="629"/>
      <c r="P28" s="629"/>
      <c r="Q28" s="629">
        <v>0.1</v>
      </c>
      <c r="R28" s="629">
        <v>0.1</v>
      </c>
      <c r="S28" s="629">
        <v>0.1</v>
      </c>
      <c r="T28" s="629"/>
      <c r="U28" s="629"/>
      <c r="V28" s="630"/>
      <c r="W28" s="708">
        <f t="shared" si="8"/>
        <v>1.1221875000000001</v>
      </c>
      <c r="X28" s="708">
        <f t="shared" si="2"/>
        <v>6.2343750000000003E-2</v>
      </c>
      <c r="Y28" s="7"/>
      <c r="Z28" s="614">
        <f t="shared" si="3"/>
        <v>1.05</v>
      </c>
      <c r="AA28" s="615">
        <f t="shared" si="4"/>
        <v>6.5625000000000003E-2</v>
      </c>
      <c r="AB28" s="631">
        <f t="shared" si="5"/>
        <v>3.6093750000000008E-2</v>
      </c>
      <c r="AC28" s="7"/>
      <c r="AD28" s="7"/>
      <c r="AE28" s="7"/>
      <c r="AI28" s="7"/>
      <c r="AJ28" s="7"/>
      <c r="AK28" s="7"/>
      <c r="AL28" s="7"/>
      <c r="AM28" s="7"/>
      <c r="AN28" s="7"/>
      <c r="AO28" s="7"/>
      <c r="AP28" s="7"/>
      <c r="AQ28" s="7"/>
      <c r="AR28" s="7"/>
      <c r="AS28" s="7"/>
    </row>
    <row r="29" spans="1:45">
      <c r="B29" s="707" t="s">
        <v>368</v>
      </c>
      <c r="C29" s="601">
        <f t="shared" si="7"/>
        <v>1.4843750000000001E-2</v>
      </c>
      <c r="D29" s="629">
        <f>+AB29</f>
        <v>8.5937500000000007E-3</v>
      </c>
      <c r="E29" s="629"/>
      <c r="F29" s="629"/>
      <c r="G29" s="629">
        <v>0.25</v>
      </c>
      <c r="H29" s="629"/>
      <c r="I29" s="629"/>
      <c r="J29" s="629"/>
      <c r="K29" s="629"/>
      <c r="L29" s="629"/>
      <c r="M29" s="629"/>
      <c r="N29" s="629">
        <f>+D29</f>
        <v>8.5937500000000007E-3</v>
      </c>
      <c r="O29" s="629"/>
      <c r="P29" s="629"/>
      <c r="Q29" s="629"/>
      <c r="R29" s="629"/>
      <c r="S29" s="629"/>
      <c r="T29" s="629"/>
      <c r="U29" s="629"/>
      <c r="V29" s="630"/>
      <c r="W29" s="708">
        <f t="shared" si="8"/>
        <v>0.26718750000000002</v>
      </c>
      <c r="X29" s="708">
        <f t="shared" si="2"/>
        <v>1.4843750000000001E-2</v>
      </c>
      <c r="Y29" s="7"/>
      <c r="Z29" s="614">
        <f t="shared" si="3"/>
        <v>0.25</v>
      </c>
      <c r="AA29" s="615">
        <f t="shared" si="4"/>
        <v>1.5625E-2</v>
      </c>
      <c r="AB29" s="631">
        <f t="shared" si="5"/>
        <v>8.5937500000000007E-3</v>
      </c>
      <c r="AC29" s="7"/>
      <c r="AD29" s="7"/>
      <c r="AE29" s="7"/>
      <c r="AI29" s="7"/>
      <c r="AJ29" s="7"/>
      <c r="AK29" s="7"/>
      <c r="AL29" s="7"/>
      <c r="AM29" s="7"/>
      <c r="AN29" s="7"/>
      <c r="AO29" s="7"/>
      <c r="AP29" s="7"/>
      <c r="AQ29" s="7"/>
      <c r="AR29" s="7"/>
      <c r="AS29" s="7"/>
    </row>
    <row r="30" spans="1:45">
      <c r="B30" s="707" t="s">
        <v>369</v>
      </c>
      <c r="C30" s="601">
        <f t="shared" si="7"/>
        <v>0</v>
      </c>
      <c r="D30" s="629"/>
      <c r="E30" s="629"/>
      <c r="F30" s="629"/>
      <c r="G30" s="629"/>
      <c r="H30" s="629"/>
      <c r="I30" s="629"/>
      <c r="J30" s="629"/>
      <c r="K30" s="629"/>
      <c r="L30" s="629"/>
      <c r="M30" s="629"/>
      <c r="N30" s="629"/>
      <c r="O30" s="629"/>
      <c r="P30" s="629"/>
      <c r="Q30" s="629"/>
      <c r="R30" s="629"/>
      <c r="S30" s="629"/>
      <c r="T30" s="629"/>
      <c r="U30" s="629"/>
      <c r="V30" s="630"/>
      <c r="W30" s="708">
        <f t="shared" si="8"/>
        <v>0</v>
      </c>
      <c r="X30" s="708">
        <f t="shared" si="2"/>
        <v>0</v>
      </c>
      <c r="Y30" s="7"/>
      <c r="Z30" s="614">
        <f t="shared" si="3"/>
        <v>0</v>
      </c>
      <c r="AA30" s="615">
        <f t="shared" si="4"/>
        <v>0</v>
      </c>
      <c r="AB30" s="631">
        <f t="shared" si="5"/>
        <v>0</v>
      </c>
      <c r="AC30" s="7"/>
      <c r="AD30" s="7"/>
      <c r="AE30" s="7"/>
      <c r="AI30" s="7"/>
      <c r="AJ30" s="7"/>
      <c r="AK30" s="7"/>
      <c r="AL30" s="7"/>
      <c r="AM30" s="7"/>
      <c r="AN30" s="7"/>
      <c r="AO30" s="7"/>
      <c r="AP30" s="7"/>
      <c r="AQ30" s="7"/>
      <c r="AR30" s="7"/>
      <c r="AS30" s="7"/>
    </row>
    <row r="31" spans="1:45" s="637" customFormat="1">
      <c r="A31" s="7"/>
      <c r="B31" s="709" t="s">
        <v>370</v>
      </c>
      <c r="C31" s="602">
        <f>AVERAGE(D31:U31)</f>
        <v>0.39484375000000005</v>
      </c>
      <c r="D31" s="632">
        <f t="shared" ref="D31:W31" si="9">SUM(D21:D30)</f>
        <v>0.22859375000000007</v>
      </c>
      <c r="E31" s="632">
        <f t="shared" si="9"/>
        <v>0</v>
      </c>
      <c r="F31" s="632">
        <f t="shared" si="9"/>
        <v>0.5</v>
      </c>
      <c r="G31" s="632">
        <f t="shared" si="9"/>
        <v>0.75</v>
      </c>
      <c r="H31" s="632">
        <f t="shared" si="9"/>
        <v>0</v>
      </c>
      <c r="I31" s="632">
        <f t="shared" si="9"/>
        <v>0</v>
      </c>
      <c r="J31" s="632">
        <f t="shared" si="9"/>
        <v>1</v>
      </c>
      <c r="K31" s="632">
        <f t="shared" si="9"/>
        <v>0</v>
      </c>
      <c r="L31" s="632">
        <f t="shared" si="9"/>
        <v>0.5</v>
      </c>
      <c r="M31" s="632">
        <f t="shared" si="9"/>
        <v>1</v>
      </c>
      <c r="N31" s="632">
        <f t="shared" si="9"/>
        <v>0.22859375000000007</v>
      </c>
      <c r="O31" s="632">
        <f t="shared" si="9"/>
        <v>0.5</v>
      </c>
      <c r="P31" s="632">
        <f t="shared" si="9"/>
        <v>0</v>
      </c>
      <c r="Q31" s="632">
        <f t="shared" si="9"/>
        <v>0.4</v>
      </c>
      <c r="R31" s="632">
        <f t="shared" si="9"/>
        <v>0.4</v>
      </c>
      <c r="S31" s="632">
        <f t="shared" si="9"/>
        <v>0.4</v>
      </c>
      <c r="T31" s="632">
        <f t="shared" si="9"/>
        <v>0.5</v>
      </c>
      <c r="U31" s="632">
        <f t="shared" si="9"/>
        <v>0.7</v>
      </c>
      <c r="V31" s="636">
        <f t="shared" si="9"/>
        <v>0</v>
      </c>
      <c r="W31" s="939">
        <f t="shared" si="9"/>
        <v>7.1071875000000002</v>
      </c>
      <c r="X31" s="708">
        <f t="shared" si="2"/>
        <v>0.39484374999999999</v>
      </c>
      <c r="Y31" s="7"/>
      <c r="Z31" s="614">
        <f t="shared" si="3"/>
        <v>6.6500000000000012</v>
      </c>
      <c r="AA31" s="615">
        <f t="shared" si="4"/>
        <v>0.41562500000000008</v>
      </c>
      <c r="AB31" s="631">
        <f t="shared" si="5"/>
        <v>0.22859375000000007</v>
      </c>
      <c r="AC31" s="7"/>
      <c r="AD31" s="7"/>
      <c r="AE31" s="7"/>
      <c r="AH31" s="638"/>
      <c r="AI31" s="7"/>
      <c r="AJ31" s="7"/>
      <c r="AK31" s="7"/>
      <c r="AL31" s="7"/>
      <c r="AM31" s="7"/>
      <c r="AN31" s="7"/>
      <c r="AO31" s="7"/>
      <c r="AP31" s="7"/>
      <c r="AQ31" s="7"/>
      <c r="AR31" s="7"/>
      <c r="AS31" s="7"/>
    </row>
    <row r="32" spans="1:45">
      <c r="B32" s="707" t="s">
        <v>371</v>
      </c>
      <c r="C32" s="601">
        <f>+X32</f>
        <v>0.18999999999999997</v>
      </c>
      <c r="D32" s="629">
        <f>+AB32</f>
        <v>0.11</v>
      </c>
      <c r="E32" s="629">
        <v>0.25</v>
      </c>
      <c r="F32" s="629">
        <v>0.5</v>
      </c>
      <c r="G32" s="629"/>
      <c r="H32" s="629"/>
      <c r="I32" s="629"/>
      <c r="J32" s="629"/>
      <c r="K32" s="629"/>
      <c r="L32" s="629"/>
      <c r="M32" s="629"/>
      <c r="N32" s="629">
        <f>+D32</f>
        <v>0.11</v>
      </c>
      <c r="O32" s="629">
        <v>0.5</v>
      </c>
      <c r="P32" s="629">
        <v>0.25</v>
      </c>
      <c r="Q32" s="629">
        <v>0.3</v>
      </c>
      <c r="R32" s="629">
        <v>0.3</v>
      </c>
      <c r="S32" s="629">
        <v>0.3</v>
      </c>
      <c r="T32" s="629">
        <v>0.5</v>
      </c>
      <c r="U32" s="629">
        <v>0.3</v>
      </c>
      <c r="V32" s="639"/>
      <c r="W32" s="708">
        <f>+SUM(D32:U32)</f>
        <v>3.4199999999999995</v>
      </c>
      <c r="X32" s="708">
        <f t="shared" si="2"/>
        <v>0.18999999999999997</v>
      </c>
      <c r="Y32" s="7"/>
      <c r="Z32" s="614">
        <f t="shared" si="3"/>
        <v>3.1999999999999997</v>
      </c>
      <c r="AA32" s="615">
        <f t="shared" si="4"/>
        <v>0.19999999999999998</v>
      </c>
      <c r="AB32" s="631">
        <f t="shared" si="5"/>
        <v>0.11</v>
      </c>
      <c r="AC32" s="7"/>
      <c r="AD32" s="7"/>
      <c r="AE32" s="7"/>
      <c r="AI32" s="7"/>
      <c r="AJ32" s="7"/>
      <c r="AK32" s="7"/>
      <c r="AL32" s="7"/>
      <c r="AM32" s="7"/>
      <c r="AN32" s="7"/>
      <c r="AO32" s="7"/>
      <c r="AP32" s="7"/>
      <c r="AQ32" s="7"/>
      <c r="AR32" s="7"/>
      <c r="AS32" s="7"/>
    </row>
    <row r="33" spans="1:45">
      <c r="B33" s="707" t="s">
        <v>372</v>
      </c>
      <c r="C33" s="601">
        <f>+X33</f>
        <v>9.7968750000000007E-2</v>
      </c>
      <c r="D33" s="629">
        <f>+AB33</f>
        <v>5.6718750000000012E-2</v>
      </c>
      <c r="E33" s="629">
        <v>0.25</v>
      </c>
      <c r="F33" s="629"/>
      <c r="G33" s="629">
        <v>0.25</v>
      </c>
      <c r="H33" s="629"/>
      <c r="I33" s="629"/>
      <c r="J33" s="629"/>
      <c r="K33" s="629"/>
      <c r="L33" s="629"/>
      <c r="M33" s="629"/>
      <c r="N33" s="629">
        <f>+D33</f>
        <v>5.6718750000000012E-2</v>
      </c>
      <c r="O33" s="629"/>
      <c r="P33" s="629">
        <v>0.25</v>
      </c>
      <c r="Q33" s="629">
        <v>0.3</v>
      </c>
      <c r="R33" s="629">
        <v>0.3</v>
      </c>
      <c r="S33" s="629">
        <v>0.3</v>
      </c>
      <c r="T33" s="629"/>
      <c r="U33" s="629"/>
      <c r="V33" s="639"/>
      <c r="W33" s="708">
        <f>+SUM(D33:U33)</f>
        <v>1.7634375000000002</v>
      </c>
      <c r="X33" s="708">
        <f t="shared" si="2"/>
        <v>9.7968750000000007E-2</v>
      </c>
      <c r="Y33" s="7"/>
      <c r="Z33" s="614">
        <f t="shared" si="3"/>
        <v>1.6500000000000001</v>
      </c>
      <c r="AA33" s="615">
        <f t="shared" si="4"/>
        <v>0.10312500000000001</v>
      </c>
      <c r="AB33" s="631">
        <f t="shared" si="5"/>
        <v>5.6718750000000012E-2</v>
      </c>
      <c r="AC33" s="7"/>
      <c r="AD33" s="7"/>
      <c r="AE33" s="7"/>
      <c r="AI33" s="7"/>
      <c r="AJ33" s="7"/>
      <c r="AK33" s="7"/>
      <c r="AL33" s="7"/>
      <c r="AM33" s="7"/>
      <c r="AN33" s="7"/>
      <c r="AO33" s="7"/>
      <c r="AP33" s="7"/>
      <c r="AQ33" s="7"/>
      <c r="AR33" s="7"/>
      <c r="AS33" s="7"/>
    </row>
    <row r="34" spans="1:45" s="637" customFormat="1">
      <c r="A34" s="7"/>
      <c r="B34" s="709" t="s">
        <v>348</v>
      </c>
      <c r="C34" s="602">
        <f>AVERAGE(D34:U34)</f>
        <v>0.28796875</v>
      </c>
      <c r="D34" s="632">
        <f t="shared" ref="D34:W34" si="10">SUM(D32:D33)</f>
        <v>0.16671875000000003</v>
      </c>
      <c r="E34" s="632">
        <f t="shared" si="10"/>
        <v>0.5</v>
      </c>
      <c r="F34" s="632">
        <f t="shared" si="10"/>
        <v>0.5</v>
      </c>
      <c r="G34" s="632">
        <f t="shared" si="10"/>
        <v>0.25</v>
      </c>
      <c r="H34" s="632">
        <f t="shared" si="10"/>
        <v>0</v>
      </c>
      <c r="I34" s="632">
        <f t="shared" si="10"/>
        <v>0</v>
      </c>
      <c r="J34" s="632">
        <f t="shared" si="10"/>
        <v>0</v>
      </c>
      <c r="K34" s="632">
        <f t="shared" si="10"/>
        <v>0</v>
      </c>
      <c r="L34" s="632">
        <f t="shared" si="10"/>
        <v>0</v>
      </c>
      <c r="M34" s="632">
        <f t="shared" si="10"/>
        <v>0</v>
      </c>
      <c r="N34" s="632">
        <f t="shared" si="10"/>
        <v>0.16671875000000003</v>
      </c>
      <c r="O34" s="632">
        <f t="shared" si="10"/>
        <v>0.5</v>
      </c>
      <c r="P34" s="632">
        <f t="shared" si="10"/>
        <v>0.5</v>
      </c>
      <c r="Q34" s="632">
        <f t="shared" si="10"/>
        <v>0.6</v>
      </c>
      <c r="R34" s="632">
        <f t="shared" si="10"/>
        <v>0.6</v>
      </c>
      <c r="S34" s="632">
        <f t="shared" si="10"/>
        <v>0.6</v>
      </c>
      <c r="T34" s="632">
        <f t="shared" si="10"/>
        <v>0.5</v>
      </c>
      <c r="U34" s="632">
        <f t="shared" si="10"/>
        <v>0.3</v>
      </c>
      <c r="V34" s="636">
        <f t="shared" si="10"/>
        <v>0</v>
      </c>
      <c r="W34" s="939">
        <f t="shared" si="10"/>
        <v>5.1834375000000001</v>
      </c>
      <c r="X34" s="708">
        <f t="shared" si="2"/>
        <v>0.28796875</v>
      </c>
      <c r="Y34" s="7"/>
      <c r="Z34" s="614">
        <f t="shared" si="3"/>
        <v>4.8499999999999996</v>
      </c>
      <c r="AA34" s="615">
        <f t="shared" si="4"/>
        <v>0.30312499999999998</v>
      </c>
      <c r="AB34" s="631">
        <f t="shared" si="5"/>
        <v>0.16671875</v>
      </c>
      <c r="AC34" s="7"/>
      <c r="AD34" s="7"/>
      <c r="AE34" s="7"/>
      <c r="AH34" s="638"/>
      <c r="AI34" s="7"/>
      <c r="AJ34" s="7"/>
      <c r="AK34" s="7"/>
      <c r="AL34" s="7"/>
      <c r="AM34" s="7"/>
      <c r="AN34" s="7"/>
      <c r="AO34" s="7"/>
      <c r="AP34" s="7"/>
      <c r="AQ34" s="7"/>
      <c r="AR34" s="7"/>
      <c r="AS34" s="7"/>
    </row>
    <row r="35" spans="1:45">
      <c r="B35" s="707" t="s">
        <v>373</v>
      </c>
      <c r="C35" s="601">
        <f t="shared" ref="C35:C43" si="11">+X35</f>
        <v>0</v>
      </c>
      <c r="D35" s="629"/>
      <c r="E35" s="629"/>
      <c r="F35" s="629"/>
      <c r="G35" s="629"/>
      <c r="H35" s="629"/>
      <c r="I35" s="629"/>
      <c r="J35" s="629"/>
      <c r="K35" s="629"/>
      <c r="L35" s="629"/>
      <c r="M35" s="629"/>
      <c r="N35" s="629"/>
      <c r="O35" s="629"/>
      <c r="P35" s="629"/>
      <c r="Q35" s="629"/>
      <c r="R35" s="629"/>
      <c r="S35" s="629"/>
      <c r="T35" s="629"/>
      <c r="U35" s="629"/>
      <c r="V35" s="639"/>
      <c r="W35" s="708">
        <f t="shared" ref="W35:W43" si="12">+SUM(D35:U35)</f>
        <v>0</v>
      </c>
      <c r="X35" s="708">
        <f t="shared" si="2"/>
        <v>0</v>
      </c>
      <c r="Y35" s="7"/>
      <c r="Z35" s="614">
        <f t="shared" si="3"/>
        <v>0</v>
      </c>
      <c r="AA35" s="615">
        <f t="shared" si="4"/>
        <v>0</v>
      </c>
      <c r="AB35" s="631">
        <f t="shared" si="5"/>
        <v>0</v>
      </c>
      <c r="AC35" s="7"/>
      <c r="AD35" s="7"/>
      <c r="AE35" s="7"/>
      <c r="AI35" s="7"/>
      <c r="AJ35" s="7"/>
      <c r="AK35" s="7"/>
      <c r="AL35" s="7"/>
      <c r="AM35" s="7"/>
      <c r="AN35" s="7"/>
      <c r="AO35" s="7"/>
      <c r="AP35" s="7"/>
      <c r="AQ35" s="7"/>
      <c r="AR35" s="7"/>
      <c r="AS35" s="7"/>
    </row>
    <row r="36" spans="1:45">
      <c r="B36" s="707" t="s">
        <v>374</v>
      </c>
      <c r="C36" s="601">
        <f t="shared" si="11"/>
        <v>0</v>
      </c>
      <c r="D36" s="629"/>
      <c r="E36" s="629"/>
      <c r="F36" s="629"/>
      <c r="G36" s="629"/>
      <c r="H36" s="629"/>
      <c r="I36" s="629"/>
      <c r="J36" s="629"/>
      <c r="K36" s="629"/>
      <c r="L36" s="629"/>
      <c r="M36" s="629"/>
      <c r="N36" s="629"/>
      <c r="O36" s="629"/>
      <c r="P36" s="629"/>
      <c r="Q36" s="629"/>
      <c r="R36" s="629"/>
      <c r="S36" s="629"/>
      <c r="T36" s="629"/>
      <c r="U36" s="629"/>
      <c r="V36" s="639"/>
      <c r="W36" s="708">
        <f t="shared" si="12"/>
        <v>0</v>
      </c>
      <c r="X36" s="708">
        <f t="shared" si="2"/>
        <v>0</v>
      </c>
      <c r="Y36" s="7"/>
      <c r="Z36" s="614">
        <f t="shared" si="3"/>
        <v>0</v>
      </c>
      <c r="AA36" s="615">
        <f t="shared" si="4"/>
        <v>0</v>
      </c>
      <c r="AB36" s="631">
        <f t="shared" si="5"/>
        <v>0</v>
      </c>
      <c r="AC36" s="7"/>
      <c r="AD36" s="7"/>
      <c r="AE36" s="7"/>
      <c r="AI36" s="7"/>
      <c r="AJ36" s="7"/>
      <c r="AK36" s="7"/>
      <c r="AL36" s="7"/>
      <c r="AM36" s="7"/>
      <c r="AN36" s="7"/>
      <c r="AO36" s="7"/>
      <c r="AP36" s="7"/>
      <c r="AQ36" s="7"/>
      <c r="AR36" s="7"/>
      <c r="AS36" s="7"/>
    </row>
    <row r="37" spans="1:45">
      <c r="B37" s="707" t="s">
        <v>375</v>
      </c>
      <c r="C37" s="601">
        <f t="shared" si="11"/>
        <v>0</v>
      </c>
      <c r="D37" s="629"/>
      <c r="E37" s="629"/>
      <c r="F37" s="629"/>
      <c r="G37" s="629"/>
      <c r="H37" s="629"/>
      <c r="I37" s="629"/>
      <c r="J37" s="629"/>
      <c r="K37" s="629"/>
      <c r="L37" s="629"/>
      <c r="M37" s="629"/>
      <c r="N37" s="629"/>
      <c r="O37" s="629"/>
      <c r="P37" s="629"/>
      <c r="Q37" s="629"/>
      <c r="R37" s="629"/>
      <c r="S37" s="629"/>
      <c r="T37" s="629"/>
      <c r="U37" s="629"/>
      <c r="V37" s="639"/>
      <c r="W37" s="708">
        <f t="shared" si="12"/>
        <v>0</v>
      </c>
      <c r="X37" s="708">
        <f t="shared" si="2"/>
        <v>0</v>
      </c>
      <c r="Y37" s="7"/>
      <c r="Z37" s="614">
        <f t="shared" si="3"/>
        <v>0</v>
      </c>
      <c r="AA37" s="615">
        <f t="shared" si="4"/>
        <v>0</v>
      </c>
      <c r="AB37" s="631">
        <f t="shared" si="5"/>
        <v>0</v>
      </c>
      <c r="AC37" s="7"/>
      <c r="AD37" s="7"/>
      <c r="AE37" s="7"/>
      <c r="AI37" s="7"/>
      <c r="AJ37" s="7"/>
      <c r="AK37" s="7"/>
      <c r="AL37" s="7"/>
      <c r="AM37" s="7"/>
      <c r="AN37" s="7"/>
      <c r="AO37" s="7"/>
      <c r="AP37" s="7"/>
      <c r="AQ37" s="7"/>
      <c r="AR37" s="7"/>
      <c r="AS37" s="7"/>
    </row>
    <row r="38" spans="1:45">
      <c r="B38" s="707" t="s">
        <v>376</v>
      </c>
      <c r="C38" s="601">
        <f t="shared" si="11"/>
        <v>0</v>
      </c>
      <c r="D38" s="629"/>
      <c r="E38" s="629"/>
      <c r="F38" s="629"/>
      <c r="G38" s="629"/>
      <c r="H38" s="629"/>
      <c r="I38" s="629"/>
      <c r="J38" s="629"/>
      <c r="K38" s="629"/>
      <c r="L38" s="629"/>
      <c r="M38" s="629"/>
      <c r="N38" s="629"/>
      <c r="O38" s="629"/>
      <c r="P38" s="629"/>
      <c r="Q38" s="629"/>
      <c r="R38" s="629"/>
      <c r="S38" s="629"/>
      <c r="T38" s="629"/>
      <c r="U38" s="629"/>
      <c r="V38" s="639"/>
      <c r="W38" s="708">
        <f t="shared" si="12"/>
        <v>0</v>
      </c>
      <c r="X38" s="708">
        <f t="shared" si="2"/>
        <v>0</v>
      </c>
      <c r="Y38" s="7"/>
      <c r="Z38" s="614">
        <f t="shared" si="3"/>
        <v>0</v>
      </c>
      <c r="AA38" s="615">
        <f t="shared" si="4"/>
        <v>0</v>
      </c>
      <c r="AB38" s="631">
        <f t="shared" si="5"/>
        <v>0</v>
      </c>
      <c r="AC38" s="7"/>
      <c r="AD38" s="7"/>
      <c r="AE38" s="7"/>
      <c r="AI38" s="7"/>
      <c r="AJ38" s="7"/>
      <c r="AK38" s="7"/>
      <c r="AL38" s="7"/>
      <c r="AM38" s="7"/>
      <c r="AN38" s="7"/>
      <c r="AO38" s="7"/>
      <c r="AP38" s="7"/>
      <c r="AQ38" s="7"/>
      <c r="AR38" s="7"/>
      <c r="AS38" s="7"/>
    </row>
    <row r="39" spans="1:45">
      <c r="B39" s="707" t="s">
        <v>377</v>
      </c>
      <c r="C39" s="601">
        <f t="shared" si="11"/>
        <v>0</v>
      </c>
      <c r="D39" s="629"/>
      <c r="E39" s="629"/>
      <c r="F39" s="629"/>
      <c r="G39" s="629"/>
      <c r="H39" s="629"/>
      <c r="I39" s="629"/>
      <c r="J39" s="629"/>
      <c r="K39" s="629"/>
      <c r="L39" s="629"/>
      <c r="M39" s="629"/>
      <c r="N39" s="629"/>
      <c r="O39" s="629"/>
      <c r="P39" s="629"/>
      <c r="Q39" s="629"/>
      <c r="R39" s="629"/>
      <c r="S39" s="629"/>
      <c r="T39" s="629"/>
      <c r="U39" s="629"/>
      <c r="V39" s="639"/>
      <c r="W39" s="708">
        <f t="shared" si="12"/>
        <v>0</v>
      </c>
      <c r="X39" s="708">
        <f t="shared" si="2"/>
        <v>0</v>
      </c>
      <c r="Y39" s="7"/>
      <c r="Z39" s="614">
        <f t="shared" si="3"/>
        <v>0</v>
      </c>
      <c r="AA39" s="615">
        <f t="shared" si="4"/>
        <v>0</v>
      </c>
      <c r="AB39" s="631">
        <f t="shared" si="5"/>
        <v>0</v>
      </c>
      <c r="AC39" s="7"/>
      <c r="AD39" s="7"/>
      <c r="AE39" s="7"/>
    </row>
    <row r="40" spans="1:45">
      <c r="B40" s="707" t="s">
        <v>378</v>
      </c>
      <c r="C40" s="601">
        <f t="shared" si="11"/>
        <v>0</v>
      </c>
      <c r="D40" s="629"/>
      <c r="E40" s="629"/>
      <c r="F40" s="629"/>
      <c r="G40" s="629"/>
      <c r="H40" s="629"/>
      <c r="I40" s="629"/>
      <c r="J40" s="629"/>
      <c r="K40" s="629"/>
      <c r="L40" s="629"/>
      <c r="M40" s="629"/>
      <c r="N40" s="629"/>
      <c r="O40" s="629"/>
      <c r="P40" s="629"/>
      <c r="Q40" s="629"/>
      <c r="R40" s="629"/>
      <c r="S40" s="629"/>
      <c r="T40" s="629"/>
      <c r="U40" s="629"/>
      <c r="V40" s="639"/>
      <c r="W40" s="708">
        <f t="shared" si="12"/>
        <v>0</v>
      </c>
      <c r="X40" s="708">
        <f t="shared" si="2"/>
        <v>0</v>
      </c>
      <c r="Y40" s="7"/>
      <c r="Z40" s="614">
        <f t="shared" si="3"/>
        <v>0</v>
      </c>
      <c r="AA40" s="615">
        <f t="shared" si="4"/>
        <v>0</v>
      </c>
      <c r="AB40" s="631">
        <f t="shared" si="5"/>
        <v>0</v>
      </c>
      <c r="AC40" s="7"/>
      <c r="AD40" s="7"/>
      <c r="AE40" s="7"/>
    </row>
    <row r="41" spans="1:45">
      <c r="B41" s="707" t="s">
        <v>379</v>
      </c>
      <c r="C41" s="601">
        <f t="shared" si="11"/>
        <v>0</v>
      </c>
      <c r="D41" s="629"/>
      <c r="E41" s="629"/>
      <c r="F41" s="629"/>
      <c r="G41" s="629"/>
      <c r="H41" s="629"/>
      <c r="I41" s="629"/>
      <c r="J41" s="629"/>
      <c r="K41" s="629"/>
      <c r="L41" s="629"/>
      <c r="M41" s="629"/>
      <c r="N41" s="629"/>
      <c r="O41" s="629"/>
      <c r="P41" s="629"/>
      <c r="Q41" s="629"/>
      <c r="R41" s="629"/>
      <c r="S41" s="629"/>
      <c r="T41" s="629"/>
      <c r="U41" s="629"/>
      <c r="V41" s="639"/>
      <c r="W41" s="708">
        <f t="shared" si="12"/>
        <v>0</v>
      </c>
      <c r="X41" s="708">
        <f t="shared" si="2"/>
        <v>0</v>
      </c>
      <c r="Y41" s="7"/>
      <c r="Z41" s="614">
        <f t="shared" si="3"/>
        <v>0</v>
      </c>
      <c r="AA41" s="615">
        <f t="shared" si="4"/>
        <v>0</v>
      </c>
      <c r="AB41" s="631">
        <f t="shared" si="5"/>
        <v>0</v>
      </c>
      <c r="AC41" s="7"/>
      <c r="AD41" s="7"/>
      <c r="AE41" s="7"/>
    </row>
    <row r="42" spans="1:45">
      <c r="B42" s="707" t="s">
        <v>380</v>
      </c>
      <c r="C42" s="601">
        <f t="shared" si="11"/>
        <v>0</v>
      </c>
      <c r="D42" s="629"/>
      <c r="E42" s="629"/>
      <c r="F42" s="629"/>
      <c r="G42" s="629"/>
      <c r="H42" s="629"/>
      <c r="I42" s="629"/>
      <c r="J42" s="629"/>
      <c r="K42" s="629"/>
      <c r="L42" s="629"/>
      <c r="M42" s="629"/>
      <c r="N42" s="629"/>
      <c r="O42" s="629"/>
      <c r="P42" s="629"/>
      <c r="Q42" s="629"/>
      <c r="R42" s="629"/>
      <c r="S42" s="629"/>
      <c r="T42" s="629"/>
      <c r="U42" s="629"/>
      <c r="V42" s="639"/>
      <c r="W42" s="708">
        <f t="shared" si="12"/>
        <v>0</v>
      </c>
      <c r="X42" s="708">
        <f t="shared" si="2"/>
        <v>0</v>
      </c>
      <c r="Y42" s="7"/>
      <c r="Z42" s="614">
        <f t="shared" si="3"/>
        <v>0</v>
      </c>
      <c r="AA42" s="615">
        <f t="shared" si="4"/>
        <v>0</v>
      </c>
      <c r="AB42" s="631">
        <f t="shared" si="5"/>
        <v>0</v>
      </c>
      <c r="AC42" s="7"/>
      <c r="AD42" s="7"/>
      <c r="AE42" s="7"/>
    </row>
    <row r="43" spans="1:45">
      <c r="B43" s="707" t="s">
        <v>381</v>
      </c>
      <c r="C43" s="601">
        <f t="shared" si="11"/>
        <v>0</v>
      </c>
      <c r="D43" s="629"/>
      <c r="E43" s="629"/>
      <c r="F43" s="629"/>
      <c r="G43" s="629"/>
      <c r="H43" s="629"/>
      <c r="I43" s="629"/>
      <c r="J43" s="629"/>
      <c r="K43" s="629"/>
      <c r="L43" s="629"/>
      <c r="M43" s="629"/>
      <c r="N43" s="629"/>
      <c r="O43" s="629"/>
      <c r="P43" s="629"/>
      <c r="Q43" s="629"/>
      <c r="R43" s="629"/>
      <c r="S43" s="629"/>
      <c r="T43" s="629"/>
      <c r="U43" s="629"/>
      <c r="V43" s="639"/>
      <c r="W43" s="708">
        <f t="shared" si="12"/>
        <v>0</v>
      </c>
      <c r="X43" s="708">
        <f t="shared" ref="X43:X74" si="13">+W43/18</f>
        <v>0</v>
      </c>
      <c r="Y43" s="7"/>
      <c r="Z43" s="614">
        <f t="shared" ref="Z43:Z74" si="14">+E43+F43+G43+H43+I43+J43+K43+L43+M43+O43+P43+Q43+R43+S43+T43+U43</f>
        <v>0</v>
      </c>
      <c r="AA43" s="615">
        <f t="shared" ref="AA43:AA74" si="15">+Z43/16</f>
        <v>0</v>
      </c>
      <c r="AB43" s="631">
        <f t="shared" ref="AB43:AB74" si="16">+AA43/$AA$82*$AA$8</f>
        <v>0</v>
      </c>
      <c r="AC43" s="7"/>
      <c r="AD43" s="7"/>
      <c r="AE43" s="7"/>
    </row>
    <row r="44" spans="1:45" s="637" customFormat="1">
      <c r="A44" s="7"/>
      <c r="B44" s="709" t="s">
        <v>382</v>
      </c>
      <c r="C44" s="602">
        <v>0</v>
      </c>
      <c r="D44" s="632">
        <f t="shared" ref="D44:W44" si="17">SUM(D35:D43)</f>
        <v>0</v>
      </c>
      <c r="E44" s="632">
        <f t="shared" si="17"/>
        <v>0</v>
      </c>
      <c r="F44" s="632">
        <f t="shared" si="17"/>
        <v>0</v>
      </c>
      <c r="G44" s="632">
        <f t="shared" si="17"/>
        <v>0</v>
      </c>
      <c r="H44" s="632">
        <f t="shared" si="17"/>
        <v>0</v>
      </c>
      <c r="I44" s="632">
        <f t="shared" si="17"/>
        <v>0</v>
      </c>
      <c r="J44" s="632">
        <f t="shared" si="17"/>
        <v>0</v>
      </c>
      <c r="K44" s="632">
        <f t="shared" si="17"/>
        <v>0</v>
      </c>
      <c r="L44" s="632">
        <f t="shared" si="17"/>
        <v>0</v>
      </c>
      <c r="M44" s="632">
        <f t="shared" si="17"/>
        <v>0</v>
      </c>
      <c r="N44" s="632">
        <f t="shared" si="17"/>
        <v>0</v>
      </c>
      <c r="O44" s="632">
        <f t="shared" si="17"/>
        <v>0</v>
      </c>
      <c r="P44" s="632">
        <f t="shared" si="17"/>
        <v>0</v>
      </c>
      <c r="Q44" s="632">
        <f t="shared" si="17"/>
        <v>0</v>
      </c>
      <c r="R44" s="632">
        <f t="shared" si="17"/>
        <v>0</v>
      </c>
      <c r="S44" s="632">
        <f t="shared" si="17"/>
        <v>0</v>
      </c>
      <c r="T44" s="632">
        <f t="shared" si="17"/>
        <v>0</v>
      </c>
      <c r="U44" s="632">
        <f t="shared" si="17"/>
        <v>0</v>
      </c>
      <c r="V44" s="636">
        <f t="shared" si="17"/>
        <v>0</v>
      </c>
      <c r="W44" s="939">
        <f t="shared" si="17"/>
        <v>0</v>
      </c>
      <c r="X44" s="708">
        <f t="shared" si="13"/>
        <v>0</v>
      </c>
      <c r="Y44" s="7"/>
      <c r="Z44" s="614">
        <f t="shared" si="14"/>
        <v>0</v>
      </c>
      <c r="AA44" s="615">
        <f t="shared" si="15"/>
        <v>0</v>
      </c>
      <c r="AB44" s="631">
        <f t="shared" si="16"/>
        <v>0</v>
      </c>
      <c r="AC44" s="7"/>
      <c r="AD44" s="7"/>
      <c r="AE44" s="7"/>
      <c r="AH44" s="638"/>
      <c r="AI44" s="7"/>
      <c r="AJ44" s="7"/>
      <c r="AK44" s="7"/>
      <c r="AL44" s="7"/>
      <c r="AM44" s="7"/>
      <c r="AN44" s="7"/>
      <c r="AO44" s="7"/>
      <c r="AP44" s="7"/>
      <c r="AQ44" s="7"/>
      <c r="AR44" s="7"/>
      <c r="AS44" s="7"/>
    </row>
    <row r="45" spans="1:45">
      <c r="B45" s="707" t="s">
        <v>383</v>
      </c>
      <c r="C45" s="601">
        <f>+X45</f>
        <v>0</v>
      </c>
      <c r="D45" s="629"/>
      <c r="E45" s="629"/>
      <c r="F45" s="629"/>
      <c r="G45" s="629"/>
      <c r="H45" s="629"/>
      <c r="I45" s="629"/>
      <c r="J45" s="629"/>
      <c r="K45" s="629"/>
      <c r="L45" s="629"/>
      <c r="M45" s="629"/>
      <c r="N45" s="629"/>
      <c r="O45" s="629"/>
      <c r="P45" s="629"/>
      <c r="Q45" s="629"/>
      <c r="R45" s="629"/>
      <c r="S45" s="629"/>
      <c r="T45" s="629"/>
      <c r="U45" s="629"/>
      <c r="V45" s="639"/>
      <c r="W45" s="708">
        <f>+SUM(D45:U45)</f>
        <v>0</v>
      </c>
      <c r="X45" s="708">
        <f t="shared" si="13"/>
        <v>0</v>
      </c>
      <c r="Y45" s="7"/>
      <c r="Z45" s="614">
        <f t="shared" si="14"/>
        <v>0</v>
      </c>
      <c r="AA45" s="615">
        <f t="shared" si="15"/>
        <v>0</v>
      </c>
      <c r="AB45" s="631">
        <f t="shared" si="16"/>
        <v>0</v>
      </c>
      <c r="AC45" s="7"/>
      <c r="AD45" s="7"/>
      <c r="AE45" s="7"/>
    </row>
    <row r="46" spans="1:45">
      <c r="B46" s="707" t="s">
        <v>384</v>
      </c>
      <c r="C46" s="601">
        <f>+X46</f>
        <v>0</v>
      </c>
      <c r="D46" s="629"/>
      <c r="E46" s="629"/>
      <c r="F46" s="629"/>
      <c r="G46" s="629"/>
      <c r="H46" s="629"/>
      <c r="I46" s="629"/>
      <c r="J46" s="629"/>
      <c r="K46" s="629"/>
      <c r="L46" s="629"/>
      <c r="M46" s="629"/>
      <c r="N46" s="629"/>
      <c r="O46" s="629"/>
      <c r="P46" s="629"/>
      <c r="Q46" s="629"/>
      <c r="R46" s="629"/>
      <c r="S46" s="629"/>
      <c r="T46" s="629"/>
      <c r="U46" s="629"/>
      <c r="V46" s="639"/>
      <c r="W46" s="708">
        <f>+SUM(D46:U46)</f>
        <v>0</v>
      </c>
      <c r="X46" s="708">
        <f t="shared" si="13"/>
        <v>0</v>
      </c>
      <c r="Y46" s="7"/>
      <c r="Z46" s="614">
        <f t="shared" si="14"/>
        <v>0</v>
      </c>
      <c r="AA46" s="615">
        <f t="shared" si="15"/>
        <v>0</v>
      </c>
      <c r="AB46" s="631">
        <f t="shared" si="16"/>
        <v>0</v>
      </c>
      <c r="AC46" s="7"/>
      <c r="AD46" s="7"/>
      <c r="AE46" s="7"/>
    </row>
    <row r="47" spans="1:45">
      <c r="B47" s="707" t="s">
        <v>385</v>
      </c>
      <c r="C47" s="601">
        <f>+X47</f>
        <v>0</v>
      </c>
      <c r="D47" s="629"/>
      <c r="E47" s="629"/>
      <c r="F47" s="629"/>
      <c r="G47" s="629"/>
      <c r="H47" s="629"/>
      <c r="I47" s="629"/>
      <c r="J47" s="629"/>
      <c r="K47" s="629"/>
      <c r="L47" s="629"/>
      <c r="M47" s="629"/>
      <c r="N47" s="629"/>
      <c r="O47" s="629"/>
      <c r="P47" s="629"/>
      <c r="Q47" s="629"/>
      <c r="R47" s="629"/>
      <c r="S47" s="629"/>
      <c r="T47" s="629"/>
      <c r="U47" s="629"/>
      <c r="V47" s="639"/>
      <c r="W47" s="708">
        <f>+SUM(D47:U47)</f>
        <v>0</v>
      </c>
      <c r="X47" s="708">
        <f t="shared" si="13"/>
        <v>0</v>
      </c>
      <c r="Y47" s="7"/>
      <c r="Z47" s="614">
        <f t="shared" si="14"/>
        <v>0</v>
      </c>
      <c r="AA47" s="615">
        <f t="shared" si="15"/>
        <v>0</v>
      </c>
      <c r="AB47" s="631">
        <f t="shared" si="16"/>
        <v>0</v>
      </c>
      <c r="AC47" s="7"/>
      <c r="AD47" s="7"/>
      <c r="AE47" s="7"/>
    </row>
    <row r="48" spans="1:45">
      <c r="B48" s="707" t="s">
        <v>386</v>
      </c>
      <c r="C48" s="601">
        <f>+X48</f>
        <v>0</v>
      </c>
      <c r="D48" s="629"/>
      <c r="E48" s="629"/>
      <c r="F48" s="629"/>
      <c r="G48" s="629"/>
      <c r="H48" s="629"/>
      <c r="I48" s="629"/>
      <c r="J48" s="629"/>
      <c r="K48" s="629"/>
      <c r="L48" s="629"/>
      <c r="M48" s="629"/>
      <c r="N48" s="629"/>
      <c r="O48" s="629"/>
      <c r="P48" s="629"/>
      <c r="Q48" s="629"/>
      <c r="R48" s="629"/>
      <c r="S48" s="629"/>
      <c r="T48" s="629"/>
      <c r="U48" s="629"/>
      <c r="V48" s="639"/>
      <c r="W48" s="708">
        <f>+SUM(D48:U48)</f>
        <v>0</v>
      </c>
      <c r="X48" s="708">
        <f t="shared" si="13"/>
        <v>0</v>
      </c>
      <c r="Y48" s="7"/>
      <c r="Z48" s="614">
        <f t="shared" si="14"/>
        <v>0</v>
      </c>
      <c r="AA48" s="615">
        <f t="shared" si="15"/>
        <v>0</v>
      </c>
      <c r="AB48" s="631">
        <f t="shared" si="16"/>
        <v>0</v>
      </c>
      <c r="AC48" s="7"/>
      <c r="AD48" s="7"/>
      <c r="AE48" s="7"/>
      <c r="AI48" s="7"/>
      <c r="AJ48" s="7"/>
      <c r="AK48" s="7"/>
      <c r="AL48" s="7"/>
      <c r="AM48" s="7"/>
      <c r="AN48" s="7"/>
      <c r="AO48" s="7"/>
      <c r="AP48" s="7"/>
      <c r="AQ48" s="7"/>
      <c r="AR48" s="7"/>
      <c r="AS48" s="7"/>
    </row>
    <row r="49" spans="1:45">
      <c r="B49" s="707" t="s">
        <v>387</v>
      </c>
      <c r="C49" s="601">
        <f>+X49</f>
        <v>0</v>
      </c>
      <c r="D49" s="629"/>
      <c r="E49" s="629"/>
      <c r="F49" s="629"/>
      <c r="G49" s="629"/>
      <c r="H49" s="629"/>
      <c r="I49" s="629"/>
      <c r="J49" s="629"/>
      <c r="K49" s="629"/>
      <c r="L49" s="629"/>
      <c r="M49" s="629"/>
      <c r="N49" s="629"/>
      <c r="O49" s="629"/>
      <c r="P49" s="629"/>
      <c r="Q49" s="629"/>
      <c r="R49" s="629"/>
      <c r="S49" s="629"/>
      <c r="T49" s="629"/>
      <c r="U49" s="629"/>
      <c r="V49" s="639"/>
      <c r="W49" s="708">
        <f>+SUM(D49:U49)</f>
        <v>0</v>
      </c>
      <c r="X49" s="708">
        <f t="shared" si="13"/>
        <v>0</v>
      </c>
      <c r="Y49" s="7"/>
      <c r="Z49" s="614">
        <f t="shared" si="14"/>
        <v>0</v>
      </c>
      <c r="AA49" s="615">
        <f t="shared" si="15"/>
        <v>0</v>
      </c>
      <c r="AB49" s="631">
        <f t="shared" si="16"/>
        <v>0</v>
      </c>
      <c r="AC49" s="7"/>
      <c r="AD49" s="7"/>
      <c r="AE49" s="7"/>
      <c r="AI49" s="7"/>
      <c r="AJ49" s="7"/>
      <c r="AK49" s="7"/>
      <c r="AL49" s="7"/>
      <c r="AM49" s="7"/>
      <c r="AN49" s="7"/>
      <c r="AO49" s="7"/>
      <c r="AP49" s="7"/>
      <c r="AQ49" s="7"/>
      <c r="AR49" s="7"/>
      <c r="AS49" s="7"/>
    </row>
    <row r="50" spans="1:45" s="637" customFormat="1">
      <c r="A50" s="7"/>
      <c r="B50" s="709" t="s">
        <v>349</v>
      </c>
      <c r="C50" s="602">
        <v>0</v>
      </c>
      <c r="D50" s="632">
        <f t="shared" ref="D50:W50" si="18">SUM(D45:D49)</f>
        <v>0</v>
      </c>
      <c r="E50" s="632">
        <f t="shared" si="18"/>
        <v>0</v>
      </c>
      <c r="F50" s="632">
        <f t="shared" si="18"/>
        <v>0</v>
      </c>
      <c r="G50" s="632">
        <f t="shared" si="18"/>
        <v>0</v>
      </c>
      <c r="H50" s="632">
        <f t="shared" si="18"/>
        <v>0</v>
      </c>
      <c r="I50" s="632">
        <f t="shared" si="18"/>
        <v>0</v>
      </c>
      <c r="J50" s="632">
        <f t="shared" si="18"/>
        <v>0</v>
      </c>
      <c r="K50" s="632">
        <f t="shared" si="18"/>
        <v>0</v>
      </c>
      <c r="L50" s="632">
        <f t="shared" si="18"/>
        <v>0</v>
      </c>
      <c r="M50" s="632">
        <f t="shared" si="18"/>
        <v>0</v>
      </c>
      <c r="N50" s="632">
        <f t="shared" si="18"/>
        <v>0</v>
      </c>
      <c r="O50" s="632">
        <f t="shared" si="18"/>
        <v>0</v>
      </c>
      <c r="P50" s="632">
        <f t="shared" si="18"/>
        <v>0</v>
      </c>
      <c r="Q50" s="632">
        <f t="shared" si="18"/>
        <v>0</v>
      </c>
      <c r="R50" s="632">
        <f t="shared" si="18"/>
        <v>0</v>
      </c>
      <c r="S50" s="632">
        <f t="shared" si="18"/>
        <v>0</v>
      </c>
      <c r="T50" s="632">
        <f t="shared" si="18"/>
        <v>0</v>
      </c>
      <c r="U50" s="632">
        <f t="shared" si="18"/>
        <v>0</v>
      </c>
      <c r="V50" s="636">
        <f t="shared" si="18"/>
        <v>0</v>
      </c>
      <c r="W50" s="939">
        <f t="shared" si="18"/>
        <v>0</v>
      </c>
      <c r="X50" s="708">
        <f t="shared" si="13"/>
        <v>0</v>
      </c>
      <c r="Y50" s="7"/>
      <c r="Z50" s="614">
        <f t="shared" si="14"/>
        <v>0</v>
      </c>
      <c r="AA50" s="615">
        <f t="shared" si="15"/>
        <v>0</v>
      </c>
      <c r="AB50" s="631">
        <f t="shared" si="16"/>
        <v>0</v>
      </c>
      <c r="AC50" s="7"/>
      <c r="AD50" s="7"/>
      <c r="AE50" s="7"/>
      <c r="AH50" s="638"/>
      <c r="AI50" s="7"/>
      <c r="AJ50" s="7"/>
      <c r="AK50" s="7"/>
      <c r="AL50" s="7"/>
      <c r="AM50" s="7"/>
      <c r="AN50" s="7"/>
      <c r="AO50" s="7"/>
      <c r="AP50" s="7"/>
      <c r="AQ50" s="7"/>
      <c r="AR50" s="7"/>
      <c r="AS50" s="7"/>
    </row>
    <row r="51" spans="1:45">
      <c r="B51" s="707" t="s">
        <v>388</v>
      </c>
      <c r="C51" s="601">
        <f t="shared" ref="C51:C56" si="19">+X51</f>
        <v>0</v>
      </c>
      <c r="D51" s="629"/>
      <c r="E51" s="629"/>
      <c r="F51" s="629"/>
      <c r="G51" s="629"/>
      <c r="H51" s="629"/>
      <c r="I51" s="629"/>
      <c r="J51" s="629"/>
      <c r="K51" s="629"/>
      <c r="L51" s="629"/>
      <c r="M51" s="629"/>
      <c r="N51" s="629"/>
      <c r="O51" s="629"/>
      <c r="P51" s="629"/>
      <c r="Q51" s="629"/>
      <c r="R51" s="629"/>
      <c r="S51" s="629"/>
      <c r="T51" s="629"/>
      <c r="U51" s="629"/>
      <c r="V51" s="630"/>
      <c r="W51" s="708">
        <f t="shared" ref="W51:W56" si="20">+SUM(D51:U51)</f>
        <v>0</v>
      </c>
      <c r="X51" s="708">
        <f t="shared" si="13"/>
        <v>0</v>
      </c>
      <c r="Y51" s="7"/>
      <c r="Z51" s="614">
        <f t="shared" si="14"/>
        <v>0</v>
      </c>
      <c r="AA51" s="615">
        <f t="shared" si="15"/>
        <v>0</v>
      </c>
      <c r="AB51" s="631">
        <f t="shared" si="16"/>
        <v>0</v>
      </c>
      <c r="AC51" s="7"/>
      <c r="AD51" s="7"/>
      <c r="AE51" s="7"/>
      <c r="AI51" s="7"/>
      <c r="AJ51" s="7"/>
      <c r="AK51" s="7"/>
      <c r="AL51" s="7"/>
      <c r="AM51" s="7"/>
      <c r="AN51" s="7"/>
      <c r="AO51" s="7"/>
      <c r="AP51" s="7"/>
      <c r="AQ51" s="7"/>
      <c r="AR51" s="7"/>
      <c r="AS51" s="7"/>
    </row>
    <row r="52" spans="1:45">
      <c r="B52" s="707" t="s">
        <v>389</v>
      </c>
      <c r="C52" s="601">
        <f t="shared" si="19"/>
        <v>0</v>
      </c>
      <c r="D52" s="629"/>
      <c r="E52" s="629"/>
      <c r="F52" s="629"/>
      <c r="G52" s="629"/>
      <c r="H52" s="629"/>
      <c r="I52" s="629"/>
      <c r="J52" s="629"/>
      <c r="K52" s="629"/>
      <c r="L52" s="629"/>
      <c r="M52" s="629"/>
      <c r="N52" s="629"/>
      <c r="O52" s="629"/>
      <c r="P52" s="629"/>
      <c r="Q52" s="629"/>
      <c r="R52" s="629"/>
      <c r="S52" s="629"/>
      <c r="T52" s="629"/>
      <c r="U52" s="629"/>
      <c r="V52" s="636"/>
      <c r="W52" s="708">
        <f t="shared" si="20"/>
        <v>0</v>
      </c>
      <c r="X52" s="708">
        <f t="shared" si="13"/>
        <v>0</v>
      </c>
      <c r="Y52" s="7"/>
      <c r="Z52" s="614">
        <f t="shared" si="14"/>
        <v>0</v>
      </c>
      <c r="AA52" s="615">
        <f t="shared" si="15"/>
        <v>0</v>
      </c>
      <c r="AB52" s="631">
        <f t="shared" si="16"/>
        <v>0</v>
      </c>
      <c r="AC52" s="7"/>
      <c r="AD52" s="7"/>
      <c r="AE52" s="7"/>
      <c r="AI52" s="7"/>
      <c r="AJ52" s="7"/>
      <c r="AK52" s="7"/>
      <c r="AL52" s="7"/>
      <c r="AM52" s="7"/>
      <c r="AN52" s="7"/>
      <c r="AO52" s="7"/>
      <c r="AP52" s="7"/>
      <c r="AQ52" s="7"/>
      <c r="AR52" s="7"/>
      <c r="AS52" s="7"/>
    </row>
    <row r="53" spans="1:45">
      <c r="B53" s="707" t="s">
        <v>390</v>
      </c>
      <c r="C53" s="601">
        <f t="shared" si="19"/>
        <v>0</v>
      </c>
      <c r="D53" s="629"/>
      <c r="E53" s="629"/>
      <c r="F53" s="629"/>
      <c r="G53" s="629"/>
      <c r="H53" s="629"/>
      <c r="I53" s="629"/>
      <c r="J53" s="629"/>
      <c r="K53" s="629"/>
      <c r="L53" s="629"/>
      <c r="M53" s="629"/>
      <c r="N53" s="629"/>
      <c r="O53" s="629"/>
      <c r="P53" s="629"/>
      <c r="Q53" s="629"/>
      <c r="R53" s="629"/>
      <c r="S53" s="629"/>
      <c r="T53" s="629"/>
      <c r="U53" s="629"/>
      <c r="V53" s="630"/>
      <c r="W53" s="708">
        <f t="shared" si="20"/>
        <v>0</v>
      </c>
      <c r="X53" s="708">
        <f t="shared" si="13"/>
        <v>0</v>
      </c>
      <c r="Y53" s="7"/>
      <c r="Z53" s="614">
        <f t="shared" si="14"/>
        <v>0</v>
      </c>
      <c r="AA53" s="615">
        <f t="shared" si="15"/>
        <v>0</v>
      </c>
      <c r="AB53" s="631">
        <f t="shared" si="16"/>
        <v>0</v>
      </c>
      <c r="AC53" s="7"/>
      <c r="AD53" s="7"/>
      <c r="AE53" s="7"/>
      <c r="AI53" s="7"/>
      <c r="AJ53" s="7"/>
      <c r="AK53" s="7"/>
      <c r="AL53" s="7"/>
      <c r="AM53" s="7"/>
      <c r="AN53" s="7"/>
      <c r="AO53" s="7"/>
      <c r="AP53" s="7"/>
      <c r="AQ53" s="7"/>
      <c r="AR53" s="7"/>
      <c r="AS53" s="7"/>
    </row>
    <row r="54" spans="1:45">
      <c r="B54" s="707" t="s">
        <v>391</v>
      </c>
      <c r="C54" s="601">
        <f t="shared" si="19"/>
        <v>0</v>
      </c>
      <c r="D54" s="629"/>
      <c r="E54" s="629"/>
      <c r="F54" s="629"/>
      <c r="G54" s="629"/>
      <c r="H54" s="629"/>
      <c r="I54" s="629"/>
      <c r="J54" s="629"/>
      <c r="K54" s="629"/>
      <c r="L54" s="629"/>
      <c r="M54" s="629"/>
      <c r="N54" s="629"/>
      <c r="O54" s="629"/>
      <c r="P54" s="629"/>
      <c r="Q54" s="629"/>
      <c r="R54" s="629"/>
      <c r="S54" s="629"/>
      <c r="T54" s="629"/>
      <c r="U54" s="629"/>
      <c r="V54" s="630"/>
      <c r="W54" s="708">
        <f t="shared" si="20"/>
        <v>0</v>
      </c>
      <c r="X54" s="708">
        <f t="shared" si="13"/>
        <v>0</v>
      </c>
      <c r="Y54" s="7"/>
      <c r="Z54" s="614">
        <f t="shared" si="14"/>
        <v>0</v>
      </c>
      <c r="AA54" s="615">
        <f t="shared" si="15"/>
        <v>0</v>
      </c>
      <c r="AB54" s="631">
        <f t="shared" si="16"/>
        <v>0</v>
      </c>
      <c r="AC54" s="7"/>
      <c r="AD54" s="7"/>
      <c r="AE54" s="7"/>
      <c r="AI54" s="7"/>
      <c r="AJ54" s="7"/>
      <c r="AK54" s="7"/>
      <c r="AL54" s="7"/>
      <c r="AM54" s="7"/>
      <c r="AN54" s="7"/>
      <c r="AO54" s="7"/>
      <c r="AP54" s="7"/>
      <c r="AQ54" s="7"/>
      <c r="AR54" s="7"/>
      <c r="AS54" s="7"/>
    </row>
    <row r="55" spans="1:45">
      <c r="B55" s="707" t="s">
        <v>392</v>
      </c>
      <c r="C55" s="601">
        <f t="shared" si="19"/>
        <v>0</v>
      </c>
      <c r="D55" s="629"/>
      <c r="E55" s="629"/>
      <c r="F55" s="629"/>
      <c r="G55" s="629"/>
      <c r="H55" s="629"/>
      <c r="I55" s="629"/>
      <c r="J55" s="629"/>
      <c r="K55" s="629"/>
      <c r="L55" s="629"/>
      <c r="M55" s="629"/>
      <c r="N55" s="629"/>
      <c r="O55" s="629"/>
      <c r="P55" s="629"/>
      <c r="Q55" s="629"/>
      <c r="R55" s="629"/>
      <c r="S55" s="629"/>
      <c r="T55" s="629"/>
      <c r="U55" s="629"/>
      <c r="V55" s="630"/>
      <c r="W55" s="708">
        <f t="shared" si="20"/>
        <v>0</v>
      </c>
      <c r="X55" s="708">
        <f t="shared" si="13"/>
        <v>0</v>
      </c>
      <c r="Y55" s="7"/>
      <c r="Z55" s="614">
        <f t="shared" si="14"/>
        <v>0</v>
      </c>
      <c r="AA55" s="615">
        <f t="shared" si="15"/>
        <v>0</v>
      </c>
      <c r="AB55" s="631">
        <f t="shared" si="16"/>
        <v>0</v>
      </c>
      <c r="AC55" s="7"/>
      <c r="AD55" s="7"/>
      <c r="AE55" s="7"/>
      <c r="AI55" s="7"/>
      <c r="AJ55" s="7"/>
      <c r="AK55" s="7"/>
      <c r="AL55" s="7"/>
      <c r="AM55" s="7"/>
      <c r="AN55" s="7"/>
      <c r="AO55" s="7"/>
      <c r="AP55" s="7"/>
      <c r="AQ55" s="7"/>
      <c r="AR55" s="7"/>
      <c r="AS55" s="7"/>
    </row>
    <row r="56" spans="1:45">
      <c r="B56" s="707" t="s">
        <v>393</v>
      </c>
      <c r="C56" s="601">
        <f t="shared" si="19"/>
        <v>0</v>
      </c>
      <c r="D56" s="629"/>
      <c r="E56" s="629"/>
      <c r="F56" s="629"/>
      <c r="G56" s="629"/>
      <c r="H56" s="629"/>
      <c r="I56" s="629"/>
      <c r="J56" s="629"/>
      <c r="K56" s="629"/>
      <c r="L56" s="629"/>
      <c r="M56" s="629"/>
      <c r="N56" s="629"/>
      <c r="O56" s="629"/>
      <c r="P56" s="629"/>
      <c r="Q56" s="629"/>
      <c r="R56" s="629"/>
      <c r="S56" s="629"/>
      <c r="T56" s="629"/>
      <c r="U56" s="629"/>
      <c r="V56" s="630"/>
      <c r="W56" s="708">
        <f t="shared" si="20"/>
        <v>0</v>
      </c>
      <c r="X56" s="708">
        <f t="shared" si="13"/>
        <v>0</v>
      </c>
      <c r="Y56" s="7"/>
      <c r="Z56" s="614">
        <f t="shared" si="14"/>
        <v>0</v>
      </c>
      <c r="AA56" s="615">
        <f t="shared" si="15"/>
        <v>0</v>
      </c>
      <c r="AB56" s="631">
        <f t="shared" si="16"/>
        <v>0</v>
      </c>
      <c r="AC56" s="7"/>
      <c r="AD56" s="7"/>
      <c r="AE56" s="7"/>
      <c r="AI56" s="7"/>
      <c r="AJ56" s="7"/>
      <c r="AK56" s="7"/>
      <c r="AL56" s="7"/>
      <c r="AM56" s="7"/>
      <c r="AN56" s="7"/>
      <c r="AO56" s="7"/>
      <c r="AP56" s="7"/>
      <c r="AQ56" s="7"/>
      <c r="AR56" s="7"/>
      <c r="AS56" s="7"/>
    </row>
    <row r="57" spans="1:45" s="637" customFormat="1">
      <c r="A57" s="7"/>
      <c r="B57" s="709" t="s">
        <v>350</v>
      </c>
      <c r="C57" s="602">
        <v>0</v>
      </c>
      <c r="D57" s="632">
        <f t="shared" ref="D57:V57" si="21">SUM(D52:D56)</f>
        <v>0</v>
      </c>
      <c r="E57" s="632">
        <f t="shared" si="21"/>
        <v>0</v>
      </c>
      <c r="F57" s="632">
        <f t="shared" si="21"/>
        <v>0</v>
      </c>
      <c r="G57" s="632">
        <f t="shared" si="21"/>
        <v>0</v>
      </c>
      <c r="H57" s="632">
        <f t="shared" si="21"/>
        <v>0</v>
      </c>
      <c r="I57" s="632">
        <f t="shared" si="21"/>
        <v>0</v>
      </c>
      <c r="J57" s="632">
        <f t="shared" si="21"/>
        <v>0</v>
      </c>
      <c r="K57" s="632">
        <f t="shared" si="21"/>
        <v>0</v>
      </c>
      <c r="L57" s="632">
        <f t="shared" si="21"/>
        <v>0</v>
      </c>
      <c r="M57" s="632">
        <f t="shared" si="21"/>
        <v>0</v>
      </c>
      <c r="N57" s="632">
        <f t="shared" si="21"/>
        <v>0</v>
      </c>
      <c r="O57" s="632">
        <f t="shared" si="21"/>
        <v>0</v>
      </c>
      <c r="P57" s="632">
        <f t="shared" si="21"/>
        <v>0</v>
      </c>
      <c r="Q57" s="632">
        <f t="shared" si="21"/>
        <v>0</v>
      </c>
      <c r="R57" s="632">
        <f t="shared" si="21"/>
        <v>0</v>
      </c>
      <c r="S57" s="632">
        <f t="shared" si="21"/>
        <v>0</v>
      </c>
      <c r="T57" s="632">
        <f t="shared" si="21"/>
        <v>0</v>
      </c>
      <c r="U57" s="632">
        <f t="shared" si="21"/>
        <v>0</v>
      </c>
      <c r="V57" s="636">
        <f t="shared" si="21"/>
        <v>0</v>
      </c>
      <c r="W57" s="939">
        <f>SUM(W51:W56)</f>
        <v>0</v>
      </c>
      <c r="X57" s="708">
        <f t="shared" si="13"/>
        <v>0</v>
      </c>
      <c r="Y57" s="7"/>
      <c r="Z57" s="614">
        <f t="shared" si="14"/>
        <v>0</v>
      </c>
      <c r="AA57" s="615">
        <f t="shared" si="15"/>
        <v>0</v>
      </c>
      <c r="AB57" s="631">
        <f t="shared" si="16"/>
        <v>0</v>
      </c>
      <c r="AC57" s="7"/>
      <c r="AD57" s="7"/>
      <c r="AE57" s="7"/>
      <c r="AH57" s="638"/>
      <c r="AI57" s="7"/>
      <c r="AJ57" s="7"/>
      <c r="AK57" s="7"/>
      <c r="AL57" s="7"/>
      <c r="AM57" s="7"/>
      <c r="AN57" s="7"/>
      <c r="AO57" s="7"/>
      <c r="AP57" s="7"/>
      <c r="AQ57" s="7"/>
      <c r="AR57" s="7"/>
      <c r="AS57" s="7"/>
    </row>
    <row r="58" spans="1:45">
      <c r="B58" s="707" t="s">
        <v>394</v>
      </c>
      <c r="C58" s="601">
        <f>+X58</f>
        <v>0</v>
      </c>
      <c r="D58" s="629"/>
      <c r="E58" s="629"/>
      <c r="F58" s="629"/>
      <c r="G58" s="629"/>
      <c r="H58" s="629"/>
      <c r="I58" s="629"/>
      <c r="J58" s="629"/>
      <c r="K58" s="629"/>
      <c r="L58" s="629"/>
      <c r="M58" s="629"/>
      <c r="N58" s="629"/>
      <c r="O58" s="629"/>
      <c r="P58" s="629"/>
      <c r="Q58" s="629"/>
      <c r="R58" s="629"/>
      <c r="S58" s="629"/>
      <c r="T58" s="629"/>
      <c r="U58" s="629"/>
      <c r="V58" s="630"/>
      <c r="W58" s="708">
        <f>+SUM(D58:U58)</f>
        <v>0</v>
      </c>
      <c r="X58" s="708">
        <f t="shared" si="13"/>
        <v>0</v>
      </c>
      <c r="Y58" s="7"/>
      <c r="Z58" s="614">
        <f t="shared" si="14"/>
        <v>0</v>
      </c>
      <c r="AA58" s="615">
        <f t="shared" si="15"/>
        <v>0</v>
      </c>
      <c r="AB58" s="631">
        <f t="shared" si="16"/>
        <v>0</v>
      </c>
      <c r="AC58" s="7"/>
      <c r="AD58" s="7"/>
      <c r="AE58" s="7"/>
      <c r="AI58" s="7"/>
      <c r="AJ58" s="7"/>
      <c r="AK58" s="7"/>
      <c r="AL58" s="7"/>
      <c r="AM58" s="7"/>
      <c r="AN58" s="7"/>
      <c r="AO58" s="7"/>
      <c r="AP58" s="7"/>
      <c r="AQ58" s="7"/>
      <c r="AR58" s="7"/>
      <c r="AS58" s="7"/>
    </row>
    <row r="59" spans="1:45">
      <c r="B59" s="707" t="s">
        <v>395</v>
      </c>
      <c r="C59" s="601">
        <f>+X59</f>
        <v>0</v>
      </c>
      <c r="D59" s="629"/>
      <c r="E59" s="629"/>
      <c r="F59" s="629"/>
      <c r="G59" s="629"/>
      <c r="H59" s="629"/>
      <c r="I59" s="629"/>
      <c r="J59" s="629"/>
      <c r="K59" s="629"/>
      <c r="L59" s="629"/>
      <c r="M59" s="629"/>
      <c r="N59" s="629"/>
      <c r="O59" s="629"/>
      <c r="P59" s="629"/>
      <c r="Q59" s="629"/>
      <c r="R59" s="629"/>
      <c r="S59" s="629"/>
      <c r="T59" s="629"/>
      <c r="U59" s="629"/>
      <c r="V59" s="636"/>
      <c r="W59" s="708">
        <f>+SUM(D59:U59)</f>
        <v>0</v>
      </c>
      <c r="X59" s="708">
        <f t="shared" si="13"/>
        <v>0</v>
      </c>
      <c r="Y59" s="7"/>
      <c r="Z59" s="614">
        <f t="shared" si="14"/>
        <v>0</v>
      </c>
      <c r="AA59" s="615">
        <f t="shared" si="15"/>
        <v>0</v>
      </c>
      <c r="AB59" s="631">
        <f t="shared" si="16"/>
        <v>0</v>
      </c>
      <c r="AC59" s="7"/>
      <c r="AD59" s="7"/>
      <c r="AE59" s="7"/>
      <c r="AI59" s="7"/>
      <c r="AJ59" s="7"/>
      <c r="AK59" s="7"/>
      <c r="AL59" s="7"/>
      <c r="AM59" s="7"/>
      <c r="AN59" s="7"/>
      <c r="AO59" s="7"/>
      <c r="AP59" s="7"/>
      <c r="AQ59" s="7"/>
      <c r="AR59" s="7"/>
      <c r="AS59" s="7"/>
    </row>
    <row r="60" spans="1:45">
      <c r="B60" s="707" t="s">
        <v>396</v>
      </c>
      <c r="C60" s="601">
        <f>+X60</f>
        <v>0</v>
      </c>
      <c r="D60" s="629"/>
      <c r="E60" s="629"/>
      <c r="F60" s="629"/>
      <c r="G60" s="629"/>
      <c r="H60" s="629"/>
      <c r="I60" s="629"/>
      <c r="J60" s="629"/>
      <c r="K60" s="629"/>
      <c r="L60" s="629"/>
      <c r="M60" s="629"/>
      <c r="N60" s="629"/>
      <c r="O60" s="629"/>
      <c r="P60" s="629"/>
      <c r="Q60" s="629"/>
      <c r="R60" s="629"/>
      <c r="S60" s="629"/>
      <c r="T60" s="629"/>
      <c r="U60" s="629"/>
      <c r="V60" s="630"/>
      <c r="W60" s="708">
        <f>+SUM(D60:U60)</f>
        <v>0</v>
      </c>
      <c r="X60" s="708">
        <f t="shared" si="13"/>
        <v>0</v>
      </c>
      <c r="Y60" s="7"/>
      <c r="Z60" s="614">
        <f t="shared" si="14"/>
        <v>0</v>
      </c>
      <c r="AA60" s="615">
        <f t="shared" si="15"/>
        <v>0</v>
      </c>
      <c r="AB60" s="631">
        <f t="shared" si="16"/>
        <v>0</v>
      </c>
      <c r="AC60" s="7"/>
      <c r="AD60" s="7"/>
      <c r="AE60" s="7"/>
      <c r="AI60" s="7"/>
      <c r="AJ60" s="7"/>
      <c r="AK60" s="7"/>
      <c r="AL60" s="7"/>
      <c r="AM60" s="7"/>
      <c r="AN60" s="7"/>
      <c r="AO60" s="7"/>
      <c r="AP60" s="7"/>
      <c r="AQ60" s="7"/>
      <c r="AR60" s="7"/>
      <c r="AS60" s="7"/>
    </row>
    <row r="61" spans="1:45">
      <c r="B61" s="707" t="s">
        <v>397</v>
      </c>
      <c r="C61" s="601">
        <f>+X61</f>
        <v>0</v>
      </c>
      <c r="D61" s="629"/>
      <c r="E61" s="629"/>
      <c r="F61" s="629"/>
      <c r="G61" s="629"/>
      <c r="H61" s="629"/>
      <c r="I61" s="629"/>
      <c r="J61" s="629"/>
      <c r="K61" s="629"/>
      <c r="L61" s="629"/>
      <c r="M61" s="629"/>
      <c r="N61" s="629"/>
      <c r="O61" s="629"/>
      <c r="P61" s="629"/>
      <c r="Q61" s="629"/>
      <c r="R61" s="629"/>
      <c r="S61" s="629"/>
      <c r="T61" s="629"/>
      <c r="U61" s="629"/>
      <c r="V61" s="630"/>
      <c r="W61" s="708">
        <f>+SUM(D61:U61)</f>
        <v>0</v>
      </c>
      <c r="X61" s="708">
        <f t="shared" si="13"/>
        <v>0</v>
      </c>
      <c r="Y61" s="7"/>
      <c r="Z61" s="614">
        <f t="shared" si="14"/>
        <v>0</v>
      </c>
      <c r="AA61" s="615">
        <f t="shared" si="15"/>
        <v>0</v>
      </c>
      <c r="AB61" s="631">
        <f t="shared" si="16"/>
        <v>0</v>
      </c>
      <c r="AC61" s="7"/>
      <c r="AD61" s="7"/>
      <c r="AE61" s="7"/>
      <c r="AI61" s="7"/>
      <c r="AJ61" s="7"/>
      <c r="AK61" s="7"/>
      <c r="AL61" s="7"/>
      <c r="AM61" s="7"/>
      <c r="AN61" s="7"/>
      <c r="AO61" s="7"/>
      <c r="AP61" s="7"/>
      <c r="AQ61" s="7"/>
      <c r="AR61" s="7"/>
      <c r="AS61" s="7"/>
    </row>
    <row r="62" spans="1:45" s="637" customFormat="1">
      <c r="A62" s="7"/>
      <c r="B62" s="709" t="s">
        <v>398</v>
      </c>
      <c r="C62" s="602">
        <f>AVERAGE(D62:U62)</f>
        <v>0.96475694444444449</v>
      </c>
      <c r="D62" s="640">
        <f t="shared" ref="D62:V62" si="22">+D20+D31+D34+D44+D50+D57+SUM(D58:D61)</f>
        <v>0.93281250000000004</v>
      </c>
      <c r="E62" s="640">
        <f t="shared" si="22"/>
        <v>1</v>
      </c>
      <c r="F62" s="640">
        <f t="shared" si="22"/>
        <v>1</v>
      </c>
      <c r="G62" s="640">
        <f t="shared" si="22"/>
        <v>1</v>
      </c>
      <c r="H62" s="640">
        <f t="shared" si="22"/>
        <v>1</v>
      </c>
      <c r="I62" s="640">
        <f t="shared" si="22"/>
        <v>1</v>
      </c>
      <c r="J62" s="640">
        <f t="shared" si="22"/>
        <v>1</v>
      </c>
      <c r="K62" s="640">
        <f t="shared" si="22"/>
        <v>1</v>
      </c>
      <c r="L62" s="640">
        <f t="shared" si="22"/>
        <v>0.5</v>
      </c>
      <c r="M62" s="640">
        <f t="shared" si="22"/>
        <v>1</v>
      </c>
      <c r="N62" s="640">
        <f t="shared" si="22"/>
        <v>0.93281250000000004</v>
      </c>
      <c r="O62" s="640">
        <f t="shared" si="22"/>
        <v>1</v>
      </c>
      <c r="P62" s="640">
        <f t="shared" si="22"/>
        <v>1</v>
      </c>
      <c r="Q62" s="640">
        <f t="shared" si="22"/>
        <v>1</v>
      </c>
      <c r="R62" s="640">
        <f t="shared" si="22"/>
        <v>1</v>
      </c>
      <c r="S62" s="640">
        <f t="shared" si="22"/>
        <v>1</v>
      </c>
      <c r="T62" s="640">
        <f t="shared" si="22"/>
        <v>1</v>
      </c>
      <c r="U62" s="640">
        <f t="shared" si="22"/>
        <v>1</v>
      </c>
      <c r="V62" s="636">
        <f t="shared" si="22"/>
        <v>0</v>
      </c>
      <c r="W62" s="939">
        <f>+W57+W50+W44+W34+W31+W20</f>
        <v>17.365625000000001</v>
      </c>
      <c r="X62" s="708">
        <f t="shared" si="13"/>
        <v>0.96475694444444449</v>
      </c>
      <c r="Y62" s="7"/>
      <c r="Z62" s="614">
        <f t="shared" si="14"/>
        <v>15.5</v>
      </c>
      <c r="AA62" s="615">
        <f t="shared" si="15"/>
        <v>0.96875</v>
      </c>
      <c r="AB62" s="631">
        <f t="shared" si="16"/>
        <v>0.53281250000000002</v>
      </c>
      <c r="AC62" s="7"/>
      <c r="AD62" s="7"/>
      <c r="AE62" s="7"/>
      <c r="AH62" s="638"/>
      <c r="AI62" s="7"/>
      <c r="AJ62" s="7"/>
      <c r="AK62" s="7"/>
      <c r="AL62" s="7"/>
      <c r="AM62" s="7"/>
      <c r="AN62" s="7"/>
      <c r="AO62" s="7"/>
      <c r="AP62" s="7"/>
      <c r="AQ62" s="7"/>
      <c r="AR62" s="7"/>
      <c r="AS62" s="7"/>
    </row>
    <row r="63" spans="1:45" s="637" customFormat="1">
      <c r="A63" s="7"/>
      <c r="B63" s="710" t="s">
        <v>399</v>
      </c>
      <c r="C63" s="603">
        <f t="shared" ref="C63:C69" si="23">+X63</f>
        <v>0</v>
      </c>
      <c r="D63" s="641">
        <v>0</v>
      </c>
      <c r="E63" s="641">
        <v>0</v>
      </c>
      <c r="F63" s="641">
        <v>0</v>
      </c>
      <c r="G63" s="641">
        <v>0</v>
      </c>
      <c r="H63" s="641">
        <v>0</v>
      </c>
      <c r="I63" s="641">
        <v>0</v>
      </c>
      <c r="J63" s="641">
        <v>0</v>
      </c>
      <c r="K63" s="641">
        <v>0</v>
      </c>
      <c r="L63" s="641">
        <v>0</v>
      </c>
      <c r="M63" s="641">
        <v>0</v>
      </c>
      <c r="N63" s="641">
        <v>0</v>
      </c>
      <c r="O63" s="641">
        <v>0</v>
      </c>
      <c r="P63" s="641">
        <v>0</v>
      </c>
      <c r="Q63" s="641">
        <v>0</v>
      </c>
      <c r="R63" s="641">
        <v>0</v>
      </c>
      <c r="S63" s="641">
        <v>0</v>
      </c>
      <c r="T63" s="641">
        <v>0</v>
      </c>
      <c r="U63" s="641">
        <v>0</v>
      </c>
      <c r="V63" s="630"/>
      <c r="W63" s="939">
        <f t="shared" ref="W63:W82" si="24">+SUM(D63:U63)</f>
        <v>0</v>
      </c>
      <c r="X63" s="708">
        <f t="shared" si="13"/>
        <v>0</v>
      </c>
      <c r="Y63" s="7"/>
      <c r="Z63" s="614">
        <f t="shared" si="14"/>
        <v>0</v>
      </c>
      <c r="AA63" s="615">
        <f t="shared" si="15"/>
        <v>0</v>
      </c>
      <c r="AB63" s="631">
        <f t="shared" si="16"/>
        <v>0</v>
      </c>
      <c r="AC63" s="7"/>
      <c r="AD63" s="7"/>
      <c r="AE63" s="7"/>
      <c r="AH63" s="638"/>
      <c r="AI63" s="7"/>
      <c r="AJ63" s="7"/>
      <c r="AK63" s="7"/>
      <c r="AL63" s="7"/>
      <c r="AM63" s="7"/>
      <c r="AN63" s="7"/>
      <c r="AO63" s="7"/>
      <c r="AP63" s="7"/>
      <c r="AQ63" s="7"/>
      <c r="AR63" s="7"/>
      <c r="AS63" s="7"/>
    </row>
    <row r="64" spans="1:45">
      <c r="B64" s="707" t="s">
        <v>400</v>
      </c>
      <c r="C64" s="601">
        <f t="shared" si="23"/>
        <v>2.9687500000000002E-2</v>
      </c>
      <c r="D64" s="629">
        <f>+AB64</f>
        <v>1.7187500000000001E-2</v>
      </c>
      <c r="E64" s="629"/>
      <c r="F64" s="629"/>
      <c r="G64" s="629"/>
      <c r="H64" s="629"/>
      <c r="I64" s="629"/>
      <c r="J64" s="629"/>
      <c r="K64" s="629"/>
      <c r="L64" s="629">
        <v>0.5</v>
      </c>
      <c r="M64" s="629"/>
      <c r="N64" s="629">
        <f>+D64</f>
        <v>1.7187500000000001E-2</v>
      </c>
      <c r="O64" s="629"/>
      <c r="P64" s="629"/>
      <c r="Q64" s="629"/>
      <c r="R64" s="629"/>
      <c r="S64" s="629"/>
      <c r="T64" s="629"/>
      <c r="U64" s="629"/>
      <c r="V64" s="630"/>
      <c r="W64" s="708">
        <f t="shared" si="24"/>
        <v>0.53437500000000004</v>
      </c>
      <c r="X64" s="708">
        <f t="shared" si="13"/>
        <v>2.9687500000000002E-2</v>
      </c>
      <c r="Y64" s="7"/>
      <c r="Z64" s="614">
        <f t="shared" si="14"/>
        <v>0.5</v>
      </c>
      <c r="AA64" s="615">
        <f t="shared" si="15"/>
        <v>3.125E-2</v>
      </c>
      <c r="AB64" s="631">
        <f t="shared" si="16"/>
        <v>1.7187500000000001E-2</v>
      </c>
      <c r="AC64" s="7"/>
      <c r="AD64" s="7"/>
      <c r="AE64" s="7"/>
      <c r="AI64" s="7"/>
      <c r="AJ64" s="7"/>
      <c r="AK64" s="7"/>
      <c r="AL64" s="7"/>
      <c r="AM64" s="7"/>
      <c r="AN64" s="7"/>
      <c r="AO64" s="7"/>
      <c r="AP64" s="7"/>
      <c r="AQ64" s="7"/>
      <c r="AR64" s="7"/>
      <c r="AS64" s="7"/>
    </row>
    <row r="65" spans="1:55">
      <c r="B65" s="707" t="s">
        <v>401</v>
      </c>
      <c r="C65" s="601">
        <f t="shared" si="23"/>
        <v>0</v>
      </c>
      <c r="D65" s="629"/>
      <c r="E65" s="629"/>
      <c r="F65" s="629"/>
      <c r="G65" s="629"/>
      <c r="H65" s="629"/>
      <c r="I65" s="629"/>
      <c r="J65" s="629"/>
      <c r="K65" s="629"/>
      <c r="L65" s="629"/>
      <c r="M65" s="629"/>
      <c r="N65" s="629"/>
      <c r="O65" s="629"/>
      <c r="P65" s="629"/>
      <c r="Q65" s="629"/>
      <c r="R65" s="629"/>
      <c r="S65" s="629"/>
      <c r="T65" s="629"/>
      <c r="U65" s="629"/>
      <c r="V65" s="636"/>
      <c r="W65" s="708">
        <f t="shared" si="24"/>
        <v>0</v>
      </c>
      <c r="X65" s="708">
        <f t="shared" si="13"/>
        <v>0</v>
      </c>
      <c r="Y65" s="7"/>
      <c r="Z65" s="614">
        <f t="shared" si="14"/>
        <v>0</v>
      </c>
      <c r="AA65" s="615">
        <f t="shared" si="15"/>
        <v>0</v>
      </c>
      <c r="AB65" s="631">
        <f t="shared" si="16"/>
        <v>0</v>
      </c>
      <c r="AC65" s="7"/>
      <c r="AD65" s="7"/>
      <c r="AE65" s="7"/>
      <c r="AI65" s="7"/>
      <c r="AJ65" s="7"/>
      <c r="AK65" s="7"/>
      <c r="AL65" s="7"/>
      <c r="AM65" s="7"/>
      <c r="AN65" s="7"/>
      <c r="AO65" s="7"/>
      <c r="AP65" s="7"/>
      <c r="AQ65" s="7"/>
      <c r="AR65" s="7"/>
      <c r="AS65" s="7"/>
    </row>
    <row r="66" spans="1:55">
      <c r="B66" s="707" t="s">
        <v>402</v>
      </c>
      <c r="C66" s="601">
        <f t="shared" si="23"/>
        <v>0</v>
      </c>
      <c r="D66" s="629"/>
      <c r="E66" s="629"/>
      <c r="F66" s="629"/>
      <c r="G66" s="629"/>
      <c r="H66" s="629"/>
      <c r="I66" s="629"/>
      <c r="J66" s="629"/>
      <c r="K66" s="629"/>
      <c r="L66" s="629"/>
      <c r="M66" s="629"/>
      <c r="N66" s="629"/>
      <c r="O66" s="629"/>
      <c r="P66" s="629"/>
      <c r="Q66" s="629"/>
      <c r="R66" s="629"/>
      <c r="S66" s="629"/>
      <c r="T66" s="629"/>
      <c r="U66" s="629"/>
      <c r="V66" s="630"/>
      <c r="W66" s="708">
        <f t="shared" si="24"/>
        <v>0</v>
      </c>
      <c r="X66" s="708">
        <f t="shared" si="13"/>
        <v>0</v>
      </c>
      <c r="Y66" s="7"/>
      <c r="Z66" s="614">
        <f t="shared" si="14"/>
        <v>0</v>
      </c>
      <c r="AA66" s="615">
        <f t="shared" si="15"/>
        <v>0</v>
      </c>
      <c r="AB66" s="631">
        <f t="shared" si="16"/>
        <v>0</v>
      </c>
      <c r="AC66" s="7"/>
      <c r="AD66" s="7"/>
      <c r="AE66" s="7"/>
      <c r="AI66" s="7"/>
      <c r="AJ66" s="7"/>
      <c r="AK66" s="7"/>
      <c r="AL66" s="7"/>
      <c r="AM66" s="7"/>
      <c r="AN66" s="7"/>
      <c r="AO66" s="7"/>
      <c r="AP66" s="7"/>
      <c r="AQ66" s="7"/>
      <c r="AR66" s="7"/>
      <c r="AS66" s="7"/>
    </row>
    <row r="67" spans="1:55">
      <c r="B67" s="707" t="s">
        <v>403</v>
      </c>
      <c r="C67" s="601">
        <f t="shared" si="23"/>
        <v>0</v>
      </c>
      <c r="D67" s="629"/>
      <c r="E67" s="629"/>
      <c r="F67" s="629"/>
      <c r="G67" s="629"/>
      <c r="H67" s="629"/>
      <c r="I67" s="629"/>
      <c r="J67" s="629"/>
      <c r="K67" s="629"/>
      <c r="L67" s="629"/>
      <c r="M67" s="629"/>
      <c r="N67" s="629"/>
      <c r="O67" s="629"/>
      <c r="P67" s="629"/>
      <c r="Q67" s="629"/>
      <c r="R67" s="629"/>
      <c r="S67" s="629"/>
      <c r="T67" s="629"/>
      <c r="U67" s="629"/>
      <c r="V67" s="630"/>
      <c r="W67" s="708">
        <f t="shared" si="24"/>
        <v>0</v>
      </c>
      <c r="X67" s="708">
        <f t="shared" si="13"/>
        <v>0</v>
      </c>
      <c r="Y67" s="7"/>
      <c r="Z67" s="614">
        <f t="shared" si="14"/>
        <v>0</v>
      </c>
      <c r="AA67" s="615">
        <f t="shared" si="15"/>
        <v>0</v>
      </c>
      <c r="AB67" s="631">
        <f t="shared" si="16"/>
        <v>0</v>
      </c>
      <c r="AC67" s="7"/>
      <c r="AD67" s="7"/>
      <c r="AE67" s="7"/>
      <c r="AI67" s="7"/>
      <c r="AJ67" s="7"/>
      <c r="AK67" s="7"/>
      <c r="AL67" s="7"/>
      <c r="AM67" s="7"/>
      <c r="AN67" s="7"/>
      <c r="AO67" s="7"/>
      <c r="AP67" s="7"/>
      <c r="AQ67" s="7"/>
      <c r="AR67" s="7"/>
      <c r="AS67" s="7"/>
    </row>
    <row r="68" spans="1:55">
      <c r="B68" s="707" t="s">
        <v>404</v>
      </c>
      <c r="C68" s="601">
        <f t="shared" si="23"/>
        <v>0</v>
      </c>
      <c r="D68" s="629"/>
      <c r="E68" s="629"/>
      <c r="F68" s="629"/>
      <c r="G68" s="629"/>
      <c r="H68" s="629"/>
      <c r="I68" s="629"/>
      <c r="J68" s="629"/>
      <c r="K68" s="629"/>
      <c r="L68" s="629"/>
      <c r="M68" s="629"/>
      <c r="N68" s="629"/>
      <c r="O68" s="629"/>
      <c r="P68" s="629"/>
      <c r="Q68" s="629"/>
      <c r="R68" s="629"/>
      <c r="S68" s="629"/>
      <c r="T68" s="629"/>
      <c r="U68" s="629"/>
      <c r="V68" s="630"/>
      <c r="W68" s="708">
        <f t="shared" si="24"/>
        <v>0</v>
      </c>
      <c r="X68" s="708">
        <f t="shared" si="13"/>
        <v>0</v>
      </c>
      <c r="Y68" s="7"/>
      <c r="Z68" s="614">
        <f t="shared" si="14"/>
        <v>0</v>
      </c>
      <c r="AA68" s="615">
        <f t="shared" si="15"/>
        <v>0</v>
      </c>
      <c r="AB68" s="631">
        <f t="shared" si="16"/>
        <v>0</v>
      </c>
      <c r="AC68" s="7"/>
      <c r="AD68" s="7"/>
      <c r="AE68" s="7"/>
      <c r="AI68" s="7"/>
      <c r="AJ68" s="7"/>
      <c r="AK68" s="7"/>
      <c r="AL68" s="7"/>
      <c r="AM68" s="7"/>
      <c r="AN68" s="7"/>
      <c r="AO68" s="7"/>
      <c r="AP68" s="7"/>
      <c r="AQ68" s="7"/>
      <c r="AR68" s="7"/>
      <c r="AS68" s="7"/>
    </row>
    <row r="69" spans="1:55">
      <c r="B69" s="707" t="s">
        <v>405</v>
      </c>
      <c r="C69" s="601">
        <f t="shared" si="23"/>
        <v>0</v>
      </c>
      <c r="D69" s="629"/>
      <c r="E69" s="629"/>
      <c r="F69" s="629"/>
      <c r="G69" s="629"/>
      <c r="H69" s="629"/>
      <c r="I69" s="629"/>
      <c r="J69" s="629"/>
      <c r="K69" s="629"/>
      <c r="L69" s="629"/>
      <c r="M69" s="629"/>
      <c r="N69" s="629"/>
      <c r="O69" s="629"/>
      <c r="P69" s="629"/>
      <c r="Q69" s="629"/>
      <c r="R69" s="629"/>
      <c r="S69" s="629"/>
      <c r="T69" s="629"/>
      <c r="U69" s="629"/>
      <c r="V69" s="630"/>
      <c r="W69" s="708">
        <f t="shared" si="24"/>
        <v>0</v>
      </c>
      <c r="X69" s="708">
        <f t="shared" si="13"/>
        <v>0</v>
      </c>
      <c r="Y69" s="7"/>
      <c r="Z69" s="614">
        <f t="shared" si="14"/>
        <v>0</v>
      </c>
      <c r="AA69" s="615">
        <f t="shared" si="15"/>
        <v>0</v>
      </c>
      <c r="AB69" s="631">
        <f t="shared" si="16"/>
        <v>0</v>
      </c>
      <c r="AC69" s="7"/>
      <c r="AD69" s="7"/>
      <c r="AE69" s="7"/>
      <c r="AI69" s="7"/>
      <c r="AJ69" s="7"/>
      <c r="AK69" s="7"/>
      <c r="AL69" s="7"/>
      <c r="AM69" s="7"/>
      <c r="AN69" s="7"/>
      <c r="AO69" s="7"/>
      <c r="AP69" s="7"/>
      <c r="AQ69" s="7"/>
      <c r="AR69" s="7"/>
      <c r="AS69" s="7"/>
    </row>
    <row r="70" spans="1:55" s="637" customFormat="1">
      <c r="A70" s="7"/>
      <c r="B70" s="709" t="s">
        <v>406</v>
      </c>
      <c r="C70" s="602">
        <f>AVERAGE(D70:U70)</f>
        <v>2.9687500000000002E-2</v>
      </c>
      <c r="D70" s="632">
        <f t="shared" ref="D70:V70" si="25">SUM(D64:D69)</f>
        <v>1.7187500000000001E-2</v>
      </c>
      <c r="E70" s="632">
        <f t="shared" si="25"/>
        <v>0</v>
      </c>
      <c r="F70" s="632">
        <f t="shared" si="25"/>
        <v>0</v>
      </c>
      <c r="G70" s="632">
        <f t="shared" si="25"/>
        <v>0</v>
      </c>
      <c r="H70" s="632">
        <f t="shared" si="25"/>
        <v>0</v>
      </c>
      <c r="I70" s="632">
        <f t="shared" si="25"/>
        <v>0</v>
      </c>
      <c r="J70" s="632">
        <f t="shared" si="25"/>
        <v>0</v>
      </c>
      <c r="K70" s="632">
        <f t="shared" si="25"/>
        <v>0</v>
      </c>
      <c r="L70" s="632">
        <f t="shared" si="25"/>
        <v>0.5</v>
      </c>
      <c r="M70" s="632">
        <f t="shared" si="25"/>
        <v>0</v>
      </c>
      <c r="N70" s="632">
        <f t="shared" si="25"/>
        <v>1.7187500000000001E-2</v>
      </c>
      <c r="O70" s="632">
        <f t="shared" si="25"/>
        <v>0</v>
      </c>
      <c r="P70" s="632">
        <f t="shared" si="25"/>
        <v>0</v>
      </c>
      <c r="Q70" s="632">
        <f t="shared" si="25"/>
        <v>0</v>
      </c>
      <c r="R70" s="632">
        <f t="shared" si="25"/>
        <v>0</v>
      </c>
      <c r="S70" s="632">
        <f t="shared" si="25"/>
        <v>0</v>
      </c>
      <c r="T70" s="632">
        <f t="shared" si="25"/>
        <v>0</v>
      </c>
      <c r="U70" s="632">
        <f t="shared" si="25"/>
        <v>0</v>
      </c>
      <c r="V70" s="636">
        <f t="shared" si="25"/>
        <v>0</v>
      </c>
      <c r="W70" s="939">
        <f t="shared" si="24"/>
        <v>0.53437500000000004</v>
      </c>
      <c r="X70" s="708">
        <f t="shared" si="13"/>
        <v>2.9687500000000002E-2</v>
      </c>
      <c r="Y70" s="7"/>
      <c r="Z70" s="614">
        <f t="shared" si="14"/>
        <v>0.5</v>
      </c>
      <c r="AA70" s="615">
        <f t="shared" si="15"/>
        <v>3.125E-2</v>
      </c>
      <c r="AB70" s="631">
        <f t="shared" si="16"/>
        <v>1.7187500000000001E-2</v>
      </c>
      <c r="AC70" s="7"/>
      <c r="AD70" s="7"/>
      <c r="AE70" s="7"/>
      <c r="AH70" s="638"/>
      <c r="AI70" s="7"/>
      <c r="AJ70" s="7"/>
      <c r="AK70" s="7"/>
      <c r="AL70" s="7"/>
      <c r="AM70" s="7"/>
      <c r="AN70" s="7"/>
      <c r="AO70" s="7"/>
      <c r="AP70" s="7"/>
      <c r="AQ70" s="7"/>
      <c r="AR70" s="7"/>
      <c r="AS70" s="7"/>
    </row>
    <row r="71" spans="1:55">
      <c r="B71" s="707" t="s">
        <v>407</v>
      </c>
      <c r="C71" s="601">
        <f t="shared" ref="C71:C80" si="26">+X71</f>
        <v>0</v>
      </c>
      <c r="D71" s="629"/>
      <c r="E71" s="629"/>
      <c r="F71" s="629"/>
      <c r="G71" s="629"/>
      <c r="H71" s="629"/>
      <c r="I71" s="629"/>
      <c r="J71" s="629"/>
      <c r="K71" s="629"/>
      <c r="L71" s="629"/>
      <c r="M71" s="629"/>
      <c r="N71" s="629"/>
      <c r="O71" s="629"/>
      <c r="P71" s="629"/>
      <c r="Q71" s="629"/>
      <c r="R71" s="629"/>
      <c r="S71" s="629"/>
      <c r="T71" s="629"/>
      <c r="U71" s="629"/>
      <c r="V71" s="630"/>
      <c r="W71" s="708">
        <f t="shared" si="24"/>
        <v>0</v>
      </c>
      <c r="X71" s="708">
        <f t="shared" si="13"/>
        <v>0</v>
      </c>
      <c r="Y71" s="7"/>
      <c r="Z71" s="614">
        <f t="shared" si="14"/>
        <v>0</v>
      </c>
      <c r="AA71" s="615">
        <f t="shared" si="15"/>
        <v>0</v>
      </c>
      <c r="AB71" s="631">
        <f t="shared" si="16"/>
        <v>0</v>
      </c>
      <c r="AC71" s="7"/>
      <c r="AD71" s="7"/>
      <c r="AE71" s="7"/>
      <c r="AI71" s="7"/>
      <c r="AJ71" s="7"/>
      <c r="AK71" s="7"/>
      <c r="AL71" s="7"/>
      <c r="AM71" s="7"/>
      <c r="AN71" s="7"/>
      <c r="AO71" s="7"/>
      <c r="AP71" s="7"/>
      <c r="AQ71" s="7"/>
      <c r="AR71" s="7"/>
      <c r="AS71" s="7"/>
    </row>
    <row r="72" spans="1:55">
      <c r="B72" s="707" t="s">
        <v>408</v>
      </c>
      <c r="C72" s="601">
        <f t="shared" si="26"/>
        <v>0</v>
      </c>
      <c r="D72" s="629"/>
      <c r="E72" s="629"/>
      <c r="F72" s="629"/>
      <c r="G72" s="629"/>
      <c r="H72" s="629"/>
      <c r="I72" s="629"/>
      <c r="J72" s="629"/>
      <c r="K72" s="629"/>
      <c r="L72" s="629"/>
      <c r="M72" s="629"/>
      <c r="N72" s="629"/>
      <c r="O72" s="629"/>
      <c r="P72" s="629"/>
      <c r="Q72" s="629"/>
      <c r="R72" s="629"/>
      <c r="S72" s="629"/>
      <c r="T72" s="629"/>
      <c r="U72" s="629"/>
      <c r="V72" s="630"/>
      <c r="W72" s="708">
        <f t="shared" si="24"/>
        <v>0</v>
      </c>
      <c r="X72" s="708">
        <f t="shared" si="13"/>
        <v>0</v>
      </c>
      <c r="Y72" s="7"/>
      <c r="Z72" s="614">
        <f t="shared" si="14"/>
        <v>0</v>
      </c>
      <c r="AA72" s="615">
        <f t="shared" si="15"/>
        <v>0</v>
      </c>
      <c r="AB72" s="631">
        <f t="shared" si="16"/>
        <v>0</v>
      </c>
      <c r="AC72" s="7"/>
      <c r="AD72" s="7"/>
      <c r="AE72" s="7"/>
      <c r="AI72" s="7"/>
      <c r="AJ72" s="7"/>
      <c r="AK72" s="7"/>
      <c r="AL72" s="7"/>
      <c r="AM72" s="7"/>
      <c r="AN72" s="7"/>
      <c r="AO72" s="7"/>
      <c r="AP72" s="7"/>
      <c r="AQ72" s="7"/>
      <c r="AR72" s="7"/>
      <c r="AS72" s="7"/>
    </row>
    <row r="73" spans="1:55">
      <c r="B73" s="707" t="s">
        <v>409</v>
      </c>
      <c r="C73" s="601">
        <f t="shared" si="26"/>
        <v>0</v>
      </c>
      <c r="D73" s="629"/>
      <c r="E73" s="629"/>
      <c r="F73" s="629"/>
      <c r="G73" s="629"/>
      <c r="H73" s="629"/>
      <c r="I73" s="629"/>
      <c r="J73" s="629"/>
      <c r="K73" s="629"/>
      <c r="L73" s="629"/>
      <c r="M73" s="629"/>
      <c r="N73" s="629"/>
      <c r="O73" s="629"/>
      <c r="P73" s="629"/>
      <c r="Q73" s="629"/>
      <c r="R73" s="629"/>
      <c r="S73" s="629"/>
      <c r="T73" s="629"/>
      <c r="U73" s="629"/>
      <c r="V73" s="636"/>
      <c r="W73" s="708">
        <f t="shared" si="24"/>
        <v>0</v>
      </c>
      <c r="X73" s="708">
        <f t="shared" si="13"/>
        <v>0</v>
      </c>
      <c r="Y73" s="7"/>
      <c r="Z73" s="614">
        <f t="shared" si="14"/>
        <v>0</v>
      </c>
      <c r="AA73" s="615">
        <f t="shared" si="15"/>
        <v>0</v>
      </c>
      <c r="AB73" s="631">
        <f t="shared" si="16"/>
        <v>0</v>
      </c>
      <c r="AC73" s="7"/>
      <c r="AD73" s="7"/>
      <c r="AE73" s="7"/>
      <c r="AI73" s="7"/>
      <c r="AJ73" s="7"/>
      <c r="AK73" s="7"/>
      <c r="AL73" s="7"/>
      <c r="AM73" s="7"/>
      <c r="AN73" s="7"/>
      <c r="AO73" s="7"/>
      <c r="AP73" s="7"/>
      <c r="AQ73" s="7"/>
      <c r="AR73" s="7"/>
      <c r="AS73" s="7"/>
    </row>
    <row r="74" spans="1:55">
      <c r="B74" s="707" t="s">
        <v>410</v>
      </c>
      <c r="C74" s="601">
        <f t="shared" si="26"/>
        <v>5.5555555555555558E-3</v>
      </c>
      <c r="D74" s="629">
        <f>+AH74+AB74</f>
        <v>0.05</v>
      </c>
      <c r="E74" s="629"/>
      <c r="F74" s="629"/>
      <c r="G74" s="629"/>
      <c r="H74" s="629"/>
      <c r="I74" s="629"/>
      <c r="J74" s="629"/>
      <c r="K74" s="629"/>
      <c r="L74" s="629"/>
      <c r="M74" s="629"/>
      <c r="N74" s="629">
        <v>0.05</v>
      </c>
      <c r="O74" s="629"/>
      <c r="P74" s="629"/>
      <c r="Q74" s="629"/>
      <c r="R74" s="629"/>
      <c r="S74" s="629"/>
      <c r="T74" s="629"/>
      <c r="U74" s="629"/>
      <c r="V74" s="630"/>
      <c r="W74" s="708">
        <f t="shared" si="24"/>
        <v>0.1</v>
      </c>
      <c r="X74" s="708">
        <f t="shared" si="13"/>
        <v>5.5555555555555558E-3</v>
      </c>
      <c r="Y74" s="7"/>
      <c r="Z74" s="614">
        <f t="shared" si="14"/>
        <v>0</v>
      </c>
      <c r="AA74" s="615">
        <f t="shared" si="15"/>
        <v>0</v>
      </c>
      <c r="AB74" s="631">
        <f t="shared" si="16"/>
        <v>0</v>
      </c>
      <c r="AC74" s="7"/>
      <c r="AD74" s="7"/>
      <c r="AE74" s="7"/>
      <c r="AH74" s="611">
        <v>0.05</v>
      </c>
      <c r="AI74" s="7"/>
      <c r="AJ74" s="7"/>
      <c r="AK74" s="7"/>
      <c r="AL74" s="7"/>
      <c r="AM74" s="7"/>
      <c r="AN74" s="7"/>
      <c r="AO74" s="7"/>
      <c r="AP74" s="7"/>
      <c r="AQ74" s="7"/>
      <c r="AR74" s="7"/>
      <c r="AS74" s="7"/>
    </row>
    <row r="75" spans="1:55">
      <c r="B75" s="707" t="s">
        <v>411</v>
      </c>
      <c r="C75" s="601">
        <f t="shared" si="26"/>
        <v>0</v>
      </c>
      <c r="D75" s="629"/>
      <c r="E75" s="629"/>
      <c r="F75" s="629"/>
      <c r="G75" s="629"/>
      <c r="H75" s="629"/>
      <c r="I75" s="629"/>
      <c r="J75" s="629"/>
      <c r="K75" s="629"/>
      <c r="L75" s="629"/>
      <c r="M75" s="629"/>
      <c r="N75" s="629"/>
      <c r="O75" s="629"/>
      <c r="P75" s="629"/>
      <c r="Q75" s="629"/>
      <c r="R75" s="629"/>
      <c r="S75" s="629"/>
      <c r="T75" s="629"/>
      <c r="U75" s="629"/>
      <c r="V75" s="630"/>
      <c r="W75" s="708">
        <f t="shared" si="24"/>
        <v>0</v>
      </c>
      <c r="X75" s="708">
        <f t="shared" ref="X75:X82" si="27">+W75/18</f>
        <v>0</v>
      </c>
      <c r="Y75" s="7"/>
      <c r="Z75" s="614">
        <f t="shared" ref="Z75:Z82" si="28">+E75+F75+G75+H75+I75+J75+K75+L75+M75+O75+P75+Q75+R75+S75+T75+U75</f>
        <v>0</v>
      </c>
      <c r="AA75" s="615">
        <f t="shared" ref="AA75:AA82" si="29">+Z75/16</f>
        <v>0</v>
      </c>
      <c r="AB75" s="631">
        <f t="shared" ref="AB75:AB82" si="30">+AA75/$AA$82*$AA$8</f>
        <v>0</v>
      </c>
      <c r="AC75" s="7"/>
      <c r="AD75" s="7"/>
      <c r="AE75" s="7"/>
      <c r="AI75" s="7"/>
      <c r="AJ75" s="7"/>
      <c r="AK75" s="7"/>
      <c r="AL75" s="7"/>
      <c r="AM75" s="7"/>
      <c r="AN75" s="7"/>
      <c r="AO75" s="7"/>
      <c r="AP75" s="7"/>
      <c r="AQ75" s="7"/>
      <c r="AR75" s="7"/>
      <c r="AS75" s="7"/>
    </row>
    <row r="76" spans="1:55">
      <c r="B76" s="707" t="s">
        <v>412</v>
      </c>
      <c r="C76" s="601">
        <f t="shared" si="26"/>
        <v>0</v>
      </c>
      <c r="D76" s="629"/>
      <c r="E76" s="629"/>
      <c r="F76" s="629"/>
      <c r="G76" s="629"/>
      <c r="H76" s="629"/>
      <c r="I76" s="629"/>
      <c r="J76" s="629"/>
      <c r="K76" s="629"/>
      <c r="L76" s="629"/>
      <c r="M76" s="629"/>
      <c r="N76" s="629"/>
      <c r="O76" s="629"/>
      <c r="P76" s="629"/>
      <c r="Q76" s="629"/>
      <c r="R76" s="629"/>
      <c r="S76" s="629"/>
      <c r="T76" s="629"/>
      <c r="U76" s="629"/>
      <c r="V76" s="630"/>
      <c r="W76" s="708">
        <f t="shared" si="24"/>
        <v>0</v>
      </c>
      <c r="X76" s="708">
        <f t="shared" si="27"/>
        <v>0</v>
      </c>
      <c r="Y76" s="7"/>
      <c r="Z76" s="614">
        <f t="shared" si="28"/>
        <v>0</v>
      </c>
      <c r="AA76" s="615">
        <f t="shared" si="29"/>
        <v>0</v>
      </c>
      <c r="AB76" s="631">
        <f t="shared" si="30"/>
        <v>0</v>
      </c>
      <c r="AC76" s="7"/>
      <c r="AD76" s="7"/>
      <c r="AE76" s="7"/>
      <c r="AI76" s="7"/>
      <c r="AJ76" s="7"/>
      <c r="AK76" s="7"/>
      <c r="AL76" s="7"/>
      <c r="AM76" s="7"/>
      <c r="AN76" s="7"/>
      <c r="AO76" s="7"/>
      <c r="AP76" s="7"/>
      <c r="AQ76" s="7"/>
      <c r="AR76" s="7"/>
      <c r="AS76" s="7"/>
    </row>
    <row r="77" spans="1:55">
      <c r="B77" s="707" t="s">
        <v>413</v>
      </c>
      <c r="C77" s="601">
        <f t="shared" si="26"/>
        <v>0</v>
      </c>
      <c r="D77" s="629"/>
      <c r="E77" s="629"/>
      <c r="F77" s="629"/>
      <c r="G77" s="629"/>
      <c r="H77" s="629"/>
      <c r="I77" s="629"/>
      <c r="J77" s="629"/>
      <c r="K77" s="629"/>
      <c r="L77" s="629"/>
      <c r="M77" s="629"/>
      <c r="N77" s="629"/>
      <c r="O77" s="629"/>
      <c r="P77" s="629"/>
      <c r="Q77" s="629"/>
      <c r="R77" s="629"/>
      <c r="S77" s="629"/>
      <c r="T77" s="629"/>
      <c r="U77" s="629"/>
      <c r="V77" s="630"/>
      <c r="W77" s="708">
        <f t="shared" si="24"/>
        <v>0</v>
      </c>
      <c r="X77" s="708">
        <f t="shared" si="27"/>
        <v>0</v>
      </c>
      <c r="Y77" s="7"/>
      <c r="Z77" s="614">
        <f t="shared" si="28"/>
        <v>0</v>
      </c>
      <c r="AA77" s="615">
        <f t="shared" si="29"/>
        <v>0</v>
      </c>
      <c r="AB77" s="631">
        <f t="shared" si="30"/>
        <v>0</v>
      </c>
      <c r="AC77" s="7"/>
      <c r="AD77" s="7"/>
      <c r="AE77" s="7"/>
      <c r="AI77" s="7"/>
      <c r="AJ77" s="7"/>
      <c r="AK77" s="7"/>
      <c r="AL77" s="7"/>
      <c r="AM77" s="7"/>
      <c r="AN77" s="7"/>
      <c r="AO77" s="7"/>
      <c r="AP77" s="7"/>
      <c r="AQ77" s="7"/>
      <c r="AR77" s="7"/>
      <c r="AS77" s="7"/>
    </row>
    <row r="78" spans="1:55">
      <c r="B78" s="707" t="s">
        <v>414</v>
      </c>
      <c r="C78" s="601">
        <f t="shared" si="26"/>
        <v>0</v>
      </c>
      <c r="D78" s="629"/>
      <c r="E78" s="629"/>
      <c r="F78" s="629"/>
      <c r="G78" s="629"/>
      <c r="H78" s="629"/>
      <c r="I78" s="629"/>
      <c r="J78" s="629"/>
      <c r="K78" s="629"/>
      <c r="L78" s="629"/>
      <c r="M78" s="629"/>
      <c r="N78" s="629"/>
      <c r="O78" s="629"/>
      <c r="P78" s="629"/>
      <c r="Q78" s="629"/>
      <c r="R78" s="629"/>
      <c r="S78" s="629"/>
      <c r="T78" s="629"/>
      <c r="U78" s="629"/>
      <c r="V78" s="630"/>
      <c r="W78" s="708">
        <f t="shared" si="24"/>
        <v>0</v>
      </c>
      <c r="X78" s="708">
        <f t="shared" si="27"/>
        <v>0</v>
      </c>
      <c r="Y78" s="7"/>
      <c r="Z78" s="614">
        <f t="shared" si="28"/>
        <v>0</v>
      </c>
      <c r="AA78" s="615">
        <f t="shared" si="29"/>
        <v>0</v>
      </c>
      <c r="AB78" s="631">
        <f t="shared" si="30"/>
        <v>0</v>
      </c>
      <c r="AC78" s="7"/>
      <c r="AD78" s="7"/>
      <c r="AE78" s="7"/>
      <c r="AI78" s="7"/>
      <c r="AJ78" s="7"/>
      <c r="AK78" s="7"/>
      <c r="AL78" s="7"/>
      <c r="AM78" s="7"/>
      <c r="AN78" s="7"/>
      <c r="AO78" s="7"/>
      <c r="AP78" s="7"/>
      <c r="AQ78" s="7"/>
      <c r="AR78" s="7"/>
      <c r="AS78" s="7"/>
    </row>
    <row r="79" spans="1:55">
      <c r="B79" s="707" t="s">
        <v>415</v>
      </c>
      <c r="C79" s="601">
        <f t="shared" si="26"/>
        <v>0</v>
      </c>
      <c r="D79" s="629"/>
      <c r="E79" s="629"/>
      <c r="F79" s="629"/>
      <c r="G79" s="629"/>
      <c r="H79" s="629"/>
      <c r="I79" s="629"/>
      <c r="J79" s="629"/>
      <c r="K79" s="629"/>
      <c r="L79" s="629"/>
      <c r="M79" s="629"/>
      <c r="N79" s="629"/>
      <c r="O79" s="629"/>
      <c r="P79" s="629"/>
      <c r="Q79" s="629"/>
      <c r="R79" s="629"/>
      <c r="S79" s="629"/>
      <c r="T79" s="629"/>
      <c r="U79" s="629"/>
      <c r="V79" s="630"/>
      <c r="W79" s="708">
        <f t="shared" si="24"/>
        <v>0</v>
      </c>
      <c r="X79" s="708">
        <f t="shared" si="27"/>
        <v>0</v>
      </c>
      <c r="Y79" s="7"/>
      <c r="Z79" s="614">
        <f t="shared" si="28"/>
        <v>0</v>
      </c>
      <c r="AA79" s="615">
        <f t="shared" si="29"/>
        <v>0</v>
      </c>
      <c r="AB79" s="631">
        <f t="shared" si="30"/>
        <v>0</v>
      </c>
      <c r="AC79" s="7"/>
      <c r="AD79" s="7"/>
      <c r="AE79" s="7"/>
      <c r="AI79" s="7"/>
      <c r="AJ79" s="7"/>
      <c r="AK79" s="7"/>
      <c r="AL79" s="7"/>
      <c r="AM79" s="7"/>
      <c r="AN79" s="7"/>
      <c r="AO79" s="7"/>
      <c r="AP79" s="7"/>
      <c r="AQ79" s="7"/>
      <c r="AR79" s="7"/>
      <c r="AS79" s="7"/>
      <c r="AT79" s="7"/>
      <c r="AU79" s="7"/>
      <c r="AV79" s="7"/>
      <c r="AW79" s="7"/>
      <c r="AX79" s="7"/>
      <c r="AY79" s="7"/>
      <c r="AZ79" s="7"/>
      <c r="BA79" s="7"/>
      <c r="BB79" s="7"/>
      <c r="BC79" s="7"/>
    </row>
    <row r="80" spans="1:55">
      <c r="B80" s="707" t="s">
        <v>416</v>
      </c>
      <c r="C80" s="601">
        <f t="shared" si="26"/>
        <v>0</v>
      </c>
      <c r="D80" s="629"/>
      <c r="E80" s="629"/>
      <c r="F80" s="629"/>
      <c r="G80" s="629"/>
      <c r="H80" s="629"/>
      <c r="I80" s="629"/>
      <c r="J80" s="629"/>
      <c r="K80" s="629"/>
      <c r="L80" s="629"/>
      <c r="M80" s="629"/>
      <c r="N80" s="629"/>
      <c r="O80" s="629"/>
      <c r="P80" s="629"/>
      <c r="Q80" s="629"/>
      <c r="R80" s="629"/>
      <c r="S80" s="629"/>
      <c r="T80" s="629"/>
      <c r="U80" s="629"/>
      <c r="V80" s="630"/>
      <c r="W80" s="708">
        <f t="shared" si="24"/>
        <v>0</v>
      </c>
      <c r="X80" s="708">
        <f t="shared" si="27"/>
        <v>0</v>
      </c>
      <c r="Y80" s="7"/>
      <c r="Z80" s="614">
        <f t="shared" si="28"/>
        <v>0</v>
      </c>
      <c r="AA80" s="615">
        <f t="shared" si="29"/>
        <v>0</v>
      </c>
      <c r="AB80" s="631">
        <f t="shared" si="30"/>
        <v>0</v>
      </c>
      <c r="AC80" s="7"/>
      <c r="AD80" s="7"/>
      <c r="AE80" s="7"/>
      <c r="AI80" s="7"/>
      <c r="AJ80" s="7"/>
      <c r="AK80" s="7"/>
      <c r="AL80" s="7"/>
      <c r="AM80" s="7"/>
      <c r="AN80" s="7"/>
      <c r="AO80" s="7"/>
      <c r="AP80" s="7"/>
      <c r="AQ80" s="7"/>
      <c r="AR80" s="7"/>
      <c r="AS80" s="7"/>
      <c r="AT80" s="7"/>
      <c r="AU80" s="7"/>
      <c r="AV80" s="7"/>
      <c r="AW80" s="7"/>
      <c r="AX80" s="7"/>
      <c r="AY80" s="7"/>
      <c r="AZ80" s="7"/>
      <c r="BA80" s="7"/>
      <c r="BB80" s="7"/>
      <c r="BC80" s="7"/>
    </row>
    <row r="81" spans="1:55" s="637" customFormat="1">
      <c r="A81" s="7"/>
      <c r="B81" s="709" t="s">
        <v>417</v>
      </c>
      <c r="C81" s="602">
        <f>AVERAGE(D81:U81)</f>
        <v>3.5243055555555548E-2</v>
      </c>
      <c r="D81" s="640">
        <f t="shared" ref="D81:V81" si="31">SUM(D70:D80)+D63</f>
        <v>6.7187500000000011E-2</v>
      </c>
      <c r="E81" s="640">
        <f t="shared" si="31"/>
        <v>0</v>
      </c>
      <c r="F81" s="640">
        <f t="shared" si="31"/>
        <v>0</v>
      </c>
      <c r="G81" s="640">
        <f t="shared" si="31"/>
        <v>0</v>
      </c>
      <c r="H81" s="640">
        <f t="shared" si="31"/>
        <v>0</v>
      </c>
      <c r="I81" s="640">
        <f t="shared" si="31"/>
        <v>0</v>
      </c>
      <c r="J81" s="640">
        <f t="shared" si="31"/>
        <v>0</v>
      </c>
      <c r="K81" s="640">
        <f t="shared" si="31"/>
        <v>0</v>
      </c>
      <c r="L81" s="640">
        <f t="shared" si="31"/>
        <v>0.5</v>
      </c>
      <c r="M81" s="640">
        <f t="shared" si="31"/>
        <v>0</v>
      </c>
      <c r="N81" s="640">
        <f t="shared" si="31"/>
        <v>6.7187500000000011E-2</v>
      </c>
      <c r="O81" s="640">
        <f t="shared" si="31"/>
        <v>0</v>
      </c>
      <c r="P81" s="640">
        <f t="shared" si="31"/>
        <v>0</v>
      </c>
      <c r="Q81" s="640">
        <f t="shared" si="31"/>
        <v>0</v>
      </c>
      <c r="R81" s="640">
        <f t="shared" si="31"/>
        <v>0</v>
      </c>
      <c r="S81" s="640">
        <f t="shared" si="31"/>
        <v>0</v>
      </c>
      <c r="T81" s="640">
        <f t="shared" si="31"/>
        <v>0</v>
      </c>
      <c r="U81" s="640">
        <f t="shared" si="31"/>
        <v>0</v>
      </c>
      <c r="V81" s="636">
        <f t="shared" si="31"/>
        <v>0</v>
      </c>
      <c r="W81" s="939">
        <f t="shared" si="24"/>
        <v>0.63437499999999991</v>
      </c>
      <c r="X81" s="708">
        <f t="shared" si="27"/>
        <v>3.5243055555555548E-2</v>
      </c>
      <c r="Y81" s="7"/>
      <c r="Z81" s="614">
        <f t="shared" si="28"/>
        <v>0.5</v>
      </c>
      <c r="AA81" s="615">
        <f t="shared" si="29"/>
        <v>3.125E-2</v>
      </c>
      <c r="AB81" s="631">
        <f t="shared" si="30"/>
        <v>1.7187500000000001E-2</v>
      </c>
      <c r="AC81" s="7"/>
      <c r="AD81" s="7"/>
      <c r="AE81" s="7"/>
      <c r="AH81" s="638"/>
      <c r="AI81" s="7"/>
      <c r="AJ81" s="7"/>
      <c r="AK81" s="7"/>
      <c r="AL81" s="7"/>
      <c r="AM81" s="7"/>
      <c r="AN81" s="7"/>
      <c r="AO81" s="7"/>
      <c r="AP81" s="7"/>
      <c r="AQ81" s="7"/>
      <c r="AR81" s="7"/>
      <c r="AS81" s="7"/>
      <c r="AT81" s="7"/>
      <c r="AU81" s="7"/>
      <c r="AV81" s="7"/>
      <c r="AW81" s="7"/>
      <c r="AX81" s="7"/>
      <c r="AY81" s="7"/>
      <c r="AZ81" s="7"/>
      <c r="BA81" s="7"/>
      <c r="BB81" s="7"/>
      <c r="BC81" s="7"/>
    </row>
    <row r="82" spans="1:55" s="637" customFormat="1" ht="13.8" thickBot="1">
      <c r="A82" s="7"/>
      <c r="B82" s="709" t="s">
        <v>418</v>
      </c>
      <c r="C82" s="602">
        <f>AVERAGE(D82:U82)</f>
        <v>1</v>
      </c>
      <c r="D82" s="632">
        <f t="shared" ref="D82:V82" si="32">+D62+D81</f>
        <v>1</v>
      </c>
      <c r="E82" s="632">
        <f t="shared" si="32"/>
        <v>1</v>
      </c>
      <c r="F82" s="632">
        <f t="shared" si="32"/>
        <v>1</v>
      </c>
      <c r="G82" s="632">
        <f t="shared" si="32"/>
        <v>1</v>
      </c>
      <c r="H82" s="632">
        <f t="shared" si="32"/>
        <v>1</v>
      </c>
      <c r="I82" s="632">
        <f t="shared" si="32"/>
        <v>1</v>
      </c>
      <c r="J82" s="632">
        <f t="shared" si="32"/>
        <v>1</v>
      </c>
      <c r="K82" s="632">
        <f t="shared" si="32"/>
        <v>1</v>
      </c>
      <c r="L82" s="632">
        <f t="shared" si="32"/>
        <v>1</v>
      </c>
      <c r="M82" s="632">
        <f t="shared" si="32"/>
        <v>1</v>
      </c>
      <c r="N82" s="632">
        <f t="shared" si="32"/>
        <v>1</v>
      </c>
      <c r="O82" s="632">
        <f t="shared" si="32"/>
        <v>1</v>
      </c>
      <c r="P82" s="632">
        <f t="shared" si="32"/>
        <v>1</v>
      </c>
      <c r="Q82" s="632">
        <f t="shared" si="32"/>
        <v>1</v>
      </c>
      <c r="R82" s="632">
        <f t="shared" si="32"/>
        <v>1</v>
      </c>
      <c r="S82" s="632">
        <f t="shared" si="32"/>
        <v>1</v>
      </c>
      <c r="T82" s="632">
        <f t="shared" si="32"/>
        <v>1</v>
      </c>
      <c r="U82" s="632">
        <f t="shared" si="32"/>
        <v>1</v>
      </c>
      <c r="V82" s="633">
        <f t="shared" si="32"/>
        <v>0</v>
      </c>
      <c r="W82" s="939">
        <f t="shared" si="24"/>
        <v>18</v>
      </c>
      <c r="X82" s="708">
        <f t="shared" si="27"/>
        <v>1</v>
      </c>
      <c r="Y82" s="7"/>
      <c r="Z82" s="614">
        <f t="shared" si="28"/>
        <v>16</v>
      </c>
      <c r="AA82" s="615">
        <f t="shared" si="29"/>
        <v>1</v>
      </c>
      <c r="AB82" s="642">
        <f t="shared" si="30"/>
        <v>0.55000000000000004</v>
      </c>
      <c r="AC82" s="7"/>
      <c r="AD82" s="7"/>
      <c r="AE82" s="7"/>
      <c r="AH82" s="638"/>
      <c r="AI82" s="7"/>
      <c r="AJ82" s="7"/>
      <c r="AK82" s="7"/>
      <c r="AL82" s="7"/>
      <c r="AM82" s="7"/>
      <c r="AN82" s="7"/>
      <c r="AO82" s="7"/>
      <c r="AP82" s="7"/>
      <c r="AQ82" s="7"/>
      <c r="AR82" s="7"/>
      <c r="AS82" s="7"/>
      <c r="AT82" s="7"/>
      <c r="AU82" s="7"/>
      <c r="AV82" s="7"/>
      <c r="AW82" s="7"/>
      <c r="AX82" s="7"/>
      <c r="AY82" s="7"/>
      <c r="AZ82" s="7"/>
      <c r="BA82" s="7"/>
      <c r="BB82" s="7"/>
      <c r="BC82" s="7"/>
    </row>
    <row r="83" spans="1:55" s="157" customFormat="1" ht="14.4" thickTop="1" thickBot="1">
      <c r="A83" s="185"/>
      <c r="B83" s="702"/>
      <c r="C83" s="711"/>
      <c r="D83" s="703"/>
      <c r="E83" s="703"/>
      <c r="F83" s="703"/>
      <c r="G83" s="703"/>
      <c r="H83" s="703"/>
      <c r="I83" s="703"/>
      <c r="J83" s="703"/>
      <c r="K83" s="703"/>
      <c r="L83" s="703"/>
      <c r="M83" s="703"/>
      <c r="N83" s="703"/>
      <c r="O83" s="703"/>
      <c r="P83" s="703"/>
      <c r="Q83" s="703"/>
      <c r="R83" s="703"/>
      <c r="S83" s="703"/>
      <c r="T83" s="703"/>
      <c r="U83" s="703"/>
      <c r="V83" s="712"/>
      <c r="W83" s="246"/>
      <c r="X83" s="246"/>
      <c r="AA83" s="643"/>
      <c r="AB83" s="643"/>
      <c r="AH83" s="644"/>
      <c r="AI83" s="185"/>
      <c r="AJ83" s="185"/>
      <c r="AK83" s="185"/>
      <c r="AL83" s="185"/>
      <c r="AM83" s="185"/>
      <c r="AN83" s="185"/>
      <c r="AO83" s="185"/>
      <c r="AP83" s="185"/>
      <c r="AQ83" s="185"/>
      <c r="AR83" s="185"/>
      <c r="AS83" s="185"/>
      <c r="AT83" s="185"/>
      <c r="AU83" s="185"/>
      <c r="AV83" s="185"/>
      <c r="AW83" s="185"/>
      <c r="AX83" s="185"/>
      <c r="AY83" s="185"/>
      <c r="AZ83" s="185"/>
      <c r="BA83" s="185"/>
      <c r="BB83" s="185"/>
      <c r="BC83" s="185"/>
    </row>
    <row r="84" spans="1:55" s="157" customFormat="1">
      <c r="A84" s="185"/>
      <c r="C84" s="200"/>
      <c r="V84" s="609"/>
      <c r="AA84" s="643"/>
      <c r="AB84" s="643"/>
      <c r="AH84" s="644"/>
      <c r="AI84" s="185"/>
      <c r="AJ84" s="185"/>
      <c r="AK84" s="185"/>
      <c r="AL84" s="185"/>
      <c r="AM84" s="185"/>
      <c r="AN84" s="185"/>
      <c r="AO84" s="185"/>
      <c r="AP84" s="185"/>
      <c r="AQ84" s="185"/>
      <c r="AR84" s="185"/>
      <c r="AS84" s="185"/>
    </row>
    <row r="85" spans="1:55" s="157" customFormat="1">
      <c r="A85" s="185"/>
      <c r="C85" s="200"/>
      <c r="V85" s="609"/>
      <c r="AA85" s="643"/>
      <c r="AB85" s="643"/>
      <c r="AH85" s="644"/>
      <c r="AI85" s="185"/>
      <c r="AJ85" s="185"/>
      <c r="AK85" s="185"/>
      <c r="AL85" s="185"/>
      <c r="AM85" s="185"/>
      <c r="AN85" s="185"/>
      <c r="AO85" s="185"/>
      <c r="AP85" s="185"/>
      <c r="AQ85" s="185"/>
      <c r="AR85" s="185"/>
      <c r="AS85" s="185"/>
    </row>
    <row r="86" spans="1:55" s="157" customFormat="1">
      <c r="A86" s="185"/>
      <c r="C86" s="200"/>
      <c r="V86" s="609"/>
      <c r="AA86" s="643"/>
      <c r="AB86" s="643"/>
      <c r="AH86" s="644"/>
      <c r="AI86" s="185"/>
      <c r="AJ86" s="185"/>
      <c r="AK86" s="185"/>
      <c r="AL86" s="185"/>
      <c r="AM86" s="185"/>
      <c r="AN86" s="185"/>
      <c r="AO86" s="185"/>
      <c r="AP86" s="185"/>
      <c r="AQ86" s="185"/>
      <c r="AR86" s="185"/>
      <c r="AS86" s="185"/>
    </row>
    <row r="87" spans="1:55" s="157" customFormat="1">
      <c r="A87" s="185"/>
      <c r="C87" s="645"/>
      <c r="D87" s="612"/>
      <c r="E87" s="612"/>
      <c r="F87" s="612"/>
      <c r="G87" s="612"/>
      <c r="H87" s="612"/>
      <c r="I87" s="612"/>
      <c r="J87" s="612"/>
      <c r="K87" s="612"/>
      <c r="L87" s="612"/>
      <c r="M87" s="612"/>
      <c r="N87" s="612"/>
      <c r="O87" s="612"/>
      <c r="P87" s="612"/>
      <c r="Q87" s="612"/>
      <c r="R87" s="612"/>
      <c r="S87" s="612"/>
      <c r="T87" s="612"/>
      <c r="U87" s="612"/>
      <c r="V87" s="609"/>
      <c r="AA87" s="643"/>
      <c r="AB87" s="643"/>
      <c r="AH87" s="644"/>
      <c r="AI87" s="185"/>
      <c r="AJ87" s="185"/>
      <c r="AK87" s="185"/>
      <c r="AL87" s="185"/>
      <c r="AM87" s="185"/>
      <c r="AN87" s="185"/>
      <c r="AO87" s="185"/>
      <c r="AP87" s="185"/>
      <c r="AQ87" s="185"/>
      <c r="AR87" s="185"/>
      <c r="AS87" s="185"/>
    </row>
    <row r="88" spans="1:55" s="157" customFormat="1">
      <c r="A88" s="185"/>
      <c r="C88" s="645"/>
      <c r="D88" s="612"/>
      <c r="E88" s="612"/>
      <c r="F88" s="612"/>
      <c r="G88" s="612"/>
      <c r="H88" s="612"/>
      <c r="I88" s="612"/>
      <c r="J88" s="612"/>
      <c r="K88" s="612"/>
      <c r="L88" s="612"/>
      <c r="M88" s="612"/>
      <c r="N88" s="612"/>
      <c r="O88" s="612"/>
      <c r="P88" s="612"/>
      <c r="Q88" s="612"/>
      <c r="R88" s="612"/>
      <c r="S88" s="612"/>
      <c r="T88" s="612"/>
      <c r="U88" s="612"/>
      <c r="V88" s="609"/>
      <c r="AA88" s="643"/>
      <c r="AB88" s="643"/>
      <c r="AH88" s="644"/>
      <c r="AI88" s="185"/>
      <c r="AJ88" s="185"/>
      <c r="AK88" s="185"/>
      <c r="AL88" s="185"/>
      <c r="AM88" s="185"/>
      <c r="AN88" s="185"/>
      <c r="AO88" s="185"/>
      <c r="AP88" s="185"/>
      <c r="AQ88" s="185"/>
      <c r="AR88" s="185"/>
      <c r="AS88" s="185"/>
    </row>
    <row r="89" spans="1:55" s="157" customFormat="1">
      <c r="A89" s="185"/>
      <c r="C89" s="645"/>
      <c r="D89" s="612"/>
      <c r="E89" s="612"/>
      <c r="F89" s="612"/>
      <c r="G89" s="612"/>
      <c r="H89" s="612"/>
      <c r="I89" s="612"/>
      <c r="J89" s="612"/>
      <c r="K89" s="612"/>
      <c r="L89" s="612"/>
      <c r="M89" s="612"/>
      <c r="N89" s="612"/>
      <c r="O89" s="612"/>
      <c r="P89" s="612"/>
      <c r="Q89" s="612"/>
      <c r="R89" s="612"/>
      <c r="S89" s="612"/>
      <c r="T89" s="612"/>
      <c r="U89" s="612"/>
      <c r="V89" s="609"/>
      <c r="AA89" s="643"/>
      <c r="AB89" s="643"/>
      <c r="AH89" s="644"/>
      <c r="AI89" s="185"/>
      <c r="AJ89" s="185"/>
      <c r="AK89" s="185"/>
      <c r="AL89" s="185"/>
      <c r="AM89" s="185"/>
      <c r="AN89" s="185"/>
      <c r="AO89" s="185"/>
      <c r="AP89" s="185"/>
      <c r="AQ89" s="185"/>
      <c r="AR89" s="185"/>
      <c r="AS89" s="185"/>
    </row>
    <row r="90" spans="1:55" s="157" customFormat="1">
      <c r="A90" s="185"/>
      <c r="C90" s="645"/>
      <c r="D90" s="612"/>
      <c r="E90" s="612"/>
      <c r="F90" s="612"/>
      <c r="G90" s="612"/>
      <c r="H90" s="612"/>
      <c r="I90" s="612"/>
      <c r="J90" s="612"/>
      <c r="K90" s="612"/>
      <c r="L90" s="612"/>
      <c r="M90" s="612"/>
      <c r="N90" s="612"/>
      <c r="O90" s="612"/>
      <c r="P90" s="612"/>
      <c r="Q90" s="612"/>
      <c r="R90" s="612"/>
      <c r="S90" s="612"/>
      <c r="T90" s="612"/>
      <c r="U90" s="612"/>
      <c r="V90" s="609"/>
      <c r="AA90" s="643"/>
      <c r="AB90" s="643"/>
      <c r="AH90" s="644"/>
      <c r="AI90" s="185"/>
      <c r="AJ90" s="185"/>
      <c r="AK90" s="185"/>
      <c r="AL90" s="185"/>
      <c r="AM90" s="185"/>
      <c r="AN90" s="185"/>
      <c r="AO90" s="185"/>
      <c r="AP90" s="185"/>
      <c r="AQ90" s="185"/>
      <c r="AR90" s="185"/>
      <c r="AS90" s="185"/>
    </row>
    <row r="91" spans="1:55" s="157" customFormat="1">
      <c r="A91" s="185"/>
      <c r="C91" s="645"/>
      <c r="D91" s="612"/>
      <c r="E91" s="612"/>
      <c r="F91" s="612"/>
      <c r="G91" s="612"/>
      <c r="H91" s="612"/>
      <c r="I91" s="612"/>
      <c r="J91" s="612"/>
      <c r="K91" s="612"/>
      <c r="L91" s="612"/>
      <c r="M91" s="612"/>
      <c r="N91" s="612"/>
      <c r="O91" s="612"/>
      <c r="P91" s="612"/>
      <c r="Q91" s="612"/>
      <c r="R91" s="612"/>
      <c r="S91" s="612"/>
      <c r="T91" s="612"/>
      <c r="U91" s="612"/>
      <c r="V91" s="609"/>
      <c r="AA91" s="643"/>
      <c r="AB91" s="643"/>
      <c r="AH91" s="644"/>
      <c r="AI91" s="185"/>
      <c r="AJ91" s="185"/>
      <c r="AK91" s="185"/>
      <c r="AL91" s="185"/>
      <c r="AM91" s="185"/>
      <c r="AN91" s="185"/>
      <c r="AO91" s="185"/>
      <c r="AP91" s="185"/>
      <c r="AQ91" s="185"/>
      <c r="AR91" s="185"/>
      <c r="AS91" s="185"/>
    </row>
    <row r="92" spans="1:55" s="157" customFormat="1">
      <c r="A92" s="185"/>
      <c r="C92" s="645"/>
      <c r="D92" s="612"/>
      <c r="E92" s="612"/>
      <c r="F92" s="612"/>
      <c r="G92" s="612"/>
      <c r="H92" s="612"/>
      <c r="I92" s="612"/>
      <c r="J92" s="612"/>
      <c r="K92" s="612"/>
      <c r="L92" s="612"/>
      <c r="M92" s="612"/>
      <c r="N92" s="612"/>
      <c r="O92" s="612"/>
      <c r="P92" s="612"/>
      <c r="Q92" s="612"/>
      <c r="R92" s="612"/>
      <c r="S92" s="612"/>
      <c r="T92" s="612"/>
      <c r="U92" s="612"/>
      <c r="V92" s="609"/>
      <c r="AA92" s="643"/>
      <c r="AB92" s="643"/>
      <c r="AH92" s="644"/>
    </row>
    <row r="93" spans="1:55" s="157" customFormat="1">
      <c r="A93" s="185"/>
      <c r="C93" s="645"/>
      <c r="D93" s="612"/>
      <c r="E93" s="612"/>
      <c r="F93" s="612"/>
      <c r="G93" s="612"/>
      <c r="H93" s="612"/>
      <c r="I93" s="612"/>
      <c r="J93" s="612"/>
      <c r="K93" s="612"/>
      <c r="L93" s="612"/>
      <c r="M93" s="612"/>
      <c r="N93" s="612"/>
      <c r="O93" s="612"/>
      <c r="P93" s="612"/>
      <c r="Q93" s="612"/>
      <c r="R93" s="612"/>
      <c r="S93" s="612"/>
      <c r="T93" s="612"/>
      <c r="U93" s="612"/>
      <c r="V93" s="609"/>
      <c r="AA93" s="643"/>
      <c r="AB93" s="643"/>
      <c r="AH93" s="644"/>
    </row>
    <row r="94" spans="1:55" s="157" customFormat="1">
      <c r="A94" s="185"/>
      <c r="C94" s="645"/>
      <c r="D94" s="612"/>
      <c r="E94" s="612"/>
      <c r="F94" s="612"/>
      <c r="G94" s="612"/>
      <c r="H94" s="612"/>
      <c r="I94" s="612"/>
      <c r="J94" s="612"/>
      <c r="K94" s="612"/>
      <c r="L94" s="612"/>
      <c r="M94" s="612"/>
      <c r="N94" s="612"/>
      <c r="O94" s="612"/>
      <c r="P94" s="612"/>
      <c r="Q94" s="612"/>
      <c r="R94" s="612"/>
      <c r="S94" s="612"/>
      <c r="T94" s="612"/>
      <c r="U94" s="612"/>
      <c r="V94" s="609"/>
      <c r="AA94" s="643"/>
      <c r="AB94" s="643"/>
      <c r="AH94" s="644"/>
    </row>
    <row r="95" spans="1:55" s="157" customFormat="1">
      <c r="A95" s="185"/>
      <c r="C95" s="604"/>
      <c r="D95" s="608"/>
      <c r="E95" s="608"/>
      <c r="F95" s="608"/>
      <c r="G95" s="608"/>
      <c r="H95" s="608"/>
      <c r="I95" s="608"/>
      <c r="J95" s="608"/>
      <c r="K95" s="608"/>
      <c r="L95" s="608"/>
      <c r="M95" s="608"/>
      <c r="N95" s="608"/>
      <c r="O95" s="608"/>
      <c r="P95" s="608"/>
      <c r="Q95" s="608"/>
      <c r="R95" s="608"/>
      <c r="S95" s="608"/>
      <c r="T95" s="608"/>
      <c r="U95" s="608"/>
      <c r="V95" s="609"/>
      <c r="AA95" s="643"/>
      <c r="AB95" s="643"/>
      <c r="AH95" s="644"/>
    </row>
    <row r="96" spans="1:55" s="157" customFormat="1">
      <c r="A96" s="185"/>
      <c r="C96" s="604"/>
      <c r="D96" s="608"/>
      <c r="E96" s="608"/>
      <c r="F96" s="608"/>
      <c r="G96" s="608"/>
      <c r="H96" s="608"/>
      <c r="I96" s="608"/>
      <c r="J96" s="608"/>
      <c r="K96" s="608"/>
      <c r="L96" s="608"/>
      <c r="M96" s="608"/>
      <c r="N96" s="608"/>
      <c r="O96" s="608"/>
      <c r="P96" s="608"/>
      <c r="Q96" s="608"/>
      <c r="R96" s="608"/>
      <c r="S96" s="608"/>
      <c r="T96" s="608"/>
      <c r="U96" s="608"/>
      <c r="V96" s="609"/>
      <c r="AA96" s="643"/>
      <c r="AB96" s="643"/>
      <c r="AH96" s="644"/>
    </row>
    <row r="97" spans="1:34" s="157" customFormat="1">
      <c r="A97" s="185"/>
      <c r="C97" s="604"/>
      <c r="D97" s="608"/>
      <c r="E97" s="608"/>
      <c r="F97" s="608"/>
      <c r="G97" s="608"/>
      <c r="H97" s="608"/>
      <c r="I97" s="608"/>
      <c r="J97" s="608"/>
      <c r="K97" s="608"/>
      <c r="L97" s="608"/>
      <c r="M97" s="608"/>
      <c r="N97" s="608"/>
      <c r="O97" s="608"/>
      <c r="P97" s="608"/>
      <c r="Q97" s="608"/>
      <c r="R97" s="608"/>
      <c r="S97" s="608"/>
      <c r="T97" s="608"/>
      <c r="U97" s="608"/>
      <c r="V97" s="609"/>
      <c r="AA97" s="643"/>
      <c r="AB97" s="643"/>
      <c r="AH97" s="644"/>
    </row>
    <row r="98" spans="1:34" s="157" customFormat="1">
      <c r="A98" s="185"/>
      <c r="C98" s="604"/>
      <c r="D98" s="608"/>
      <c r="E98" s="608"/>
      <c r="F98" s="608"/>
      <c r="G98" s="608"/>
      <c r="H98" s="608"/>
      <c r="I98" s="608"/>
      <c r="J98" s="608"/>
      <c r="K98" s="608"/>
      <c r="L98" s="608"/>
      <c r="M98" s="608"/>
      <c r="N98" s="608"/>
      <c r="O98" s="608"/>
      <c r="P98" s="608"/>
      <c r="Q98" s="608"/>
      <c r="R98" s="608"/>
      <c r="S98" s="608"/>
      <c r="T98" s="608"/>
      <c r="U98" s="608"/>
      <c r="V98" s="609"/>
      <c r="AA98" s="643"/>
      <c r="AB98" s="643"/>
      <c r="AH98" s="644"/>
    </row>
    <row r="99" spans="1:34" s="157" customFormat="1">
      <c r="A99" s="185"/>
      <c r="C99" s="604"/>
      <c r="D99" s="608"/>
      <c r="E99" s="608"/>
      <c r="F99" s="608"/>
      <c r="G99" s="608"/>
      <c r="H99" s="608"/>
      <c r="I99" s="608"/>
      <c r="J99" s="608"/>
      <c r="K99" s="608"/>
      <c r="L99" s="608"/>
      <c r="M99" s="608"/>
      <c r="N99" s="608"/>
      <c r="O99" s="608"/>
      <c r="P99" s="608"/>
      <c r="Q99" s="608"/>
      <c r="R99" s="608"/>
      <c r="S99" s="608"/>
      <c r="T99" s="608"/>
      <c r="U99" s="608"/>
      <c r="V99" s="609"/>
      <c r="AA99" s="643"/>
      <c r="AB99" s="643"/>
      <c r="AH99" s="644"/>
    </row>
    <row r="100" spans="1:34" s="157" customFormat="1">
      <c r="A100" s="185"/>
      <c r="C100" s="604"/>
      <c r="D100" s="608"/>
      <c r="E100" s="608"/>
      <c r="F100" s="608"/>
      <c r="G100" s="608"/>
      <c r="H100" s="608"/>
      <c r="I100" s="608"/>
      <c r="J100" s="608"/>
      <c r="K100" s="608"/>
      <c r="L100" s="608"/>
      <c r="M100" s="608"/>
      <c r="N100" s="608"/>
      <c r="O100" s="608"/>
      <c r="P100" s="608"/>
      <c r="Q100" s="608"/>
      <c r="R100" s="608"/>
      <c r="S100" s="608"/>
      <c r="T100" s="608"/>
      <c r="U100" s="608"/>
      <c r="V100" s="609"/>
      <c r="AA100" s="643"/>
      <c r="AB100" s="643"/>
      <c r="AH100" s="644"/>
    </row>
    <row r="101" spans="1:34" s="157" customFormat="1">
      <c r="A101" s="185"/>
      <c r="C101" s="604"/>
      <c r="D101" s="608"/>
      <c r="E101" s="608"/>
      <c r="F101" s="608"/>
      <c r="G101" s="608"/>
      <c r="H101" s="608"/>
      <c r="I101" s="608"/>
      <c r="J101" s="608"/>
      <c r="K101" s="608"/>
      <c r="L101" s="608"/>
      <c r="M101" s="608"/>
      <c r="N101" s="608"/>
      <c r="O101" s="608"/>
      <c r="P101" s="608"/>
      <c r="Q101" s="608"/>
      <c r="R101" s="608"/>
      <c r="S101" s="608"/>
      <c r="T101" s="608"/>
      <c r="U101" s="608"/>
      <c r="V101" s="609"/>
      <c r="AA101" s="643"/>
      <c r="AB101" s="643"/>
      <c r="AH101" s="644"/>
    </row>
    <row r="102" spans="1:34" s="157" customFormat="1">
      <c r="A102" s="185"/>
      <c r="C102" s="604"/>
      <c r="D102" s="608"/>
      <c r="E102" s="608"/>
      <c r="F102" s="608"/>
      <c r="G102" s="608"/>
      <c r="H102" s="608"/>
      <c r="I102" s="608"/>
      <c r="J102" s="608"/>
      <c r="K102" s="608"/>
      <c r="L102" s="608"/>
      <c r="M102" s="608"/>
      <c r="N102" s="608"/>
      <c r="O102" s="608"/>
      <c r="P102" s="608"/>
      <c r="Q102" s="608"/>
      <c r="R102" s="608"/>
      <c r="S102" s="608"/>
      <c r="T102" s="608"/>
      <c r="U102" s="608"/>
      <c r="V102" s="609"/>
      <c r="AA102" s="643"/>
      <c r="AB102" s="643"/>
      <c r="AH102" s="644"/>
    </row>
    <row r="103" spans="1:34" s="157" customFormat="1">
      <c r="A103" s="185"/>
      <c r="C103" s="604"/>
      <c r="D103" s="608"/>
      <c r="E103" s="608"/>
      <c r="F103" s="608"/>
      <c r="G103" s="608"/>
      <c r="H103" s="608"/>
      <c r="I103" s="608"/>
      <c r="J103" s="608"/>
      <c r="K103" s="608"/>
      <c r="L103" s="608"/>
      <c r="M103" s="608"/>
      <c r="N103" s="608"/>
      <c r="O103" s="608"/>
      <c r="P103" s="608"/>
      <c r="Q103" s="608"/>
      <c r="R103" s="608"/>
      <c r="S103" s="608"/>
      <c r="T103" s="608"/>
      <c r="U103" s="608"/>
      <c r="V103" s="609"/>
      <c r="AA103" s="643"/>
      <c r="AB103" s="643"/>
      <c r="AH103" s="644"/>
    </row>
    <row r="104" spans="1:34" s="157" customFormat="1">
      <c r="A104" s="185"/>
      <c r="C104" s="604"/>
      <c r="D104" s="608"/>
      <c r="E104" s="608"/>
      <c r="F104" s="608"/>
      <c r="G104" s="608"/>
      <c r="H104" s="608"/>
      <c r="I104" s="608"/>
      <c r="J104" s="608"/>
      <c r="K104" s="608"/>
      <c r="L104" s="608"/>
      <c r="M104" s="608"/>
      <c r="N104" s="608"/>
      <c r="O104" s="608"/>
      <c r="P104" s="608"/>
      <c r="Q104" s="608"/>
      <c r="R104" s="608"/>
      <c r="S104" s="608"/>
      <c r="T104" s="608"/>
      <c r="U104" s="608"/>
      <c r="V104" s="609"/>
      <c r="AA104" s="643"/>
      <c r="AB104" s="643"/>
      <c r="AH104" s="644"/>
    </row>
    <row r="105" spans="1:34" s="157" customFormat="1">
      <c r="A105" s="185"/>
      <c r="C105" s="604"/>
      <c r="D105" s="608"/>
      <c r="E105" s="608"/>
      <c r="F105" s="608"/>
      <c r="G105" s="608"/>
      <c r="H105" s="608"/>
      <c r="I105" s="608"/>
      <c r="J105" s="608"/>
      <c r="K105" s="608"/>
      <c r="L105" s="608"/>
      <c r="M105" s="608"/>
      <c r="N105" s="608"/>
      <c r="O105" s="608"/>
      <c r="P105" s="608"/>
      <c r="Q105" s="608"/>
      <c r="R105" s="608"/>
      <c r="S105" s="608"/>
      <c r="T105" s="608"/>
      <c r="U105" s="608"/>
      <c r="V105" s="609"/>
      <c r="AA105" s="643"/>
      <c r="AB105" s="643"/>
      <c r="AH105" s="644"/>
    </row>
    <row r="106" spans="1:34" s="157" customFormat="1">
      <c r="A106" s="185"/>
      <c r="C106" s="604"/>
      <c r="D106" s="608"/>
      <c r="E106" s="608"/>
      <c r="F106" s="608"/>
      <c r="G106" s="608"/>
      <c r="H106" s="608"/>
      <c r="I106" s="608"/>
      <c r="J106" s="608"/>
      <c r="K106" s="608"/>
      <c r="L106" s="608"/>
      <c r="M106" s="608"/>
      <c r="N106" s="608"/>
      <c r="O106" s="608"/>
      <c r="P106" s="608"/>
      <c r="Q106" s="608"/>
      <c r="R106" s="608"/>
      <c r="S106" s="608"/>
      <c r="T106" s="608"/>
      <c r="U106" s="608"/>
      <c r="V106" s="609"/>
      <c r="AA106" s="643"/>
      <c r="AB106" s="643"/>
      <c r="AH106" s="644"/>
    </row>
    <row r="107" spans="1:34" s="157" customFormat="1">
      <c r="A107" s="185"/>
      <c r="C107" s="604"/>
      <c r="D107" s="608"/>
      <c r="E107" s="608"/>
      <c r="F107" s="608"/>
      <c r="G107" s="608"/>
      <c r="H107" s="608"/>
      <c r="I107" s="608"/>
      <c r="J107" s="608"/>
      <c r="K107" s="608"/>
      <c r="L107" s="608"/>
      <c r="M107" s="608"/>
      <c r="N107" s="608"/>
      <c r="O107" s="608"/>
      <c r="P107" s="608"/>
      <c r="Q107" s="608"/>
      <c r="R107" s="608"/>
      <c r="S107" s="608"/>
      <c r="T107" s="608"/>
      <c r="U107" s="608"/>
      <c r="V107" s="609"/>
      <c r="AA107" s="643"/>
      <c r="AB107" s="643"/>
      <c r="AH107" s="644"/>
    </row>
    <row r="108" spans="1:34" s="157" customFormat="1">
      <c r="A108" s="185"/>
      <c r="C108" s="604"/>
      <c r="D108" s="608"/>
      <c r="E108" s="608"/>
      <c r="F108" s="608"/>
      <c r="G108" s="608"/>
      <c r="H108" s="608"/>
      <c r="I108" s="608"/>
      <c r="J108" s="608"/>
      <c r="K108" s="608"/>
      <c r="L108" s="608"/>
      <c r="M108" s="608"/>
      <c r="N108" s="608"/>
      <c r="O108" s="608"/>
      <c r="P108" s="608"/>
      <c r="Q108" s="608"/>
      <c r="R108" s="608"/>
      <c r="S108" s="608"/>
      <c r="T108" s="608"/>
      <c r="U108" s="608"/>
      <c r="V108" s="609"/>
      <c r="AA108" s="643"/>
      <c r="AB108" s="643"/>
      <c r="AH108" s="644"/>
    </row>
    <row r="109" spans="1:34" s="157" customFormat="1">
      <c r="A109" s="185"/>
      <c r="C109" s="604"/>
      <c r="D109" s="608"/>
      <c r="E109" s="608"/>
      <c r="F109" s="608"/>
      <c r="G109" s="608"/>
      <c r="H109" s="608"/>
      <c r="I109" s="608"/>
      <c r="J109" s="608"/>
      <c r="K109" s="608"/>
      <c r="L109" s="608"/>
      <c r="M109" s="608"/>
      <c r="N109" s="608"/>
      <c r="O109" s="608"/>
      <c r="P109" s="608"/>
      <c r="Q109" s="608"/>
      <c r="R109" s="608"/>
      <c r="S109" s="608"/>
      <c r="T109" s="608"/>
      <c r="U109" s="608"/>
      <c r="V109" s="609"/>
      <c r="AA109" s="643"/>
      <c r="AB109" s="643"/>
      <c r="AH109" s="644"/>
    </row>
    <row r="110" spans="1:34">
      <c r="C110" s="604"/>
      <c r="D110" s="608"/>
      <c r="E110" s="608"/>
      <c r="F110" s="608"/>
      <c r="G110" s="608"/>
      <c r="H110" s="608"/>
      <c r="I110" s="608"/>
      <c r="J110" s="608"/>
      <c r="K110" s="608"/>
      <c r="L110" s="608"/>
      <c r="M110" s="608"/>
      <c r="N110" s="608"/>
      <c r="O110" s="608"/>
      <c r="P110" s="608"/>
      <c r="Q110" s="608"/>
      <c r="R110" s="608"/>
      <c r="S110" s="608"/>
      <c r="T110" s="608"/>
      <c r="U110" s="608"/>
      <c r="V110" s="609"/>
    </row>
    <row r="111" spans="1:34">
      <c r="C111" s="604"/>
      <c r="D111" s="608"/>
      <c r="E111" s="608"/>
      <c r="F111" s="608"/>
      <c r="G111" s="608"/>
      <c r="H111" s="608"/>
      <c r="I111" s="608"/>
      <c r="J111" s="608"/>
      <c r="K111" s="608"/>
      <c r="L111" s="608"/>
      <c r="M111" s="608"/>
      <c r="N111" s="608"/>
      <c r="O111" s="608"/>
      <c r="P111" s="608"/>
      <c r="Q111" s="608"/>
      <c r="R111" s="608"/>
      <c r="S111" s="608"/>
      <c r="T111" s="608"/>
      <c r="U111" s="608"/>
      <c r="V111" s="609"/>
    </row>
    <row r="112" spans="1:34">
      <c r="C112" s="604"/>
      <c r="D112" s="608"/>
      <c r="E112" s="608"/>
      <c r="F112" s="608"/>
      <c r="G112" s="608"/>
      <c r="H112" s="608"/>
      <c r="I112" s="608"/>
      <c r="J112" s="608"/>
      <c r="K112" s="608"/>
      <c r="L112" s="608"/>
      <c r="M112" s="608"/>
      <c r="N112" s="608"/>
      <c r="O112" s="608"/>
      <c r="P112" s="608"/>
      <c r="Q112" s="608"/>
      <c r="R112" s="608"/>
      <c r="S112" s="608"/>
      <c r="T112" s="608"/>
      <c r="U112" s="608"/>
      <c r="V112" s="609"/>
    </row>
    <row r="113" spans="3:22">
      <c r="C113" s="604"/>
      <c r="D113" s="608"/>
      <c r="E113" s="608"/>
      <c r="F113" s="608"/>
      <c r="G113" s="608"/>
      <c r="H113" s="608"/>
      <c r="I113" s="608"/>
      <c r="J113" s="608"/>
      <c r="K113" s="608"/>
      <c r="L113" s="608"/>
      <c r="M113" s="608"/>
      <c r="N113" s="608"/>
      <c r="O113" s="608"/>
      <c r="P113" s="608"/>
      <c r="Q113" s="608"/>
      <c r="R113" s="608"/>
      <c r="S113" s="608"/>
      <c r="T113" s="608"/>
      <c r="U113" s="608"/>
      <c r="V113" s="609"/>
    </row>
    <row r="114" spans="3:22">
      <c r="C114" s="604"/>
      <c r="D114" s="608"/>
      <c r="E114" s="608"/>
      <c r="F114" s="608"/>
      <c r="G114" s="608"/>
      <c r="H114" s="608"/>
      <c r="I114" s="608"/>
      <c r="J114" s="608"/>
      <c r="K114" s="608"/>
      <c r="L114" s="608"/>
      <c r="M114" s="608"/>
      <c r="N114" s="608"/>
      <c r="O114" s="608"/>
      <c r="P114" s="608"/>
      <c r="Q114" s="608"/>
      <c r="R114" s="608"/>
      <c r="S114" s="608"/>
      <c r="T114" s="608"/>
      <c r="U114" s="608"/>
      <c r="V114" s="609"/>
    </row>
    <row r="115" spans="3:22">
      <c r="C115" s="604"/>
      <c r="D115" s="608"/>
      <c r="E115" s="608"/>
      <c r="F115" s="608"/>
      <c r="G115" s="608"/>
      <c r="H115" s="608"/>
      <c r="I115" s="608"/>
      <c r="J115" s="608"/>
      <c r="K115" s="608"/>
      <c r="L115" s="608"/>
      <c r="M115" s="608"/>
      <c r="N115" s="608"/>
      <c r="O115" s="608"/>
      <c r="P115" s="608"/>
      <c r="Q115" s="608"/>
      <c r="R115" s="608"/>
      <c r="S115" s="608"/>
      <c r="T115" s="608"/>
      <c r="U115" s="608"/>
      <c r="V115" s="609"/>
    </row>
    <row r="116" spans="3:22">
      <c r="C116" s="604"/>
      <c r="D116" s="608"/>
      <c r="E116" s="608"/>
      <c r="F116" s="608"/>
      <c r="G116" s="608"/>
      <c r="H116" s="608"/>
      <c r="I116" s="608"/>
      <c r="J116" s="608"/>
      <c r="K116" s="608"/>
      <c r="L116" s="608"/>
      <c r="M116" s="608"/>
      <c r="N116" s="608"/>
      <c r="O116" s="608"/>
      <c r="P116" s="608"/>
      <c r="Q116" s="608"/>
      <c r="R116" s="608"/>
      <c r="S116" s="608"/>
      <c r="T116" s="608"/>
      <c r="U116" s="608"/>
      <c r="V116" s="609"/>
    </row>
    <row r="117" spans="3:22">
      <c r="C117" s="604"/>
      <c r="D117" s="608"/>
      <c r="E117" s="608"/>
      <c r="F117" s="608"/>
      <c r="G117" s="608"/>
      <c r="H117" s="608"/>
      <c r="I117" s="608"/>
      <c r="J117" s="608"/>
      <c r="K117" s="608"/>
      <c r="L117" s="608"/>
      <c r="M117" s="608"/>
      <c r="N117" s="608"/>
      <c r="O117" s="608"/>
      <c r="P117" s="608"/>
      <c r="Q117" s="608"/>
      <c r="R117" s="608"/>
      <c r="S117" s="608"/>
      <c r="T117" s="608"/>
      <c r="U117" s="608"/>
      <c r="V117" s="609"/>
    </row>
    <row r="118" spans="3:22">
      <c r="C118" s="604"/>
      <c r="D118" s="608"/>
      <c r="E118" s="608"/>
      <c r="F118" s="608"/>
      <c r="G118" s="608"/>
      <c r="H118" s="608"/>
      <c r="I118" s="608"/>
      <c r="J118" s="608"/>
      <c r="K118" s="608"/>
      <c r="L118" s="608"/>
      <c r="M118" s="608"/>
      <c r="N118" s="608"/>
      <c r="O118" s="608"/>
      <c r="P118" s="608"/>
      <c r="Q118" s="608"/>
      <c r="R118" s="608"/>
      <c r="S118" s="608"/>
      <c r="T118" s="608"/>
      <c r="U118" s="608"/>
      <c r="V118" s="609"/>
    </row>
    <row r="119" spans="3:22">
      <c r="C119" s="604"/>
      <c r="D119" s="608"/>
      <c r="E119" s="608"/>
      <c r="F119" s="608"/>
      <c r="G119" s="608"/>
      <c r="H119" s="608"/>
      <c r="I119" s="608"/>
      <c r="J119" s="608"/>
      <c r="K119" s="608"/>
      <c r="L119" s="608"/>
      <c r="M119" s="608"/>
      <c r="N119" s="608"/>
      <c r="O119" s="608"/>
      <c r="P119" s="608"/>
      <c r="Q119" s="608"/>
      <c r="R119" s="608"/>
      <c r="S119" s="608"/>
      <c r="T119" s="608"/>
      <c r="U119" s="608"/>
      <c r="V119" s="609"/>
    </row>
    <row r="120" spans="3:22">
      <c r="C120" s="604"/>
      <c r="D120" s="608"/>
      <c r="E120" s="608"/>
      <c r="F120" s="608"/>
      <c r="G120" s="608"/>
      <c r="H120" s="608"/>
      <c r="I120" s="608"/>
      <c r="J120" s="608"/>
      <c r="K120" s="608"/>
      <c r="L120" s="608"/>
      <c r="M120" s="608"/>
      <c r="N120" s="608"/>
      <c r="O120" s="608"/>
      <c r="P120" s="608"/>
      <c r="Q120" s="608"/>
      <c r="R120" s="608"/>
      <c r="S120" s="608"/>
      <c r="T120" s="608"/>
      <c r="U120" s="608"/>
      <c r="V120" s="609"/>
    </row>
    <row r="121" spans="3:22">
      <c r="C121" s="604"/>
      <c r="D121" s="608"/>
      <c r="E121" s="608"/>
      <c r="F121" s="608"/>
      <c r="G121" s="608"/>
      <c r="H121" s="608"/>
      <c r="I121" s="608"/>
      <c r="J121" s="608"/>
      <c r="K121" s="608"/>
      <c r="L121" s="608"/>
      <c r="M121" s="608"/>
      <c r="N121" s="608"/>
      <c r="O121" s="608"/>
      <c r="P121" s="608"/>
      <c r="Q121" s="608"/>
      <c r="R121" s="608"/>
      <c r="S121" s="608"/>
      <c r="T121" s="608"/>
      <c r="U121" s="608"/>
      <c r="V121" s="609"/>
    </row>
    <row r="122" spans="3:22">
      <c r="C122" s="604"/>
      <c r="D122" s="608"/>
      <c r="E122" s="608"/>
      <c r="F122" s="608"/>
      <c r="G122" s="608"/>
      <c r="H122" s="608"/>
      <c r="I122" s="608"/>
      <c r="J122" s="608"/>
      <c r="K122" s="608"/>
      <c r="L122" s="608"/>
      <c r="M122" s="608"/>
      <c r="N122" s="608"/>
      <c r="O122" s="608"/>
      <c r="P122" s="608"/>
      <c r="Q122" s="608"/>
      <c r="R122" s="608"/>
      <c r="S122" s="608"/>
      <c r="T122" s="608"/>
      <c r="U122" s="608"/>
      <c r="V122" s="609"/>
    </row>
    <row r="123" spans="3:22">
      <c r="C123" s="604"/>
      <c r="D123" s="608"/>
      <c r="E123" s="608"/>
      <c r="F123" s="608"/>
      <c r="G123" s="608"/>
      <c r="H123" s="608"/>
      <c r="I123" s="608"/>
      <c r="J123" s="608"/>
      <c r="K123" s="608"/>
      <c r="L123" s="608"/>
      <c r="M123" s="608"/>
      <c r="N123" s="608"/>
      <c r="O123" s="608"/>
      <c r="P123" s="608"/>
      <c r="Q123" s="608"/>
      <c r="R123" s="608"/>
      <c r="S123" s="608"/>
      <c r="T123" s="608"/>
      <c r="U123" s="608"/>
      <c r="V123" s="609"/>
    </row>
    <row r="124" spans="3:22">
      <c r="C124" s="604"/>
      <c r="D124" s="608"/>
      <c r="E124" s="608"/>
      <c r="F124" s="608"/>
      <c r="G124" s="608"/>
      <c r="H124" s="608"/>
      <c r="I124" s="608"/>
      <c r="J124" s="608"/>
      <c r="K124" s="608"/>
      <c r="L124" s="608"/>
      <c r="M124" s="608"/>
      <c r="N124" s="608"/>
      <c r="O124" s="608"/>
      <c r="P124" s="608"/>
      <c r="Q124" s="608"/>
      <c r="R124" s="608"/>
      <c r="S124" s="608"/>
      <c r="T124" s="608"/>
      <c r="U124" s="608"/>
      <c r="V124" s="609"/>
    </row>
    <row r="125" spans="3:22">
      <c r="C125" s="604"/>
      <c r="D125" s="608"/>
      <c r="E125" s="608"/>
      <c r="F125" s="608"/>
      <c r="G125" s="608"/>
      <c r="H125" s="608"/>
      <c r="I125" s="608"/>
      <c r="J125" s="608"/>
      <c r="K125" s="608"/>
      <c r="L125" s="608"/>
      <c r="M125" s="608"/>
      <c r="N125" s="608"/>
      <c r="O125" s="608"/>
      <c r="P125" s="608"/>
      <c r="Q125" s="608"/>
      <c r="R125" s="608"/>
      <c r="S125" s="608"/>
      <c r="T125" s="608"/>
      <c r="U125" s="608"/>
      <c r="V125" s="609"/>
    </row>
    <row r="126" spans="3:22">
      <c r="C126" s="604"/>
      <c r="D126" s="608"/>
      <c r="E126" s="608"/>
      <c r="F126" s="608"/>
      <c r="G126" s="608"/>
      <c r="H126" s="608"/>
      <c r="I126" s="608"/>
      <c r="J126" s="608"/>
      <c r="K126" s="608"/>
      <c r="L126" s="608"/>
      <c r="M126" s="608"/>
      <c r="N126" s="608"/>
      <c r="O126" s="608"/>
      <c r="P126" s="608"/>
      <c r="Q126" s="608"/>
      <c r="R126" s="608"/>
      <c r="S126" s="608"/>
      <c r="T126" s="608"/>
      <c r="U126" s="608"/>
      <c r="V126" s="609"/>
    </row>
    <row r="127" spans="3:22">
      <c r="C127" s="604"/>
      <c r="D127" s="608"/>
      <c r="E127" s="608"/>
      <c r="F127" s="608"/>
      <c r="G127" s="608"/>
      <c r="H127" s="608"/>
      <c r="I127" s="608"/>
      <c r="J127" s="608"/>
      <c r="K127" s="608"/>
      <c r="L127" s="608"/>
      <c r="M127" s="608"/>
      <c r="N127" s="608"/>
      <c r="O127" s="608"/>
      <c r="P127" s="608"/>
      <c r="Q127" s="608"/>
      <c r="R127" s="608"/>
      <c r="S127" s="608"/>
      <c r="T127" s="608"/>
      <c r="U127" s="608"/>
      <c r="V127" s="609"/>
    </row>
    <row r="128" spans="3:22">
      <c r="C128" s="604"/>
      <c r="D128" s="608"/>
      <c r="E128" s="608"/>
      <c r="F128" s="608"/>
      <c r="G128" s="608"/>
      <c r="H128" s="608"/>
      <c r="I128" s="608"/>
      <c r="J128" s="608"/>
      <c r="K128" s="608"/>
      <c r="L128" s="608"/>
      <c r="M128" s="608"/>
      <c r="N128" s="608"/>
      <c r="O128" s="608"/>
      <c r="P128" s="608"/>
      <c r="Q128" s="608"/>
      <c r="R128" s="608"/>
      <c r="S128" s="608"/>
      <c r="T128" s="608"/>
      <c r="U128" s="608"/>
      <c r="V128" s="609"/>
    </row>
    <row r="129" spans="3:22">
      <c r="C129" s="604"/>
      <c r="D129" s="608"/>
      <c r="E129" s="608"/>
      <c r="F129" s="608"/>
      <c r="G129" s="608"/>
      <c r="H129" s="608"/>
      <c r="I129" s="608"/>
      <c r="J129" s="608"/>
      <c r="K129" s="608"/>
      <c r="L129" s="608"/>
      <c r="M129" s="608"/>
      <c r="N129" s="608"/>
      <c r="O129" s="608"/>
      <c r="P129" s="608"/>
      <c r="Q129" s="608"/>
      <c r="R129" s="608"/>
      <c r="S129" s="608"/>
      <c r="T129" s="608"/>
      <c r="U129" s="608"/>
      <c r="V129" s="609"/>
    </row>
    <row r="130" spans="3:22">
      <c r="C130" s="604"/>
      <c r="D130" s="608"/>
      <c r="E130" s="608"/>
      <c r="F130" s="608"/>
      <c r="G130" s="608"/>
      <c r="H130" s="608"/>
      <c r="I130" s="608"/>
      <c r="J130" s="608"/>
      <c r="K130" s="608"/>
      <c r="L130" s="608"/>
      <c r="M130" s="608"/>
      <c r="N130" s="608"/>
      <c r="O130" s="608"/>
      <c r="P130" s="608"/>
      <c r="Q130" s="608"/>
      <c r="R130" s="608"/>
      <c r="S130" s="608"/>
      <c r="T130" s="608"/>
      <c r="U130" s="608"/>
      <c r="V130" s="609"/>
    </row>
    <row r="131" spans="3:22">
      <c r="C131" s="604"/>
      <c r="D131" s="608"/>
      <c r="E131" s="608"/>
      <c r="F131" s="608"/>
      <c r="G131" s="608"/>
      <c r="H131" s="608"/>
      <c r="I131" s="608"/>
      <c r="J131" s="608"/>
      <c r="K131" s="608"/>
      <c r="L131" s="608"/>
      <c r="M131" s="608"/>
      <c r="N131" s="608"/>
      <c r="O131" s="608"/>
      <c r="P131" s="608"/>
      <c r="Q131" s="608"/>
      <c r="R131" s="608"/>
      <c r="S131" s="608"/>
      <c r="T131" s="608"/>
      <c r="U131" s="608"/>
      <c r="V131" s="609"/>
    </row>
    <row r="132" spans="3:22">
      <c r="C132" s="604"/>
      <c r="D132" s="608"/>
      <c r="E132" s="608"/>
      <c r="F132" s="608"/>
      <c r="G132" s="608"/>
      <c r="H132" s="608"/>
      <c r="I132" s="608"/>
      <c r="J132" s="608"/>
      <c r="K132" s="608"/>
      <c r="L132" s="608"/>
      <c r="M132" s="608"/>
      <c r="N132" s="608"/>
      <c r="O132" s="608"/>
      <c r="P132" s="608"/>
      <c r="Q132" s="608"/>
      <c r="R132" s="608"/>
      <c r="S132" s="608"/>
      <c r="T132" s="608"/>
      <c r="U132" s="608"/>
      <c r="V132" s="609"/>
    </row>
    <row r="133" spans="3:22">
      <c r="C133" s="604"/>
      <c r="D133" s="608"/>
      <c r="E133" s="608"/>
      <c r="F133" s="608"/>
      <c r="G133" s="608"/>
      <c r="H133" s="608"/>
      <c r="I133" s="608"/>
      <c r="J133" s="608"/>
      <c r="K133" s="608"/>
      <c r="L133" s="608"/>
      <c r="M133" s="608"/>
      <c r="N133" s="608"/>
      <c r="O133" s="608"/>
      <c r="P133" s="608"/>
      <c r="Q133" s="608"/>
      <c r="R133" s="608"/>
      <c r="S133" s="608"/>
      <c r="T133" s="608"/>
      <c r="U133" s="608"/>
      <c r="V133" s="609"/>
    </row>
    <row r="134" spans="3:22">
      <c r="C134" s="604"/>
      <c r="D134" s="608"/>
      <c r="E134" s="608"/>
      <c r="F134" s="608"/>
      <c r="G134" s="608"/>
      <c r="H134" s="608"/>
      <c r="I134" s="608"/>
      <c r="J134" s="608"/>
      <c r="K134" s="608"/>
      <c r="L134" s="608"/>
      <c r="M134" s="608"/>
      <c r="N134" s="608"/>
      <c r="O134" s="608"/>
      <c r="P134" s="608"/>
      <c r="Q134" s="608"/>
      <c r="R134" s="608"/>
      <c r="S134" s="608"/>
      <c r="T134" s="608"/>
      <c r="U134" s="608"/>
      <c r="V134" s="609"/>
    </row>
    <row r="135" spans="3:22">
      <c r="C135" s="604"/>
      <c r="D135" s="608"/>
      <c r="E135" s="608"/>
      <c r="F135" s="608"/>
      <c r="G135" s="608"/>
      <c r="H135" s="608"/>
      <c r="I135" s="608"/>
      <c r="J135" s="608"/>
      <c r="K135" s="608"/>
      <c r="L135" s="608"/>
      <c r="M135" s="608"/>
      <c r="N135" s="608"/>
      <c r="O135" s="608"/>
      <c r="P135" s="608"/>
      <c r="Q135" s="608"/>
      <c r="R135" s="608"/>
      <c r="S135" s="608"/>
      <c r="T135" s="608"/>
      <c r="U135" s="608"/>
      <c r="V135" s="609"/>
    </row>
    <row r="136" spans="3:22">
      <c r="C136" s="604"/>
      <c r="D136" s="608"/>
      <c r="E136" s="608"/>
      <c r="F136" s="608"/>
      <c r="G136" s="608"/>
      <c r="H136" s="608"/>
      <c r="I136" s="608"/>
      <c r="J136" s="608"/>
      <c r="K136" s="608"/>
      <c r="L136" s="608"/>
      <c r="M136" s="608"/>
      <c r="N136" s="608"/>
      <c r="O136" s="608"/>
      <c r="P136" s="608"/>
      <c r="Q136" s="608"/>
      <c r="R136" s="608"/>
      <c r="S136" s="608"/>
      <c r="T136" s="608"/>
      <c r="U136" s="608"/>
      <c r="V136" s="609"/>
    </row>
    <row r="137" spans="3:22">
      <c r="C137" s="604"/>
      <c r="D137" s="608"/>
      <c r="E137" s="608"/>
      <c r="F137" s="608"/>
      <c r="G137" s="608"/>
      <c r="H137" s="608"/>
      <c r="I137" s="608"/>
      <c r="J137" s="608"/>
      <c r="K137" s="608"/>
      <c r="L137" s="608"/>
      <c r="M137" s="608"/>
      <c r="N137" s="608"/>
      <c r="O137" s="608"/>
      <c r="P137" s="608"/>
      <c r="Q137" s="608"/>
      <c r="R137" s="608"/>
      <c r="S137" s="608"/>
      <c r="T137" s="608"/>
      <c r="U137" s="608"/>
      <c r="V137" s="609"/>
    </row>
    <row r="138" spans="3:22">
      <c r="C138" s="604"/>
      <c r="D138" s="608"/>
      <c r="E138" s="608"/>
      <c r="F138" s="608"/>
      <c r="G138" s="608"/>
      <c r="H138" s="608"/>
      <c r="I138" s="608"/>
      <c r="J138" s="608"/>
      <c r="K138" s="608"/>
      <c r="L138" s="608"/>
      <c r="M138" s="608"/>
      <c r="N138" s="608"/>
      <c r="O138" s="608"/>
      <c r="P138" s="608"/>
      <c r="Q138" s="608"/>
      <c r="R138" s="608"/>
      <c r="S138" s="608"/>
      <c r="T138" s="608"/>
      <c r="U138" s="608"/>
      <c r="V138" s="609"/>
    </row>
    <row r="139" spans="3:22">
      <c r="C139" s="604"/>
      <c r="D139" s="608"/>
      <c r="E139" s="608"/>
      <c r="F139" s="608"/>
      <c r="G139" s="608"/>
      <c r="H139" s="608"/>
      <c r="I139" s="608"/>
      <c r="J139" s="608"/>
      <c r="K139" s="608"/>
      <c r="L139" s="608"/>
      <c r="M139" s="608"/>
      <c r="N139" s="608"/>
      <c r="O139" s="608"/>
      <c r="P139" s="608"/>
      <c r="Q139" s="608"/>
      <c r="R139" s="608"/>
      <c r="S139" s="608"/>
      <c r="T139" s="608"/>
      <c r="U139" s="608"/>
      <c r="V139" s="609"/>
    </row>
    <row r="140" spans="3:22">
      <c r="C140" s="604"/>
      <c r="D140" s="608"/>
      <c r="E140" s="608"/>
      <c r="F140" s="608"/>
      <c r="G140" s="608"/>
      <c r="H140" s="608"/>
      <c r="I140" s="608"/>
      <c r="J140" s="608"/>
      <c r="K140" s="608"/>
      <c r="L140" s="608"/>
      <c r="M140" s="608"/>
      <c r="N140" s="608"/>
      <c r="O140" s="608"/>
      <c r="P140" s="608"/>
      <c r="Q140" s="608"/>
      <c r="R140" s="608"/>
      <c r="S140" s="608"/>
      <c r="T140" s="608"/>
      <c r="U140" s="608"/>
      <c r="V140" s="609"/>
    </row>
    <row r="141" spans="3:22">
      <c r="C141" s="604"/>
      <c r="D141" s="608"/>
      <c r="E141" s="608"/>
      <c r="F141" s="608"/>
      <c r="G141" s="608"/>
      <c r="H141" s="608"/>
      <c r="I141" s="608"/>
      <c r="J141" s="608"/>
      <c r="K141" s="608"/>
      <c r="L141" s="608"/>
      <c r="M141" s="608"/>
      <c r="N141" s="608"/>
      <c r="O141" s="608"/>
      <c r="P141" s="608"/>
      <c r="Q141" s="608"/>
      <c r="R141" s="608"/>
      <c r="S141" s="608"/>
      <c r="T141" s="608"/>
      <c r="U141" s="608"/>
      <c r="V141" s="609"/>
    </row>
    <row r="142" spans="3:22">
      <c r="C142" s="604"/>
      <c r="D142" s="608"/>
      <c r="E142" s="608"/>
      <c r="F142" s="608"/>
      <c r="G142" s="608"/>
      <c r="H142" s="608"/>
      <c r="I142" s="608"/>
      <c r="J142" s="608"/>
      <c r="K142" s="608"/>
      <c r="L142" s="608"/>
      <c r="M142" s="608"/>
      <c r="N142" s="608"/>
      <c r="O142" s="608"/>
      <c r="P142" s="608"/>
      <c r="Q142" s="608"/>
      <c r="R142" s="608"/>
      <c r="S142" s="608"/>
      <c r="T142" s="608"/>
      <c r="U142" s="608"/>
      <c r="V142" s="609"/>
    </row>
    <row r="143" spans="3:22">
      <c r="C143" s="604"/>
      <c r="D143" s="608"/>
      <c r="E143" s="608"/>
      <c r="F143" s="608"/>
      <c r="G143" s="608"/>
      <c r="H143" s="608"/>
      <c r="I143" s="608"/>
      <c r="J143" s="608"/>
      <c r="K143" s="608"/>
      <c r="L143" s="608"/>
      <c r="M143" s="608"/>
      <c r="N143" s="608"/>
      <c r="O143" s="608"/>
      <c r="P143" s="608"/>
      <c r="Q143" s="608"/>
      <c r="R143" s="608"/>
      <c r="S143" s="608"/>
      <c r="T143" s="608"/>
      <c r="U143" s="608"/>
      <c r="V143" s="609"/>
    </row>
    <row r="144" spans="3:22">
      <c r="C144" s="604"/>
      <c r="D144" s="608"/>
      <c r="E144" s="608"/>
      <c r="F144" s="608"/>
      <c r="G144" s="608"/>
      <c r="H144" s="608"/>
      <c r="I144" s="608"/>
      <c r="J144" s="608"/>
      <c r="K144" s="608"/>
      <c r="L144" s="608"/>
      <c r="M144" s="608"/>
      <c r="N144" s="608"/>
      <c r="O144" s="608"/>
      <c r="P144" s="608"/>
      <c r="Q144" s="608"/>
      <c r="R144" s="608"/>
      <c r="S144" s="608"/>
      <c r="T144" s="608"/>
      <c r="U144" s="608"/>
      <c r="V144" s="609"/>
    </row>
    <row r="145" spans="3:22">
      <c r="C145" s="604"/>
      <c r="D145" s="608"/>
      <c r="E145" s="608"/>
      <c r="F145" s="608"/>
      <c r="G145" s="608"/>
      <c r="H145" s="608"/>
      <c r="I145" s="608"/>
      <c r="J145" s="608"/>
      <c r="K145" s="608"/>
      <c r="L145" s="608"/>
      <c r="M145" s="608"/>
      <c r="N145" s="608"/>
      <c r="O145" s="608"/>
      <c r="P145" s="608"/>
      <c r="Q145" s="608"/>
      <c r="R145" s="608"/>
      <c r="S145" s="608"/>
      <c r="T145" s="608"/>
      <c r="U145" s="608"/>
      <c r="V145" s="609"/>
    </row>
    <row r="146" spans="3:22">
      <c r="C146" s="604"/>
      <c r="D146" s="608"/>
      <c r="E146" s="608"/>
      <c r="F146" s="608"/>
      <c r="G146" s="608"/>
      <c r="H146" s="608"/>
      <c r="I146" s="608"/>
      <c r="J146" s="608"/>
      <c r="K146" s="608"/>
      <c r="L146" s="608"/>
      <c r="M146" s="608"/>
      <c r="N146" s="608"/>
      <c r="O146" s="608"/>
      <c r="P146" s="608"/>
      <c r="Q146" s="608"/>
      <c r="R146" s="608"/>
      <c r="S146" s="608"/>
      <c r="T146" s="608"/>
      <c r="U146" s="608"/>
      <c r="V146" s="609"/>
    </row>
    <row r="147" spans="3:22">
      <c r="C147" s="604"/>
      <c r="D147" s="608"/>
      <c r="E147" s="608"/>
      <c r="F147" s="608"/>
      <c r="G147" s="608"/>
      <c r="H147" s="608"/>
      <c r="I147" s="608"/>
      <c r="J147" s="608"/>
      <c r="K147" s="608"/>
      <c r="L147" s="608"/>
      <c r="M147" s="608"/>
      <c r="N147" s="608"/>
      <c r="O147" s="608"/>
      <c r="P147" s="608"/>
      <c r="Q147" s="608"/>
      <c r="R147" s="608"/>
      <c r="S147" s="608"/>
      <c r="T147" s="608"/>
      <c r="U147" s="608"/>
      <c r="V147" s="609"/>
    </row>
    <row r="148" spans="3:22">
      <c r="C148" s="604"/>
      <c r="D148" s="608"/>
      <c r="E148" s="608"/>
      <c r="F148" s="608"/>
      <c r="G148" s="608"/>
      <c r="H148" s="608"/>
      <c r="I148" s="608"/>
      <c r="J148" s="608"/>
      <c r="K148" s="608"/>
      <c r="L148" s="608"/>
      <c r="M148" s="608"/>
      <c r="N148" s="608"/>
      <c r="O148" s="608"/>
      <c r="P148" s="608"/>
      <c r="Q148" s="608"/>
      <c r="R148" s="608"/>
      <c r="S148" s="608"/>
      <c r="T148" s="608"/>
      <c r="U148" s="608"/>
      <c r="V148" s="609"/>
    </row>
    <row r="149" spans="3:22">
      <c r="C149" s="604"/>
      <c r="D149" s="608"/>
      <c r="E149" s="608"/>
      <c r="F149" s="608"/>
      <c r="G149" s="608"/>
      <c r="H149" s="608"/>
      <c r="I149" s="608"/>
      <c r="J149" s="608"/>
      <c r="K149" s="608"/>
      <c r="L149" s="608"/>
      <c r="M149" s="608"/>
      <c r="N149" s="608"/>
      <c r="O149" s="608"/>
      <c r="P149" s="608"/>
      <c r="Q149" s="608"/>
      <c r="R149" s="608"/>
      <c r="S149" s="608"/>
      <c r="T149" s="608"/>
      <c r="U149" s="608"/>
      <c r="V149" s="609"/>
    </row>
    <row r="150" spans="3:22">
      <c r="C150" s="604"/>
      <c r="D150" s="608"/>
      <c r="E150" s="608"/>
      <c r="F150" s="608"/>
      <c r="G150" s="608"/>
      <c r="H150" s="608"/>
      <c r="I150" s="608"/>
      <c r="J150" s="608"/>
      <c r="K150" s="608"/>
      <c r="L150" s="608"/>
      <c r="M150" s="608"/>
      <c r="N150" s="608"/>
      <c r="O150" s="608"/>
      <c r="P150" s="608"/>
      <c r="Q150" s="608"/>
      <c r="R150" s="608"/>
      <c r="S150" s="608"/>
      <c r="T150" s="608"/>
      <c r="U150" s="608"/>
      <c r="V150" s="609"/>
    </row>
    <row r="151" spans="3:22">
      <c r="C151" s="604"/>
      <c r="D151" s="608"/>
      <c r="E151" s="608"/>
      <c r="F151" s="608"/>
      <c r="G151" s="608"/>
      <c r="H151" s="608"/>
      <c r="I151" s="608"/>
      <c r="J151" s="608"/>
      <c r="K151" s="608"/>
      <c r="L151" s="608"/>
      <c r="M151" s="608"/>
      <c r="N151" s="608"/>
      <c r="O151" s="608"/>
      <c r="P151" s="608"/>
      <c r="Q151" s="608"/>
      <c r="R151" s="608"/>
      <c r="S151" s="608"/>
      <c r="T151" s="608"/>
      <c r="U151" s="608"/>
      <c r="V151" s="609"/>
    </row>
    <row r="152" spans="3:22">
      <c r="C152" s="604"/>
      <c r="D152" s="608"/>
      <c r="E152" s="608"/>
      <c r="F152" s="608"/>
      <c r="G152" s="608"/>
      <c r="H152" s="608"/>
      <c r="I152" s="608"/>
      <c r="J152" s="608"/>
      <c r="K152" s="608"/>
      <c r="L152" s="608"/>
      <c r="M152" s="608"/>
      <c r="N152" s="608"/>
      <c r="O152" s="608"/>
      <c r="P152" s="608"/>
      <c r="Q152" s="608"/>
      <c r="R152" s="608"/>
      <c r="S152" s="608"/>
      <c r="T152" s="608"/>
      <c r="U152" s="608"/>
      <c r="V152" s="609"/>
    </row>
    <row r="153" spans="3:22">
      <c r="C153" s="604"/>
      <c r="D153" s="608"/>
      <c r="E153" s="608"/>
      <c r="F153" s="608"/>
      <c r="G153" s="608"/>
      <c r="H153" s="608"/>
      <c r="I153" s="608"/>
      <c r="J153" s="608"/>
      <c r="K153" s="608"/>
      <c r="L153" s="608"/>
      <c r="M153" s="608"/>
      <c r="N153" s="608"/>
      <c r="O153" s="608"/>
      <c r="P153" s="608"/>
      <c r="Q153" s="608"/>
      <c r="R153" s="608"/>
      <c r="S153" s="608"/>
      <c r="T153" s="608"/>
      <c r="U153" s="608"/>
      <c r="V153" s="609"/>
    </row>
    <row r="154" spans="3:22">
      <c r="C154" s="604"/>
      <c r="D154" s="608"/>
      <c r="E154" s="608"/>
      <c r="F154" s="608"/>
      <c r="G154" s="608"/>
      <c r="H154" s="608"/>
      <c r="I154" s="608"/>
      <c r="J154" s="608"/>
      <c r="K154" s="608"/>
      <c r="L154" s="608"/>
      <c r="M154" s="608"/>
      <c r="N154" s="608"/>
      <c r="O154" s="608"/>
      <c r="P154" s="608"/>
      <c r="Q154" s="608"/>
      <c r="R154" s="608"/>
      <c r="S154" s="608"/>
      <c r="T154" s="608"/>
      <c r="U154" s="608"/>
      <c r="V154" s="609"/>
    </row>
    <row r="155" spans="3:22">
      <c r="C155" s="604"/>
      <c r="D155" s="608"/>
      <c r="E155" s="608"/>
      <c r="F155" s="608"/>
      <c r="G155" s="608"/>
      <c r="H155" s="608"/>
      <c r="I155" s="608"/>
      <c r="J155" s="608"/>
      <c r="K155" s="608"/>
      <c r="L155" s="608"/>
      <c r="M155" s="608"/>
      <c r="N155" s="608"/>
      <c r="O155" s="608"/>
      <c r="P155" s="608"/>
      <c r="Q155" s="608"/>
      <c r="R155" s="608"/>
      <c r="S155" s="608"/>
      <c r="T155" s="608"/>
      <c r="U155" s="608"/>
      <c r="V155" s="609"/>
    </row>
    <row r="156" spans="3:22">
      <c r="C156" s="604"/>
      <c r="D156" s="608"/>
      <c r="E156" s="608"/>
      <c r="F156" s="608"/>
      <c r="G156" s="608"/>
      <c r="H156" s="608"/>
      <c r="I156" s="608"/>
      <c r="J156" s="608"/>
      <c r="K156" s="608"/>
      <c r="L156" s="608"/>
      <c r="M156" s="608"/>
      <c r="N156" s="608"/>
      <c r="O156" s="608"/>
      <c r="P156" s="608"/>
      <c r="Q156" s="608"/>
      <c r="R156" s="608"/>
      <c r="S156" s="608"/>
      <c r="T156" s="608"/>
      <c r="U156" s="608"/>
      <c r="V156" s="609"/>
    </row>
    <row r="157" spans="3:22">
      <c r="C157" s="604"/>
      <c r="D157" s="608"/>
      <c r="E157" s="608"/>
      <c r="F157" s="608"/>
      <c r="G157" s="608"/>
      <c r="H157" s="608"/>
      <c r="I157" s="608"/>
      <c r="J157" s="608"/>
      <c r="K157" s="608"/>
      <c r="L157" s="608"/>
      <c r="M157" s="608"/>
      <c r="N157" s="608"/>
      <c r="O157" s="608"/>
      <c r="P157" s="608"/>
      <c r="Q157" s="608"/>
      <c r="R157" s="608"/>
      <c r="S157" s="608"/>
      <c r="T157" s="608"/>
      <c r="U157" s="608"/>
      <c r="V157" s="609"/>
    </row>
    <row r="158" spans="3:22">
      <c r="C158" s="604"/>
      <c r="D158" s="608"/>
      <c r="E158" s="608"/>
      <c r="F158" s="608"/>
      <c r="G158" s="608"/>
      <c r="H158" s="608"/>
      <c r="I158" s="608"/>
      <c r="J158" s="608"/>
      <c r="K158" s="608"/>
      <c r="L158" s="608"/>
      <c r="M158" s="608"/>
      <c r="N158" s="608"/>
      <c r="O158" s="608"/>
      <c r="P158" s="608"/>
      <c r="Q158" s="608"/>
      <c r="R158" s="608"/>
      <c r="S158" s="608"/>
      <c r="T158" s="608"/>
      <c r="U158" s="608"/>
      <c r="V158" s="609"/>
    </row>
    <row r="159" spans="3:22">
      <c r="C159" s="604"/>
      <c r="D159" s="608"/>
      <c r="E159" s="608"/>
      <c r="F159" s="608"/>
      <c r="G159" s="608"/>
      <c r="H159" s="608"/>
      <c r="I159" s="608"/>
      <c r="J159" s="608"/>
      <c r="K159" s="608"/>
      <c r="L159" s="608"/>
      <c r="M159" s="608"/>
      <c r="N159" s="608"/>
      <c r="O159" s="608"/>
      <c r="P159" s="608"/>
      <c r="Q159" s="608"/>
      <c r="R159" s="608"/>
      <c r="S159" s="608"/>
      <c r="T159" s="608"/>
      <c r="U159" s="608"/>
      <c r="V159" s="609"/>
    </row>
    <row r="160" spans="3:22">
      <c r="C160" s="604"/>
      <c r="D160" s="608"/>
      <c r="E160" s="608"/>
      <c r="F160" s="608"/>
      <c r="G160" s="608"/>
      <c r="H160" s="608"/>
      <c r="I160" s="608"/>
      <c r="J160" s="608"/>
      <c r="K160" s="608"/>
      <c r="L160" s="608"/>
      <c r="M160" s="608"/>
      <c r="N160" s="608"/>
      <c r="O160" s="608"/>
      <c r="P160" s="608"/>
      <c r="Q160" s="608"/>
      <c r="R160" s="608"/>
      <c r="S160" s="608"/>
      <c r="T160" s="608"/>
      <c r="U160" s="608"/>
      <c r="V160" s="609"/>
    </row>
    <row r="161" spans="3:22">
      <c r="C161" s="604"/>
      <c r="D161" s="608"/>
      <c r="E161" s="608"/>
      <c r="F161" s="608"/>
      <c r="G161" s="608"/>
      <c r="H161" s="608"/>
      <c r="I161" s="608"/>
      <c r="J161" s="608"/>
      <c r="K161" s="608"/>
      <c r="L161" s="608"/>
      <c r="M161" s="608"/>
      <c r="N161" s="608"/>
      <c r="O161" s="608"/>
      <c r="P161" s="608"/>
      <c r="Q161" s="608"/>
      <c r="R161" s="608"/>
      <c r="S161" s="608"/>
      <c r="T161" s="608"/>
      <c r="U161" s="608"/>
      <c r="V161" s="609"/>
    </row>
    <row r="162" spans="3:22">
      <c r="C162" s="604"/>
      <c r="D162" s="608"/>
      <c r="E162" s="608"/>
      <c r="F162" s="608"/>
      <c r="G162" s="608"/>
      <c r="H162" s="608"/>
      <c r="I162" s="608"/>
      <c r="J162" s="608"/>
      <c r="K162" s="608"/>
      <c r="L162" s="608"/>
      <c r="M162" s="608"/>
      <c r="N162" s="608"/>
      <c r="O162" s="608"/>
      <c r="P162" s="608"/>
      <c r="Q162" s="608"/>
      <c r="R162" s="608"/>
      <c r="S162" s="608"/>
      <c r="T162" s="608"/>
      <c r="U162" s="608"/>
      <c r="V162" s="609"/>
    </row>
    <row r="163" spans="3:22">
      <c r="C163" s="604"/>
      <c r="D163" s="608"/>
      <c r="E163" s="608"/>
      <c r="F163" s="608"/>
      <c r="G163" s="608"/>
      <c r="H163" s="608"/>
      <c r="I163" s="608"/>
      <c r="J163" s="608"/>
      <c r="K163" s="608"/>
      <c r="L163" s="608"/>
      <c r="M163" s="608"/>
      <c r="N163" s="608"/>
      <c r="O163" s="608"/>
      <c r="P163" s="608"/>
      <c r="Q163" s="608"/>
      <c r="R163" s="608"/>
      <c r="S163" s="608"/>
      <c r="T163" s="608"/>
      <c r="U163" s="608"/>
      <c r="V163" s="609"/>
    </row>
    <row r="164" spans="3:22">
      <c r="C164" s="604"/>
      <c r="D164" s="608"/>
      <c r="E164" s="608"/>
      <c r="F164" s="608"/>
      <c r="G164" s="608"/>
      <c r="H164" s="608"/>
      <c r="I164" s="608"/>
      <c r="J164" s="608"/>
      <c r="K164" s="608"/>
      <c r="L164" s="608"/>
      <c r="M164" s="608"/>
      <c r="N164" s="608"/>
      <c r="O164" s="608"/>
      <c r="P164" s="608"/>
      <c r="Q164" s="608"/>
      <c r="R164" s="608"/>
      <c r="S164" s="608"/>
      <c r="T164" s="608"/>
      <c r="U164" s="608"/>
      <c r="V164" s="609"/>
    </row>
    <row r="165" spans="3:22">
      <c r="C165" s="604"/>
      <c r="D165" s="608"/>
      <c r="E165" s="608"/>
      <c r="F165" s="608"/>
      <c r="G165" s="608"/>
      <c r="H165" s="608"/>
      <c r="I165" s="608"/>
      <c r="J165" s="608"/>
      <c r="K165" s="608"/>
      <c r="L165" s="608"/>
      <c r="M165" s="608"/>
      <c r="N165" s="608"/>
      <c r="O165" s="608"/>
      <c r="P165" s="608"/>
      <c r="Q165" s="608"/>
      <c r="R165" s="608"/>
      <c r="S165" s="608"/>
      <c r="T165" s="608"/>
      <c r="U165" s="608"/>
      <c r="V165" s="609"/>
    </row>
    <row r="166" spans="3:22">
      <c r="C166" s="604"/>
      <c r="D166" s="608"/>
      <c r="E166" s="608"/>
      <c r="F166" s="608"/>
      <c r="G166" s="608"/>
      <c r="H166" s="608"/>
      <c r="I166" s="608"/>
      <c r="J166" s="608"/>
      <c r="K166" s="608"/>
      <c r="L166" s="608"/>
      <c r="M166" s="608"/>
      <c r="N166" s="608"/>
      <c r="O166" s="608"/>
      <c r="P166" s="608"/>
      <c r="Q166" s="608"/>
      <c r="R166" s="608"/>
      <c r="S166" s="608"/>
      <c r="T166" s="608"/>
      <c r="U166" s="608"/>
      <c r="V166" s="609"/>
    </row>
    <row r="167" spans="3:22">
      <c r="C167" s="604"/>
      <c r="D167" s="608"/>
      <c r="E167" s="608"/>
      <c r="F167" s="608"/>
      <c r="G167" s="608"/>
      <c r="H167" s="608"/>
      <c r="I167" s="608"/>
      <c r="J167" s="608"/>
      <c r="K167" s="608"/>
      <c r="L167" s="608"/>
      <c r="M167" s="608"/>
      <c r="N167" s="608"/>
      <c r="O167" s="608"/>
      <c r="P167" s="608"/>
      <c r="Q167" s="608"/>
      <c r="R167" s="608"/>
      <c r="S167" s="608"/>
      <c r="T167" s="608"/>
      <c r="U167" s="608"/>
      <c r="V167" s="609"/>
    </row>
    <row r="168" spans="3:22">
      <c r="C168" s="604"/>
      <c r="D168" s="608"/>
      <c r="E168" s="608"/>
      <c r="F168" s="608"/>
      <c r="G168" s="608"/>
      <c r="H168" s="608"/>
      <c r="I168" s="608"/>
      <c r="J168" s="608"/>
      <c r="K168" s="608"/>
      <c r="L168" s="608"/>
      <c r="M168" s="608"/>
      <c r="N168" s="608"/>
      <c r="O168" s="608"/>
      <c r="P168" s="608"/>
      <c r="Q168" s="608"/>
      <c r="R168" s="608"/>
      <c r="S168" s="608"/>
      <c r="T168" s="608"/>
      <c r="U168" s="608"/>
      <c r="V168" s="609"/>
    </row>
    <row r="169" spans="3:22">
      <c r="C169" s="604"/>
      <c r="D169" s="608"/>
      <c r="E169" s="608"/>
      <c r="F169" s="608"/>
      <c r="G169" s="608"/>
      <c r="H169" s="608"/>
      <c r="I169" s="608"/>
      <c r="J169" s="608"/>
      <c r="K169" s="608"/>
      <c r="L169" s="608"/>
      <c r="M169" s="608"/>
      <c r="N169" s="608"/>
      <c r="O169" s="608"/>
      <c r="P169" s="608"/>
      <c r="Q169" s="608"/>
      <c r="R169" s="608"/>
      <c r="S169" s="608"/>
      <c r="T169" s="608"/>
      <c r="U169" s="608"/>
      <c r="V169" s="609"/>
    </row>
    <row r="170" spans="3:22">
      <c r="C170" s="604"/>
      <c r="D170" s="608"/>
      <c r="E170" s="608"/>
      <c r="F170" s="608"/>
      <c r="G170" s="608"/>
      <c r="H170" s="608"/>
      <c r="I170" s="608"/>
      <c r="J170" s="608"/>
      <c r="K170" s="608"/>
      <c r="L170" s="608"/>
      <c r="M170" s="608"/>
      <c r="N170" s="608"/>
      <c r="O170" s="608"/>
      <c r="P170" s="608"/>
      <c r="Q170" s="608"/>
      <c r="R170" s="608"/>
      <c r="S170" s="608"/>
      <c r="T170" s="608"/>
      <c r="U170" s="608"/>
      <c r="V170" s="609"/>
    </row>
    <row r="171" spans="3:22">
      <c r="C171" s="604"/>
      <c r="D171" s="608"/>
      <c r="E171" s="608"/>
      <c r="F171" s="608"/>
      <c r="G171" s="608"/>
      <c r="H171" s="608"/>
      <c r="I171" s="608"/>
      <c r="J171" s="608"/>
      <c r="K171" s="608"/>
      <c r="L171" s="608"/>
      <c r="M171" s="608"/>
      <c r="N171" s="608"/>
      <c r="O171" s="608"/>
      <c r="P171" s="608"/>
      <c r="Q171" s="608"/>
      <c r="R171" s="608"/>
      <c r="S171" s="608"/>
      <c r="T171" s="608"/>
      <c r="U171" s="608"/>
      <c r="V171" s="609"/>
    </row>
    <row r="172" spans="3:22">
      <c r="C172" s="604"/>
      <c r="D172" s="608"/>
      <c r="E172" s="608"/>
      <c r="F172" s="608"/>
      <c r="G172" s="608"/>
      <c r="H172" s="608"/>
      <c r="I172" s="608"/>
      <c r="J172" s="608"/>
      <c r="K172" s="608"/>
      <c r="L172" s="608"/>
      <c r="M172" s="608"/>
      <c r="N172" s="608"/>
      <c r="O172" s="608"/>
      <c r="P172" s="608"/>
      <c r="Q172" s="608"/>
      <c r="R172" s="608"/>
      <c r="S172" s="608"/>
      <c r="T172" s="608"/>
      <c r="U172" s="608"/>
      <c r="V172" s="609"/>
    </row>
    <row r="173" spans="3:22">
      <c r="C173" s="604"/>
      <c r="D173" s="608"/>
      <c r="E173" s="608"/>
      <c r="F173" s="608"/>
      <c r="G173" s="608"/>
      <c r="H173" s="608"/>
      <c r="I173" s="608"/>
      <c r="J173" s="608"/>
      <c r="K173" s="608"/>
      <c r="L173" s="608"/>
      <c r="M173" s="608"/>
      <c r="N173" s="608"/>
      <c r="O173" s="608"/>
      <c r="P173" s="608"/>
      <c r="Q173" s="608"/>
      <c r="R173" s="608"/>
      <c r="S173" s="608"/>
      <c r="T173" s="608"/>
      <c r="U173" s="608"/>
      <c r="V173" s="609"/>
    </row>
    <row r="174" spans="3:22">
      <c r="C174" s="604"/>
      <c r="D174" s="608"/>
      <c r="E174" s="608"/>
      <c r="F174" s="608"/>
      <c r="G174" s="608"/>
      <c r="H174" s="608"/>
      <c r="I174" s="608"/>
      <c r="J174" s="608"/>
      <c r="K174" s="608"/>
      <c r="L174" s="608"/>
      <c r="M174" s="608"/>
      <c r="N174" s="608"/>
      <c r="O174" s="608"/>
      <c r="P174" s="608"/>
      <c r="Q174" s="608"/>
      <c r="R174" s="608"/>
      <c r="S174" s="608"/>
      <c r="T174" s="608"/>
      <c r="U174" s="608"/>
      <c r="V174" s="609"/>
    </row>
    <row r="175" spans="3:22">
      <c r="C175" s="604"/>
      <c r="D175" s="608"/>
      <c r="E175" s="608"/>
      <c r="F175" s="608"/>
      <c r="G175" s="608"/>
      <c r="H175" s="608"/>
      <c r="I175" s="608"/>
      <c r="J175" s="608"/>
      <c r="K175" s="608"/>
      <c r="L175" s="608"/>
      <c r="M175" s="608"/>
      <c r="N175" s="608"/>
      <c r="O175" s="608"/>
      <c r="P175" s="608"/>
      <c r="Q175" s="608"/>
      <c r="R175" s="608"/>
      <c r="S175" s="608"/>
      <c r="T175" s="608"/>
      <c r="U175" s="608"/>
      <c r="V175" s="609"/>
    </row>
    <row r="176" spans="3:22">
      <c r="C176" s="604"/>
      <c r="D176" s="608"/>
      <c r="E176" s="608"/>
      <c r="F176" s="608"/>
      <c r="G176" s="608"/>
      <c r="H176" s="608"/>
      <c r="I176" s="608"/>
      <c r="J176" s="608"/>
      <c r="K176" s="608"/>
      <c r="L176" s="608"/>
      <c r="M176" s="608"/>
      <c r="N176" s="608"/>
      <c r="O176" s="608"/>
      <c r="P176" s="608"/>
      <c r="Q176" s="608"/>
      <c r="R176" s="608"/>
      <c r="S176" s="608"/>
      <c r="T176" s="608"/>
      <c r="U176" s="608"/>
      <c r="V176" s="609"/>
    </row>
    <row r="177" spans="3:22">
      <c r="C177" s="604"/>
      <c r="D177" s="608"/>
      <c r="E177" s="608"/>
      <c r="F177" s="608"/>
      <c r="G177" s="608"/>
      <c r="H177" s="608"/>
      <c r="I177" s="608"/>
      <c r="J177" s="608"/>
      <c r="K177" s="608"/>
      <c r="L177" s="608"/>
      <c r="M177" s="608"/>
      <c r="N177" s="608"/>
      <c r="O177" s="608"/>
      <c r="P177" s="608"/>
      <c r="Q177" s="608"/>
      <c r="R177" s="608"/>
      <c r="S177" s="608"/>
      <c r="T177" s="608"/>
      <c r="U177" s="608"/>
      <c r="V177" s="609"/>
    </row>
    <row r="178" spans="3:22">
      <c r="C178" s="604"/>
      <c r="D178" s="608"/>
      <c r="E178" s="608"/>
      <c r="F178" s="608"/>
      <c r="G178" s="608"/>
      <c r="H178" s="608"/>
      <c r="I178" s="608"/>
      <c r="J178" s="608"/>
      <c r="K178" s="608"/>
      <c r="L178" s="608"/>
      <c r="M178" s="608"/>
      <c r="N178" s="608"/>
      <c r="O178" s="608"/>
      <c r="P178" s="608"/>
      <c r="Q178" s="608"/>
      <c r="R178" s="608"/>
      <c r="S178" s="608"/>
      <c r="T178" s="608"/>
      <c r="U178" s="608"/>
      <c r="V178" s="609"/>
    </row>
    <row r="179" spans="3:22">
      <c r="C179" s="604"/>
      <c r="D179" s="608"/>
      <c r="E179" s="608"/>
      <c r="F179" s="608"/>
      <c r="G179" s="608"/>
      <c r="H179" s="608"/>
      <c r="I179" s="608"/>
      <c r="J179" s="608"/>
      <c r="K179" s="608"/>
      <c r="L179" s="608"/>
      <c r="M179" s="608"/>
      <c r="N179" s="608"/>
      <c r="O179" s="608"/>
      <c r="P179" s="608"/>
      <c r="Q179" s="608"/>
      <c r="R179" s="608"/>
      <c r="S179" s="608"/>
      <c r="T179" s="608"/>
      <c r="U179" s="608"/>
      <c r="V179" s="609"/>
    </row>
    <row r="180" spans="3:22">
      <c r="C180" s="604"/>
      <c r="D180" s="608"/>
      <c r="E180" s="608"/>
      <c r="F180" s="608"/>
      <c r="G180" s="608"/>
      <c r="H180" s="608"/>
      <c r="I180" s="608"/>
      <c r="J180" s="608"/>
      <c r="K180" s="608"/>
      <c r="L180" s="608"/>
      <c r="M180" s="608"/>
      <c r="N180" s="608"/>
      <c r="O180" s="608"/>
      <c r="P180" s="608"/>
      <c r="Q180" s="608"/>
      <c r="R180" s="608"/>
      <c r="S180" s="608"/>
      <c r="T180" s="608"/>
      <c r="U180" s="608"/>
      <c r="V180" s="609"/>
    </row>
    <row r="181" spans="3:22">
      <c r="C181" s="604"/>
      <c r="D181" s="608"/>
      <c r="E181" s="608"/>
      <c r="F181" s="608"/>
      <c r="G181" s="608"/>
      <c r="H181" s="608"/>
      <c r="I181" s="608"/>
      <c r="J181" s="608"/>
      <c r="K181" s="608"/>
      <c r="L181" s="608"/>
      <c r="M181" s="608"/>
      <c r="N181" s="608"/>
      <c r="O181" s="608"/>
      <c r="P181" s="608"/>
      <c r="Q181" s="608"/>
      <c r="R181" s="608"/>
      <c r="S181" s="608"/>
      <c r="T181" s="608"/>
      <c r="U181" s="608"/>
      <c r="V181" s="609"/>
    </row>
    <row r="182" spans="3:22">
      <c r="C182" s="604"/>
      <c r="D182" s="608"/>
      <c r="E182" s="608"/>
      <c r="F182" s="608"/>
      <c r="G182" s="608"/>
      <c r="H182" s="608"/>
      <c r="I182" s="608"/>
      <c r="J182" s="608"/>
      <c r="K182" s="608"/>
      <c r="L182" s="608"/>
      <c r="M182" s="608"/>
      <c r="N182" s="608"/>
      <c r="O182" s="608"/>
      <c r="P182" s="608"/>
      <c r="Q182" s="608"/>
      <c r="R182" s="608"/>
      <c r="S182" s="608"/>
      <c r="T182" s="608"/>
      <c r="U182" s="608"/>
      <c r="V182" s="609"/>
    </row>
    <row r="183" spans="3:22">
      <c r="C183" s="604"/>
      <c r="D183" s="608"/>
      <c r="E183" s="608"/>
      <c r="F183" s="608"/>
      <c r="G183" s="608"/>
      <c r="H183" s="608"/>
      <c r="I183" s="608"/>
      <c r="J183" s="608"/>
      <c r="K183" s="608"/>
      <c r="L183" s="608"/>
      <c r="M183" s="608"/>
      <c r="N183" s="608"/>
      <c r="O183" s="608"/>
      <c r="P183" s="608"/>
      <c r="Q183" s="608"/>
      <c r="R183" s="608"/>
      <c r="S183" s="608"/>
      <c r="T183" s="608"/>
      <c r="U183" s="608"/>
      <c r="V183" s="609"/>
    </row>
    <row r="184" spans="3:22">
      <c r="C184" s="604"/>
      <c r="D184" s="608"/>
      <c r="E184" s="608"/>
      <c r="F184" s="608"/>
      <c r="G184" s="608"/>
      <c r="H184" s="608"/>
      <c r="I184" s="608"/>
      <c r="J184" s="608"/>
      <c r="K184" s="608"/>
      <c r="L184" s="608"/>
      <c r="M184" s="608"/>
      <c r="N184" s="608"/>
      <c r="O184" s="608"/>
      <c r="P184" s="608"/>
      <c r="Q184" s="608"/>
      <c r="R184" s="608"/>
      <c r="S184" s="608"/>
      <c r="T184" s="608"/>
      <c r="U184" s="608"/>
      <c r="V184" s="609"/>
    </row>
    <row r="185" spans="3:22">
      <c r="C185" s="604"/>
      <c r="D185" s="608"/>
      <c r="E185" s="608"/>
      <c r="F185" s="608"/>
      <c r="G185" s="608"/>
      <c r="H185" s="608"/>
      <c r="I185" s="608"/>
      <c r="J185" s="608"/>
      <c r="K185" s="608"/>
      <c r="L185" s="608"/>
      <c r="M185" s="608"/>
      <c r="N185" s="608"/>
      <c r="O185" s="608"/>
      <c r="P185" s="608"/>
      <c r="Q185" s="608"/>
      <c r="R185" s="608"/>
      <c r="S185" s="608"/>
      <c r="T185" s="608"/>
      <c r="U185" s="608"/>
      <c r="V185" s="609"/>
    </row>
    <row r="186" spans="3:22">
      <c r="C186" s="604"/>
      <c r="D186" s="608"/>
      <c r="E186" s="608"/>
      <c r="F186" s="608"/>
      <c r="G186" s="608"/>
      <c r="H186" s="608"/>
      <c r="I186" s="608"/>
      <c r="J186" s="608"/>
      <c r="K186" s="608"/>
      <c r="L186" s="608"/>
      <c r="M186" s="608"/>
      <c r="N186" s="608"/>
      <c r="O186" s="608"/>
      <c r="P186" s="608"/>
      <c r="Q186" s="608"/>
      <c r="R186" s="608"/>
      <c r="S186" s="608"/>
      <c r="T186" s="608"/>
      <c r="U186" s="608"/>
      <c r="V186" s="609"/>
    </row>
    <row r="187" spans="3:22">
      <c r="C187" s="604"/>
      <c r="D187" s="608"/>
      <c r="E187" s="608"/>
      <c r="F187" s="608"/>
      <c r="G187" s="608"/>
      <c r="H187" s="608"/>
      <c r="I187" s="608"/>
      <c r="J187" s="608"/>
      <c r="K187" s="608"/>
      <c r="L187" s="608"/>
      <c r="M187" s="608"/>
      <c r="N187" s="608"/>
      <c r="O187" s="608"/>
      <c r="P187" s="608"/>
      <c r="Q187" s="608"/>
      <c r="R187" s="608"/>
      <c r="S187" s="608"/>
      <c r="T187" s="608"/>
      <c r="U187" s="608"/>
      <c r="V187" s="609"/>
    </row>
    <row r="188" spans="3:22">
      <c r="C188" s="604"/>
      <c r="D188" s="608"/>
      <c r="E188" s="608"/>
      <c r="F188" s="608"/>
      <c r="G188" s="608"/>
      <c r="H188" s="608"/>
      <c r="I188" s="608"/>
      <c r="J188" s="608"/>
      <c r="K188" s="608"/>
      <c r="L188" s="608"/>
      <c r="M188" s="608"/>
      <c r="N188" s="608"/>
      <c r="O188" s="608"/>
      <c r="P188" s="608"/>
      <c r="Q188" s="608"/>
      <c r="R188" s="608"/>
      <c r="S188" s="608"/>
      <c r="T188" s="608"/>
      <c r="U188" s="608"/>
      <c r="V188" s="609"/>
    </row>
    <row r="189" spans="3:22">
      <c r="C189" s="604"/>
      <c r="D189" s="608"/>
      <c r="E189" s="608"/>
      <c r="F189" s="608"/>
      <c r="G189" s="608"/>
      <c r="H189" s="608"/>
      <c r="I189" s="608"/>
      <c r="J189" s="608"/>
      <c r="K189" s="608"/>
      <c r="L189" s="608"/>
      <c r="M189" s="608"/>
      <c r="N189" s="608"/>
      <c r="O189" s="608"/>
      <c r="P189" s="608"/>
      <c r="Q189" s="608"/>
      <c r="R189" s="608"/>
      <c r="S189" s="608"/>
      <c r="T189" s="608"/>
      <c r="U189" s="608"/>
      <c r="V189" s="609"/>
    </row>
    <row r="190" spans="3:22">
      <c r="C190" s="604"/>
      <c r="D190" s="608"/>
      <c r="E190" s="608"/>
      <c r="F190" s="608"/>
      <c r="G190" s="608"/>
      <c r="H190" s="608"/>
      <c r="I190" s="608"/>
      <c r="J190" s="608"/>
      <c r="K190" s="608"/>
      <c r="L190" s="608"/>
      <c r="M190" s="608"/>
      <c r="N190" s="608"/>
      <c r="O190" s="608"/>
      <c r="P190" s="608"/>
      <c r="Q190" s="608"/>
      <c r="R190" s="608"/>
      <c r="S190" s="608"/>
      <c r="T190" s="608"/>
      <c r="U190" s="608"/>
      <c r="V190" s="609"/>
    </row>
    <row r="191" spans="3:22">
      <c r="C191" s="604"/>
      <c r="D191" s="608"/>
      <c r="E191" s="608"/>
      <c r="F191" s="608"/>
      <c r="G191" s="608"/>
      <c r="H191" s="608"/>
      <c r="I191" s="608"/>
      <c r="J191" s="608"/>
      <c r="K191" s="608"/>
      <c r="L191" s="608"/>
      <c r="M191" s="608"/>
      <c r="N191" s="608"/>
      <c r="O191" s="608"/>
      <c r="P191" s="608"/>
      <c r="Q191" s="608"/>
      <c r="R191" s="608"/>
      <c r="S191" s="608"/>
      <c r="T191" s="608"/>
      <c r="U191" s="608"/>
      <c r="V191" s="609"/>
    </row>
    <row r="192" spans="3:22">
      <c r="C192" s="604"/>
      <c r="D192" s="608"/>
      <c r="E192" s="608"/>
      <c r="F192" s="608"/>
      <c r="G192" s="608"/>
      <c r="H192" s="608"/>
      <c r="I192" s="608"/>
      <c r="J192" s="608"/>
      <c r="K192" s="608"/>
      <c r="L192" s="608"/>
      <c r="M192" s="608"/>
      <c r="N192" s="608"/>
      <c r="O192" s="608"/>
      <c r="P192" s="608"/>
      <c r="Q192" s="608"/>
      <c r="R192" s="608"/>
      <c r="S192" s="608"/>
      <c r="T192" s="608"/>
      <c r="U192" s="608"/>
      <c r="V192" s="609"/>
    </row>
    <row r="193" spans="3:22">
      <c r="C193" s="604"/>
      <c r="D193" s="608"/>
      <c r="E193" s="608"/>
      <c r="F193" s="608"/>
      <c r="G193" s="608"/>
      <c r="H193" s="608"/>
      <c r="I193" s="608"/>
      <c r="J193" s="608"/>
      <c r="K193" s="608"/>
      <c r="L193" s="608"/>
      <c r="M193" s="608"/>
      <c r="N193" s="608"/>
      <c r="O193" s="608"/>
      <c r="P193" s="608"/>
      <c r="Q193" s="608"/>
      <c r="R193" s="608"/>
      <c r="S193" s="608"/>
      <c r="T193" s="608"/>
      <c r="U193" s="608"/>
      <c r="V193" s="609"/>
    </row>
    <row r="194" spans="3:22">
      <c r="C194" s="604"/>
      <c r="D194" s="608"/>
      <c r="E194" s="608"/>
      <c r="F194" s="608"/>
      <c r="G194" s="608"/>
      <c r="H194" s="608"/>
      <c r="I194" s="608"/>
      <c r="J194" s="608"/>
      <c r="K194" s="608"/>
      <c r="L194" s="608"/>
      <c r="M194" s="608"/>
      <c r="N194" s="608"/>
      <c r="O194" s="608"/>
      <c r="P194" s="608"/>
      <c r="Q194" s="608"/>
      <c r="R194" s="608"/>
      <c r="S194" s="608"/>
      <c r="T194" s="608"/>
      <c r="U194" s="608"/>
      <c r="V194" s="609"/>
    </row>
    <row r="195" spans="3:22">
      <c r="C195" s="604"/>
      <c r="D195" s="608"/>
      <c r="E195" s="608"/>
      <c r="F195" s="608"/>
      <c r="G195" s="608"/>
      <c r="H195" s="608"/>
      <c r="I195" s="608"/>
      <c r="J195" s="608"/>
      <c r="K195" s="608"/>
      <c r="L195" s="608"/>
      <c r="M195" s="608"/>
      <c r="N195" s="608"/>
      <c r="O195" s="608"/>
      <c r="P195" s="608"/>
      <c r="Q195" s="608"/>
      <c r="R195" s="608"/>
      <c r="S195" s="608"/>
      <c r="T195" s="608"/>
      <c r="U195" s="608"/>
      <c r="V195" s="609"/>
    </row>
    <row r="196" spans="3:22">
      <c r="C196" s="604"/>
      <c r="D196" s="608"/>
      <c r="E196" s="608"/>
      <c r="F196" s="608"/>
      <c r="G196" s="608"/>
      <c r="H196" s="608"/>
      <c r="I196" s="608"/>
      <c r="J196" s="608"/>
      <c r="K196" s="608"/>
      <c r="L196" s="608"/>
      <c r="M196" s="608"/>
      <c r="N196" s="608"/>
      <c r="O196" s="608"/>
      <c r="P196" s="608"/>
      <c r="Q196" s="608"/>
      <c r="R196" s="608"/>
      <c r="S196" s="608"/>
      <c r="T196" s="608"/>
      <c r="U196" s="608"/>
      <c r="V196" s="609"/>
    </row>
    <row r="197" spans="3:22">
      <c r="C197" s="604"/>
      <c r="D197" s="608"/>
      <c r="E197" s="608"/>
      <c r="F197" s="608"/>
      <c r="G197" s="608"/>
      <c r="H197" s="608"/>
      <c r="I197" s="608"/>
      <c r="J197" s="608"/>
      <c r="K197" s="608"/>
      <c r="L197" s="608"/>
      <c r="M197" s="608"/>
      <c r="N197" s="608"/>
      <c r="O197" s="608"/>
      <c r="P197" s="608"/>
      <c r="Q197" s="608"/>
      <c r="R197" s="608"/>
      <c r="S197" s="608"/>
      <c r="T197" s="608"/>
      <c r="U197" s="608"/>
      <c r="V197" s="609"/>
    </row>
    <row r="198" spans="3:22">
      <c r="C198" s="604"/>
      <c r="D198" s="608"/>
      <c r="E198" s="608"/>
      <c r="F198" s="608"/>
      <c r="G198" s="608"/>
      <c r="H198" s="608"/>
      <c r="I198" s="608"/>
      <c r="J198" s="608"/>
      <c r="K198" s="608"/>
      <c r="L198" s="608"/>
      <c r="M198" s="608"/>
      <c r="N198" s="608"/>
      <c r="O198" s="608"/>
      <c r="P198" s="608"/>
      <c r="Q198" s="608"/>
      <c r="R198" s="608"/>
      <c r="S198" s="608"/>
      <c r="T198" s="608"/>
      <c r="U198" s="608"/>
      <c r="V198" s="609"/>
    </row>
    <row r="199" spans="3:22">
      <c r="C199" s="604"/>
      <c r="D199" s="608"/>
      <c r="E199" s="608"/>
      <c r="F199" s="608"/>
      <c r="G199" s="608"/>
      <c r="H199" s="608"/>
      <c r="I199" s="608"/>
      <c r="J199" s="608"/>
      <c r="K199" s="608"/>
      <c r="L199" s="608"/>
      <c r="M199" s="608"/>
      <c r="N199" s="608"/>
      <c r="O199" s="608"/>
      <c r="P199" s="608"/>
      <c r="Q199" s="608"/>
      <c r="R199" s="608"/>
      <c r="S199" s="608"/>
      <c r="T199" s="608"/>
      <c r="U199" s="608"/>
      <c r="V199" s="609"/>
    </row>
    <row r="200" spans="3:22">
      <c r="C200" s="604"/>
      <c r="D200" s="608"/>
      <c r="E200" s="608"/>
      <c r="F200" s="608"/>
      <c r="G200" s="608"/>
      <c r="H200" s="608"/>
      <c r="I200" s="608"/>
      <c r="J200" s="608"/>
      <c r="K200" s="608"/>
      <c r="L200" s="608"/>
      <c r="M200" s="608"/>
      <c r="N200" s="608"/>
      <c r="O200" s="608"/>
      <c r="P200" s="608"/>
      <c r="Q200" s="608"/>
      <c r="R200" s="608"/>
      <c r="S200" s="608"/>
      <c r="T200" s="608"/>
      <c r="U200" s="608"/>
      <c r="V200" s="609"/>
    </row>
    <row r="201" spans="3:22">
      <c r="C201" s="604"/>
      <c r="D201" s="608"/>
      <c r="E201" s="608"/>
      <c r="F201" s="608"/>
      <c r="G201" s="608"/>
      <c r="H201" s="608"/>
      <c r="I201" s="608"/>
      <c r="J201" s="608"/>
      <c r="K201" s="608"/>
      <c r="L201" s="608"/>
      <c r="M201" s="608"/>
      <c r="N201" s="608"/>
      <c r="O201" s="608"/>
      <c r="P201" s="608"/>
      <c r="Q201" s="608"/>
      <c r="R201" s="608"/>
      <c r="S201" s="608"/>
      <c r="T201" s="608"/>
      <c r="U201" s="608"/>
      <c r="V201" s="609"/>
    </row>
    <row r="202" spans="3:22">
      <c r="C202" s="604"/>
      <c r="D202" s="608"/>
      <c r="E202" s="608"/>
      <c r="F202" s="608"/>
      <c r="G202" s="608"/>
      <c r="H202" s="608"/>
      <c r="I202" s="608"/>
      <c r="J202" s="608"/>
      <c r="K202" s="608"/>
      <c r="L202" s="608"/>
      <c r="M202" s="608"/>
      <c r="N202" s="608"/>
      <c r="O202" s="608"/>
      <c r="P202" s="608"/>
      <c r="Q202" s="608"/>
      <c r="R202" s="608"/>
      <c r="S202" s="608"/>
      <c r="T202" s="608"/>
      <c r="U202" s="608"/>
      <c r="V202" s="609"/>
    </row>
    <row r="203" spans="3:22">
      <c r="C203" s="604"/>
      <c r="D203" s="608"/>
      <c r="E203" s="608"/>
      <c r="F203" s="608"/>
      <c r="G203" s="608"/>
      <c r="H203" s="608"/>
      <c r="I203" s="608"/>
      <c r="J203" s="608"/>
      <c r="K203" s="608"/>
      <c r="L203" s="608"/>
      <c r="M203" s="608"/>
      <c r="N203" s="608"/>
      <c r="O203" s="608"/>
      <c r="P203" s="608"/>
      <c r="Q203" s="608"/>
      <c r="R203" s="608"/>
      <c r="S203" s="608"/>
      <c r="T203" s="608"/>
      <c r="U203" s="608"/>
      <c r="V203" s="609"/>
    </row>
    <row r="204" spans="3:22">
      <c r="C204" s="604"/>
      <c r="D204" s="608"/>
      <c r="E204" s="608"/>
      <c r="F204" s="608"/>
      <c r="G204" s="608"/>
      <c r="H204" s="608"/>
      <c r="I204" s="608"/>
      <c r="J204" s="608"/>
      <c r="K204" s="608"/>
      <c r="L204" s="608"/>
      <c r="M204" s="608"/>
      <c r="N204" s="608"/>
      <c r="O204" s="608"/>
      <c r="P204" s="608"/>
      <c r="Q204" s="608"/>
      <c r="R204" s="608"/>
      <c r="S204" s="608"/>
      <c r="T204" s="608"/>
      <c r="U204" s="608"/>
      <c r="V204" s="609"/>
    </row>
    <row r="205" spans="3:22">
      <c r="C205" s="604"/>
      <c r="D205" s="608"/>
      <c r="E205" s="608"/>
      <c r="F205" s="608"/>
      <c r="G205" s="608"/>
      <c r="H205" s="608"/>
      <c r="I205" s="608"/>
      <c r="J205" s="608"/>
      <c r="K205" s="608"/>
      <c r="L205" s="608"/>
      <c r="M205" s="608"/>
      <c r="N205" s="608"/>
      <c r="O205" s="608"/>
      <c r="P205" s="608"/>
      <c r="Q205" s="608"/>
      <c r="R205" s="608"/>
      <c r="S205" s="608"/>
      <c r="T205" s="608"/>
      <c r="U205" s="608"/>
      <c r="V205" s="609"/>
    </row>
    <row r="206" spans="3:22">
      <c r="C206" s="604"/>
      <c r="D206" s="608"/>
      <c r="E206" s="608"/>
      <c r="F206" s="608"/>
      <c r="G206" s="608"/>
      <c r="H206" s="608"/>
      <c r="I206" s="608"/>
      <c r="J206" s="608"/>
      <c r="K206" s="608"/>
      <c r="L206" s="608"/>
      <c r="M206" s="608"/>
      <c r="N206" s="608"/>
      <c r="O206" s="608"/>
      <c r="P206" s="608"/>
      <c r="Q206" s="608"/>
      <c r="R206" s="608"/>
      <c r="S206" s="608"/>
      <c r="T206" s="608"/>
      <c r="U206" s="608"/>
      <c r="V206" s="609"/>
    </row>
    <row r="207" spans="3:22">
      <c r="C207" s="604"/>
      <c r="D207" s="608"/>
      <c r="E207" s="608"/>
      <c r="F207" s="608"/>
      <c r="G207" s="608"/>
      <c r="H207" s="608"/>
      <c r="I207" s="608"/>
      <c r="J207" s="608"/>
      <c r="K207" s="608"/>
      <c r="L207" s="608"/>
      <c r="M207" s="608"/>
      <c r="N207" s="608"/>
      <c r="O207" s="608"/>
      <c r="P207" s="608"/>
      <c r="Q207" s="608"/>
      <c r="R207" s="608"/>
      <c r="S207" s="608"/>
      <c r="T207" s="608"/>
      <c r="U207" s="608"/>
      <c r="V207" s="609"/>
    </row>
    <row r="208" spans="3:22">
      <c r="C208" s="604"/>
      <c r="D208" s="608"/>
      <c r="E208" s="608"/>
      <c r="F208" s="608"/>
      <c r="G208" s="608"/>
      <c r="H208" s="608"/>
      <c r="I208" s="608"/>
      <c r="J208" s="608"/>
      <c r="K208" s="608"/>
      <c r="L208" s="608"/>
      <c r="M208" s="608"/>
      <c r="N208" s="608"/>
      <c r="O208" s="608"/>
      <c r="P208" s="608"/>
      <c r="Q208" s="608"/>
      <c r="R208" s="608"/>
      <c r="S208" s="608"/>
      <c r="T208" s="608"/>
      <c r="U208" s="608"/>
      <c r="V208" s="609"/>
    </row>
    <row r="209" spans="3:22">
      <c r="C209" s="604"/>
      <c r="D209" s="608"/>
      <c r="E209" s="608"/>
      <c r="F209" s="608"/>
      <c r="G209" s="608"/>
      <c r="H209" s="608"/>
      <c r="I209" s="608"/>
      <c r="J209" s="608"/>
      <c r="K209" s="608"/>
      <c r="L209" s="608"/>
      <c r="M209" s="608"/>
      <c r="N209" s="608"/>
      <c r="O209" s="608"/>
      <c r="P209" s="608"/>
      <c r="Q209" s="608"/>
      <c r="R209" s="608"/>
      <c r="S209" s="608"/>
      <c r="T209" s="608"/>
      <c r="U209" s="608"/>
      <c r="V209" s="609"/>
    </row>
    <row r="210" spans="3:22">
      <c r="C210" s="604"/>
      <c r="D210" s="608"/>
      <c r="E210" s="608"/>
      <c r="F210" s="608"/>
      <c r="G210" s="608"/>
      <c r="H210" s="608"/>
      <c r="I210" s="608"/>
      <c r="J210" s="608"/>
      <c r="K210" s="608"/>
      <c r="L210" s="608"/>
      <c r="M210" s="608"/>
      <c r="N210" s="608"/>
      <c r="O210" s="608"/>
      <c r="P210" s="608"/>
      <c r="Q210" s="608"/>
      <c r="R210" s="608"/>
      <c r="S210" s="608"/>
      <c r="T210" s="608"/>
      <c r="U210" s="608"/>
      <c r="V210" s="609"/>
    </row>
    <row r="211" spans="3:22">
      <c r="C211" s="604"/>
      <c r="D211" s="608"/>
      <c r="E211" s="608"/>
      <c r="F211" s="608"/>
      <c r="G211" s="608"/>
      <c r="H211" s="608"/>
      <c r="I211" s="608"/>
      <c r="J211" s="608"/>
      <c r="K211" s="608"/>
      <c r="L211" s="608"/>
      <c r="M211" s="608"/>
      <c r="N211" s="608"/>
      <c r="O211" s="608"/>
      <c r="P211" s="608"/>
      <c r="Q211" s="608"/>
      <c r="R211" s="608"/>
      <c r="S211" s="608"/>
      <c r="T211" s="608"/>
      <c r="U211" s="608"/>
      <c r="V211" s="609"/>
    </row>
    <row r="212" spans="3:22">
      <c r="C212" s="604"/>
      <c r="D212" s="608"/>
      <c r="E212" s="608"/>
      <c r="F212" s="608"/>
      <c r="G212" s="608"/>
      <c r="H212" s="608"/>
      <c r="I212" s="608"/>
      <c r="J212" s="608"/>
      <c r="K212" s="608"/>
      <c r="L212" s="608"/>
      <c r="M212" s="608"/>
      <c r="N212" s="608"/>
      <c r="O212" s="608"/>
      <c r="P212" s="608"/>
      <c r="Q212" s="608"/>
      <c r="R212" s="608"/>
      <c r="S212" s="608"/>
      <c r="T212" s="608"/>
      <c r="U212" s="608"/>
      <c r="V212" s="609"/>
    </row>
    <row r="213" spans="3:22">
      <c r="C213" s="604"/>
      <c r="D213" s="608"/>
      <c r="E213" s="608"/>
      <c r="F213" s="608"/>
      <c r="G213" s="608"/>
      <c r="H213" s="608"/>
      <c r="I213" s="608"/>
      <c r="J213" s="608"/>
      <c r="K213" s="608"/>
      <c r="L213" s="608"/>
      <c r="M213" s="608"/>
      <c r="N213" s="608"/>
      <c r="O213" s="608"/>
      <c r="P213" s="608"/>
      <c r="Q213" s="608"/>
      <c r="R213" s="608"/>
      <c r="S213" s="608"/>
      <c r="T213" s="608"/>
      <c r="U213" s="608"/>
      <c r="V213" s="609"/>
    </row>
    <row r="214" spans="3:22">
      <c r="C214" s="604"/>
      <c r="D214" s="608"/>
      <c r="E214" s="608"/>
      <c r="F214" s="608"/>
      <c r="G214" s="608"/>
      <c r="H214" s="608"/>
      <c r="I214" s="608"/>
      <c r="J214" s="608"/>
      <c r="K214" s="608"/>
      <c r="L214" s="608"/>
      <c r="M214" s="608"/>
      <c r="N214" s="608"/>
      <c r="O214" s="608"/>
      <c r="P214" s="608"/>
      <c r="Q214" s="608"/>
      <c r="R214" s="608"/>
      <c r="S214" s="608"/>
      <c r="T214" s="608"/>
      <c r="U214" s="608"/>
      <c r="V214" s="609"/>
    </row>
    <row r="215" spans="3:22">
      <c r="C215" s="604"/>
      <c r="D215" s="608"/>
      <c r="E215" s="608"/>
      <c r="F215" s="608"/>
      <c r="G215" s="608"/>
      <c r="H215" s="608"/>
      <c r="I215" s="608"/>
      <c r="J215" s="608"/>
      <c r="K215" s="608"/>
      <c r="L215" s="608"/>
      <c r="M215" s="608"/>
      <c r="N215" s="608"/>
      <c r="O215" s="608"/>
      <c r="P215" s="608"/>
      <c r="Q215" s="608"/>
      <c r="R215" s="608"/>
      <c r="S215" s="608"/>
      <c r="T215" s="608"/>
      <c r="U215" s="608"/>
      <c r="V215" s="609"/>
    </row>
    <row r="216" spans="3:22">
      <c r="C216" s="604"/>
      <c r="D216" s="608"/>
      <c r="E216" s="608"/>
      <c r="F216" s="608"/>
      <c r="G216" s="608"/>
      <c r="H216" s="608"/>
      <c r="I216" s="608"/>
      <c r="J216" s="608"/>
      <c r="K216" s="608"/>
      <c r="L216" s="608"/>
      <c r="M216" s="608"/>
      <c r="N216" s="608"/>
      <c r="O216" s="608"/>
      <c r="P216" s="608"/>
      <c r="Q216" s="608"/>
      <c r="R216" s="608"/>
      <c r="S216" s="608"/>
      <c r="T216" s="608"/>
      <c r="U216" s="608"/>
      <c r="V216" s="609"/>
    </row>
    <row r="217" spans="3:22">
      <c r="C217" s="604"/>
      <c r="D217" s="608"/>
      <c r="E217" s="608"/>
      <c r="F217" s="608"/>
      <c r="G217" s="608"/>
      <c r="H217" s="608"/>
      <c r="I217" s="608"/>
      <c r="J217" s="608"/>
      <c r="K217" s="608"/>
      <c r="L217" s="608"/>
      <c r="M217" s="608"/>
      <c r="N217" s="608"/>
      <c r="O217" s="608"/>
      <c r="P217" s="608"/>
      <c r="Q217" s="608"/>
      <c r="R217" s="608"/>
      <c r="S217" s="608"/>
      <c r="T217" s="608"/>
      <c r="U217" s="608"/>
      <c r="V217" s="609"/>
    </row>
    <row r="218" spans="3:22">
      <c r="C218" s="604"/>
      <c r="D218" s="608"/>
      <c r="E218" s="608"/>
      <c r="F218" s="608"/>
      <c r="G218" s="608"/>
      <c r="H218" s="608"/>
      <c r="I218" s="608"/>
      <c r="J218" s="608"/>
      <c r="K218" s="608"/>
      <c r="L218" s="608"/>
      <c r="M218" s="608"/>
      <c r="N218" s="608"/>
      <c r="O218" s="608"/>
      <c r="P218" s="608"/>
      <c r="Q218" s="608"/>
      <c r="R218" s="608"/>
      <c r="S218" s="608"/>
      <c r="T218" s="608"/>
      <c r="U218" s="608"/>
      <c r="V218" s="609"/>
    </row>
    <row r="219" spans="3:22">
      <c r="C219" s="604"/>
      <c r="D219" s="608"/>
      <c r="E219" s="608"/>
      <c r="F219" s="608"/>
      <c r="G219" s="608"/>
      <c r="H219" s="608"/>
      <c r="I219" s="608"/>
      <c r="J219" s="608"/>
      <c r="K219" s="608"/>
      <c r="L219" s="608"/>
      <c r="M219" s="608"/>
      <c r="N219" s="608"/>
      <c r="O219" s="608"/>
      <c r="P219" s="608"/>
      <c r="Q219" s="608"/>
      <c r="R219" s="608"/>
      <c r="S219" s="608"/>
      <c r="T219" s="608"/>
      <c r="U219" s="608"/>
      <c r="V219" s="609"/>
    </row>
    <row r="220" spans="3:22">
      <c r="C220" s="604"/>
      <c r="D220" s="608"/>
      <c r="E220" s="608"/>
      <c r="F220" s="608"/>
      <c r="G220" s="608"/>
      <c r="H220" s="608"/>
      <c r="I220" s="608"/>
      <c r="J220" s="608"/>
      <c r="K220" s="608"/>
      <c r="L220" s="608"/>
      <c r="M220" s="608"/>
      <c r="N220" s="608"/>
      <c r="O220" s="608"/>
      <c r="P220" s="608"/>
      <c r="Q220" s="608"/>
      <c r="R220" s="608"/>
      <c r="S220" s="608"/>
      <c r="T220" s="608"/>
      <c r="U220" s="608"/>
      <c r="V220" s="609"/>
    </row>
    <row r="221" spans="3:22">
      <c r="C221" s="604"/>
      <c r="D221" s="608"/>
      <c r="E221" s="608"/>
      <c r="F221" s="608"/>
      <c r="G221" s="608"/>
      <c r="H221" s="608"/>
      <c r="I221" s="608"/>
      <c r="J221" s="608"/>
      <c r="K221" s="608"/>
      <c r="L221" s="608"/>
      <c r="M221" s="608"/>
      <c r="N221" s="608"/>
      <c r="O221" s="608"/>
      <c r="P221" s="608"/>
      <c r="Q221" s="608"/>
      <c r="R221" s="608"/>
      <c r="S221" s="608"/>
      <c r="T221" s="608"/>
      <c r="U221" s="608"/>
      <c r="V221" s="609"/>
    </row>
    <row r="222" spans="3:22">
      <c r="C222" s="604"/>
      <c r="D222" s="608"/>
      <c r="E222" s="608"/>
      <c r="F222" s="608"/>
      <c r="G222" s="608"/>
      <c r="H222" s="608"/>
      <c r="I222" s="608"/>
      <c r="J222" s="608"/>
      <c r="K222" s="608"/>
      <c r="L222" s="608"/>
      <c r="M222" s="608"/>
      <c r="N222" s="608"/>
      <c r="O222" s="608"/>
      <c r="P222" s="608"/>
      <c r="Q222" s="608"/>
      <c r="R222" s="608"/>
      <c r="S222" s="608"/>
      <c r="T222" s="608"/>
      <c r="U222" s="608"/>
      <c r="V222" s="609"/>
    </row>
    <row r="223" spans="3:22">
      <c r="C223" s="604"/>
      <c r="D223" s="608"/>
      <c r="E223" s="608"/>
      <c r="F223" s="608"/>
      <c r="G223" s="608"/>
      <c r="H223" s="608"/>
      <c r="I223" s="608"/>
      <c r="J223" s="608"/>
      <c r="K223" s="608"/>
      <c r="L223" s="608"/>
      <c r="M223" s="608"/>
      <c r="N223" s="608"/>
      <c r="O223" s="608"/>
      <c r="P223" s="608"/>
      <c r="Q223" s="608"/>
      <c r="R223" s="608"/>
      <c r="S223" s="608"/>
      <c r="T223" s="608"/>
      <c r="U223" s="608"/>
      <c r="V223" s="609"/>
    </row>
    <row r="224" spans="3:22">
      <c r="C224" s="604"/>
      <c r="D224" s="608"/>
      <c r="E224" s="608"/>
      <c r="F224" s="608"/>
      <c r="G224" s="608"/>
      <c r="H224" s="608"/>
      <c r="I224" s="608"/>
      <c r="J224" s="608"/>
      <c r="K224" s="608"/>
      <c r="L224" s="608"/>
      <c r="M224" s="608"/>
      <c r="N224" s="608"/>
      <c r="O224" s="608"/>
      <c r="P224" s="608"/>
      <c r="Q224" s="608"/>
      <c r="R224" s="608"/>
      <c r="S224" s="608"/>
      <c r="T224" s="608"/>
      <c r="U224" s="608"/>
      <c r="V224" s="609"/>
    </row>
    <row r="225" spans="3:22">
      <c r="C225" s="604"/>
      <c r="D225" s="608"/>
      <c r="E225" s="608"/>
      <c r="F225" s="608"/>
      <c r="G225" s="608"/>
      <c r="H225" s="608"/>
      <c r="I225" s="608"/>
      <c r="J225" s="608"/>
      <c r="K225" s="608"/>
      <c r="L225" s="608"/>
      <c r="M225" s="608"/>
      <c r="N225" s="608"/>
      <c r="O225" s="608"/>
      <c r="P225" s="608"/>
      <c r="Q225" s="608"/>
      <c r="R225" s="608"/>
      <c r="S225" s="608"/>
      <c r="T225" s="608"/>
      <c r="U225" s="608"/>
      <c r="V225" s="609"/>
    </row>
    <row r="226" spans="3:22">
      <c r="C226" s="604"/>
      <c r="D226" s="608"/>
      <c r="E226" s="608"/>
      <c r="F226" s="608"/>
      <c r="G226" s="608"/>
      <c r="H226" s="608"/>
      <c r="I226" s="608"/>
      <c r="J226" s="608"/>
      <c r="K226" s="608"/>
      <c r="L226" s="608"/>
      <c r="M226" s="608"/>
      <c r="N226" s="608"/>
      <c r="O226" s="608"/>
      <c r="P226" s="608"/>
      <c r="Q226" s="608"/>
      <c r="R226" s="608"/>
      <c r="S226" s="608"/>
      <c r="T226" s="608"/>
      <c r="U226" s="608"/>
      <c r="V226" s="609"/>
    </row>
    <row r="227" spans="3:22">
      <c r="C227" s="604"/>
      <c r="D227" s="608"/>
      <c r="E227" s="608"/>
      <c r="F227" s="608"/>
      <c r="G227" s="608"/>
      <c r="H227" s="608"/>
      <c r="I227" s="608"/>
      <c r="J227" s="608"/>
      <c r="K227" s="608"/>
      <c r="L227" s="608"/>
      <c r="M227" s="608"/>
      <c r="N227" s="608"/>
      <c r="O227" s="608"/>
      <c r="P227" s="608"/>
      <c r="Q227" s="608"/>
      <c r="R227" s="608"/>
      <c r="S227" s="608"/>
      <c r="T227" s="608"/>
      <c r="U227" s="608"/>
      <c r="V227" s="609"/>
    </row>
    <row r="228" spans="3:22">
      <c r="C228" s="604"/>
      <c r="D228" s="608"/>
      <c r="E228" s="608"/>
      <c r="F228" s="608"/>
      <c r="G228" s="608"/>
      <c r="H228" s="608"/>
      <c r="I228" s="608"/>
      <c r="J228" s="608"/>
      <c r="K228" s="608"/>
      <c r="L228" s="608"/>
      <c r="M228" s="608"/>
      <c r="N228" s="608"/>
      <c r="O228" s="608"/>
      <c r="P228" s="608"/>
      <c r="Q228" s="608"/>
      <c r="R228" s="608"/>
      <c r="S228" s="608"/>
      <c r="T228" s="608"/>
      <c r="U228" s="608"/>
      <c r="V228" s="609"/>
    </row>
    <row r="229" spans="3:22">
      <c r="C229" s="604"/>
      <c r="D229" s="608"/>
      <c r="E229" s="608"/>
      <c r="F229" s="608"/>
      <c r="G229" s="608"/>
      <c r="H229" s="608"/>
      <c r="I229" s="608"/>
      <c r="J229" s="608"/>
      <c r="K229" s="608"/>
      <c r="L229" s="608"/>
      <c r="M229" s="608"/>
      <c r="N229" s="608"/>
      <c r="O229" s="608"/>
      <c r="P229" s="608"/>
      <c r="Q229" s="608"/>
      <c r="R229" s="608"/>
      <c r="S229" s="608"/>
      <c r="T229" s="608"/>
      <c r="U229" s="608"/>
      <c r="V229" s="609"/>
    </row>
    <row r="230" spans="3:22">
      <c r="C230" s="604"/>
      <c r="D230" s="608"/>
      <c r="E230" s="608"/>
      <c r="F230" s="608"/>
      <c r="G230" s="608"/>
      <c r="H230" s="608"/>
      <c r="I230" s="608"/>
      <c r="J230" s="608"/>
      <c r="K230" s="608"/>
      <c r="L230" s="608"/>
      <c r="M230" s="608"/>
      <c r="N230" s="608"/>
      <c r="O230" s="608"/>
      <c r="P230" s="608"/>
      <c r="Q230" s="608"/>
      <c r="R230" s="608"/>
      <c r="S230" s="608"/>
      <c r="T230" s="608"/>
      <c r="U230" s="608"/>
      <c r="V230" s="609"/>
    </row>
    <row r="231" spans="3:22">
      <c r="C231" s="604"/>
      <c r="D231" s="608"/>
      <c r="E231" s="608"/>
      <c r="F231" s="608"/>
      <c r="G231" s="608"/>
      <c r="H231" s="608"/>
      <c r="I231" s="608"/>
      <c r="J231" s="608"/>
      <c r="K231" s="608"/>
      <c r="L231" s="608"/>
      <c r="M231" s="608"/>
      <c r="N231" s="608"/>
      <c r="O231" s="608"/>
      <c r="P231" s="608"/>
      <c r="Q231" s="608"/>
      <c r="R231" s="608"/>
      <c r="S231" s="608"/>
      <c r="T231" s="608"/>
      <c r="U231" s="608"/>
      <c r="V231" s="609"/>
    </row>
    <row r="232" spans="3:22">
      <c r="C232" s="604"/>
      <c r="D232" s="608"/>
      <c r="E232" s="608"/>
      <c r="F232" s="608"/>
      <c r="G232" s="608"/>
      <c r="H232" s="608"/>
      <c r="I232" s="608"/>
      <c r="J232" s="608"/>
      <c r="K232" s="608"/>
      <c r="L232" s="608"/>
      <c r="M232" s="608"/>
      <c r="N232" s="608"/>
      <c r="O232" s="608"/>
      <c r="P232" s="608"/>
      <c r="Q232" s="608"/>
      <c r="R232" s="608"/>
      <c r="S232" s="608"/>
      <c r="T232" s="608"/>
      <c r="U232" s="608"/>
      <c r="V232" s="609"/>
    </row>
    <row r="233" spans="3:22">
      <c r="C233" s="604"/>
      <c r="D233" s="608"/>
      <c r="E233" s="608"/>
      <c r="F233" s="608"/>
      <c r="G233" s="608"/>
      <c r="H233" s="608"/>
      <c r="I233" s="608"/>
      <c r="J233" s="608"/>
      <c r="K233" s="608"/>
      <c r="L233" s="608"/>
      <c r="M233" s="608"/>
      <c r="N233" s="608"/>
      <c r="O233" s="608"/>
      <c r="P233" s="608"/>
      <c r="Q233" s="608"/>
      <c r="R233" s="608"/>
      <c r="S233" s="608"/>
      <c r="T233" s="608"/>
      <c r="U233" s="608"/>
      <c r="V233" s="609"/>
    </row>
    <row r="234" spans="3:22">
      <c r="C234" s="604"/>
      <c r="D234" s="608"/>
      <c r="E234" s="608"/>
      <c r="F234" s="608"/>
      <c r="G234" s="608"/>
      <c r="H234" s="608"/>
      <c r="I234" s="608"/>
      <c r="J234" s="608"/>
      <c r="K234" s="608"/>
      <c r="L234" s="608"/>
      <c r="M234" s="608"/>
      <c r="N234" s="608"/>
      <c r="O234" s="608"/>
      <c r="P234" s="608"/>
      <c r="Q234" s="608"/>
      <c r="R234" s="608"/>
      <c r="S234" s="608"/>
      <c r="T234" s="608"/>
      <c r="U234" s="608"/>
      <c r="V234" s="609"/>
    </row>
    <row r="235" spans="3:22">
      <c r="C235" s="604"/>
      <c r="D235" s="608"/>
      <c r="E235" s="608"/>
      <c r="F235" s="608"/>
      <c r="G235" s="608"/>
      <c r="H235" s="608"/>
      <c r="I235" s="608"/>
      <c r="J235" s="608"/>
      <c r="K235" s="608"/>
      <c r="L235" s="608"/>
      <c r="M235" s="608"/>
      <c r="N235" s="608"/>
      <c r="O235" s="608"/>
      <c r="P235" s="608"/>
      <c r="Q235" s="608"/>
      <c r="R235" s="608"/>
      <c r="S235" s="608"/>
      <c r="T235" s="608"/>
      <c r="U235" s="608"/>
      <c r="V235" s="609"/>
    </row>
    <row r="236" spans="3:22">
      <c r="C236" s="604"/>
      <c r="D236" s="608"/>
      <c r="E236" s="608"/>
      <c r="F236" s="608"/>
      <c r="G236" s="608"/>
      <c r="H236" s="608"/>
      <c r="I236" s="608"/>
      <c r="J236" s="608"/>
      <c r="K236" s="608"/>
      <c r="L236" s="608"/>
      <c r="M236" s="608"/>
      <c r="N236" s="608"/>
      <c r="O236" s="608"/>
      <c r="P236" s="608"/>
      <c r="Q236" s="608"/>
      <c r="R236" s="608"/>
      <c r="S236" s="608"/>
      <c r="T236" s="608"/>
      <c r="U236" s="608"/>
      <c r="V236" s="609"/>
    </row>
    <row r="237" spans="3:22">
      <c r="C237" s="604"/>
      <c r="D237" s="608"/>
      <c r="E237" s="608"/>
      <c r="F237" s="608"/>
      <c r="G237" s="608"/>
      <c r="H237" s="608"/>
      <c r="I237" s="608"/>
      <c r="J237" s="608"/>
      <c r="K237" s="608"/>
      <c r="L237" s="608"/>
      <c r="M237" s="608"/>
      <c r="N237" s="608"/>
      <c r="O237" s="608"/>
      <c r="P237" s="608"/>
      <c r="Q237" s="608"/>
      <c r="R237" s="608"/>
      <c r="S237" s="608"/>
      <c r="T237" s="608"/>
      <c r="U237" s="608"/>
      <c r="V237" s="609"/>
    </row>
    <row r="238" spans="3:22">
      <c r="C238" s="604"/>
      <c r="D238" s="608"/>
      <c r="E238" s="608"/>
      <c r="F238" s="608"/>
      <c r="G238" s="608"/>
      <c r="H238" s="608"/>
      <c r="I238" s="608"/>
      <c r="J238" s="608"/>
      <c r="K238" s="608"/>
      <c r="L238" s="608"/>
      <c r="M238" s="608"/>
      <c r="N238" s="608"/>
      <c r="O238" s="608"/>
      <c r="P238" s="608"/>
      <c r="Q238" s="608"/>
      <c r="R238" s="608"/>
      <c r="S238" s="608"/>
      <c r="T238" s="608"/>
      <c r="U238" s="608"/>
      <c r="V238" s="609"/>
    </row>
    <row r="239" spans="3:22">
      <c r="C239" s="604"/>
      <c r="D239" s="608"/>
      <c r="E239" s="608"/>
      <c r="F239" s="608"/>
      <c r="G239" s="608"/>
      <c r="H239" s="608"/>
      <c r="I239" s="608"/>
      <c r="J239" s="608"/>
      <c r="K239" s="608"/>
      <c r="L239" s="608"/>
      <c r="M239" s="608"/>
      <c r="N239" s="608"/>
      <c r="O239" s="608"/>
      <c r="P239" s="608"/>
      <c r="Q239" s="608"/>
      <c r="R239" s="608"/>
      <c r="S239" s="608"/>
      <c r="T239" s="608"/>
      <c r="U239" s="608"/>
      <c r="V239" s="609"/>
    </row>
    <row r="240" spans="3:22">
      <c r="C240" s="604"/>
      <c r="D240" s="608"/>
      <c r="E240" s="608"/>
      <c r="F240" s="608"/>
      <c r="G240" s="608"/>
      <c r="H240" s="608"/>
      <c r="I240" s="608"/>
      <c r="J240" s="608"/>
      <c r="K240" s="608"/>
      <c r="L240" s="608"/>
      <c r="M240" s="608"/>
      <c r="N240" s="608"/>
      <c r="O240" s="608"/>
      <c r="P240" s="608"/>
      <c r="Q240" s="608"/>
      <c r="R240" s="608"/>
      <c r="S240" s="608"/>
      <c r="T240" s="608"/>
      <c r="U240" s="608"/>
      <c r="V240" s="609"/>
    </row>
    <row r="241" spans="3:22">
      <c r="C241" s="604"/>
      <c r="D241" s="608"/>
      <c r="E241" s="608"/>
      <c r="F241" s="608"/>
      <c r="G241" s="608"/>
      <c r="H241" s="608"/>
      <c r="I241" s="608"/>
      <c r="J241" s="608"/>
      <c r="K241" s="608"/>
      <c r="L241" s="608"/>
      <c r="M241" s="608"/>
      <c r="N241" s="608"/>
      <c r="O241" s="608"/>
      <c r="P241" s="608"/>
      <c r="Q241" s="608"/>
      <c r="R241" s="608"/>
      <c r="S241" s="608"/>
      <c r="T241" s="608"/>
      <c r="U241" s="608"/>
      <c r="V241" s="609"/>
    </row>
    <row r="242" spans="3:22">
      <c r="C242" s="604"/>
      <c r="D242" s="608"/>
      <c r="E242" s="608"/>
      <c r="F242" s="608"/>
      <c r="G242" s="608"/>
      <c r="H242" s="608"/>
      <c r="I242" s="608"/>
      <c r="J242" s="608"/>
      <c r="K242" s="608"/>
      <c r="L242" s="608"/>
      <c r="M242" s="608"/>
      <c r="N242" s="608"/>
      <c r="O242" s="608"/>
      <c r="P242" s="608"/>
      <c r="Q242" s="608"/>
      <c r="R242" s="608"/>
      <c r="S242" s="608"/>
      <c r="T242" s="608"/>
      <c r="U242" s="608"/>
      <c r="V242" s="609"/>
    </row>
    <row r="243" spans="3:22">
      <c r="C243" s="604"/>
      <c r="D243" s="608"/>
      <c r="E243" s="608"/>
      <c r="F243" s="608"/>
      <c r="G243" s="608"/>
      <c r="H243" s="608"/>
      <c r="I243" s="608"/>
      <c r="J243" s="608"/>
      <c r="K243" s="608"/>
      <c r="L243" s="608"/>
      <c r="M243" s="608"/>
      <c r="N243" s="608"/>
      <c r="O243" s="608"/>
      <c r="P243" s="608"/>
      <c r="Q243" s="608"/>
      <c r="R243" s="608"/>
      <c r="S243" s="608"/>
      <c r="T243" s="608"/>
      <c r="U243" s="608"/>
      <c r="V243" s="609"/>
    </row>
    <row r="244" spans="3:22">
      <c r="C244" s="604"/>
      <c r="D244" s="608"/>
      <c r="E244" s="608"/>
      <c r="F244" s="608"/>
      <c r="G244" s="608"/>
      <c r="H244" s="608"/>
      <c r="I244" s="608"/>
      <c r="J244" s="608"/>
      <c r="K244" s="608"/>
      <c r="L244" s="608"/>
      <c r="M244" s="608"/>
      <c r="N244" s="608"/>
      <c r="O244" s="608"/>
      <c r="P244" s="608"/>
      <c r="Q244" s="608"/>
      <c r="R244" s="608"/>
      <c r="S244" s="608"/>
      <c r="T244" s="608"/>
      <c r="U244" s="608"/>
      <c r="V244" s="609"/>
    </row>
    <row r="245" spans="3:22">
      <c r="C245" s="604"/>
      <c r="D245" s="608"/>
      <c r="E245" s="608"/>
      <c r="F245" s="608"/>
      <c r="G245" s="608"/>
      <c r="H245" s="608"/>
      <c r="I245" s="608"/>
      <c r="J245" s="608"/>
      <c r="K245" s="608"/>
      <c r="L245" s="608"/>
      <c r="M245" s="608"/>
      <c r="N245" s="608"/>
      <c r="O245" s="608"/>
      <c r="P245" s="608"/>
      <c r="Q245" s="608"/>
      <c r="R245" s="608"/>
      <c r="S245" s="608"/>
      <c r="T245" s="608"/>
      <c r="U245" s="608"/>
      <c r="V245" s="609"/>
    </row>
    <row r="246" spans="3:22">
      <c r="C246" s="645"/>
      <c r="D246" s="612"/>
      <c r="E246" s="612"/>
      <c r="F246" s="612"/>
      <c r="G246" s="612"/>
      <c r="H246" s="612"/>
      <c r="I246" s="612"/>
      <c r="J246" s="612"/>
      <c r="K246" s="612"/>
      <c r="L246" s="612"/>
      <c r="M246" s="612"/>
      <c r="N246" s="612"/>
      <c r="O246" s="612"/>
      <c r="P246" s="612"/>
      <c r="Q246" s="612"/>
      <c r="R246" s="612"/>
      <c r="S246" s="612"/>
      <c r="T246" s="612"/>
      <c r="U246" s="612"/>
      <c r="V246" s="609"/>
    </row>
    <row r="247" spans="3:22">
      <c r="C247" s="645"/>
      <c r="D247" s="612"/>
      <c r="E247" s="612"/>
      <c r="F247" s="612"/>
      <c r="G247" s="612"/>
      <c r="H247" s="612"/>
      <c r="I247" s="612"/>
      <c r="J247" s="612"/>
      <c r="K247" s="612"/>
      <c r="L247" s="612"/>
      <c r="M247" s="612"/>
      <c r="N247" s="612"/>
      <c r="O247" s="612"/>
      <c r="P247" s="612"/>
      <c r="Q247" s="612"/>
      <c r="R247" s="612"/>
      <c r="S247" s="612"/>
      <c r="T247" s="612"/>
      <c r="U247" s="612"/>
      <c r="V247" s="609"/>
    </row>
    <row r="248" spans="3:22">
      <c r="C248" s="645"/>
      <c r="D248" s="612"/>
      <c r="E248" s="612"/>
      <c r="F248" s="612"/>
      <c r="G248" s="612"/>
      <c r="H248" s="612"/>
      <c r="I248" s="612"/>
      <c r="J248" s="612"/>
      <c r="K248" s="612"/>
      <c r="L248" s="612"/>
      <c r="M248" s="612"/>
      <c r="N248" s="612"/>
      <c r="O248" s="612"/>
      <c r="P248" s="612"/>
      <c r="Q248" s="612"/>
      <c r="R248" s="612"/>
      <c r="S248" s="612"/>
      <c r="T248" s="612"/>
      <c r="U248" s="612"/>
      <c r="V248" s="609"/>
    </row>
    <row r="249" spans="3:22">
      <c r="C249" s="645"/>
      <c r="D249" s="612"/>
      <c r="E249" s="612"/>
      <c r="F249" s="612"/>
      <c r="G249" s="612"/>
      <c r="H249" s="612"/>
      <c r="I249" s="612"/>
      <c r="J249" s="612"/>
      <c r="K249" s="612"/>
      <c r="L249" s="612"/>
      <c r="M249" s="612"/>
      <c r="N249" s="612"/>
      <c r="O249" s="612"/>
      <c r="P249" s="612"/>
      <c r="Q249" s="612"/>
      <c r="R249" s="612"/>
      <c r="S249" s="612"/>
      <c r="T249" s="612"/>
      <c r="U249" s="612"/>
      <c r="V249" s="609"/>
    </row>
    <row r="250" spans="3:22">
      <c r="C250" s="645"/>
      <c r="D250" s="612"/>
      <c r="E250" s="612"/>
      <c r="F250" s="612"/>
      <c r="G250" s="612"/>
      <c r="H250" s="612"/>
      <c r="I250" s="612"/>
      <c r="J250" s="612"/>
      <c r="K250" s="612"/>
      <c r="L250" s="612"/>
      <c r="M250" s="612"/>
      <c r="N250" s="612"/>
      <c r="O250" s="612"/>
      <c r="P250" s="612"/>
      <c r="Q250" s="612"/>
      <c r="R250" s="612"/>
      <c r="S250" s="612"/>
      <c r="T250" s="612"/>
      <c r="U250" s="612"/>
      <c r="V250" s="609"/>
    </row>
    <row r="251" spans="3:22">
      <c r="C251" s="645"/>
      <c r="D251" s="612"/>
      <c r="E251" s="612"/>
      <c r="F251" s="612"/>
      <c r="G251" s="612"/>
      <c r="H251" s="612"/>
      <c r="I251" s="612"/>
      <c r="J251" s="612"/>
      <c r="K251" s="612"/>
      <c r="L251" s="612"/>
      <c r="M251" s="612"/>
      <c r="N251" s="612"/>
      <c r="O251" s="612"/>
      <c r="P251" s="612"/>
      <c r="Q251" s="612"/>
      <c r="R251" s="612"/>
      <c r="S251" s="612"/>
      <c r="T251" s="612"/>
      <c r="U251" s="612"/>
      <c r="V251" s="609"/>
    </row>
    <row r="252" spans="3:22">
      <c r="C252" s="645"/>
      <c r="D252" s="612"/>
      <c r="E252" s="612"/>
      <c r="F252" s="612"/>
      <c r="G252" s="612"/>
      <c r="H252" s="612"/>
      <c r="I252" s="612"/>
      <c r="J252" s="612"/>
      <c r="K252" s="612"/>
      <c r="L252" s="612"/>
      <c r="M252" s="612"/>
      <c r="N252" s="612"/>
      <c r="O252" s="612"/>
      <c r="P252" s="612"/>
      <c r="Q252" s="612"/>
      <c r="R252" s="612"/>
      <c r="S252" s="612"/>
      <c r="T252" s="612"/>
      <c r="U252" s="612"/>
      <c r="V252" s="609"/>
    </row>
    <row r="253" spans="3:22">
      <c r="C253" s="645"/>
      <c r="D253" s="612"/>
      <c r="E253" s="612"/>
      <c r="F253" s="612"/>
      <c r="G253" s="612"/>
      <c r="H253" s="612"/>
      <c r="I253" s="612"/>
      <c r="J253" s="612"/>
      <c r="K253" s="612"/>
      <c r="L253" s="612"/>
      <c r="M253" s="612"/>
      <c r="N253" s="612"/>
      <c r="O253" s="612"/>
      <c r="P253" s="612"/>
      <c r="Q253" s="612"/>
      <c r="R253" s="612"/>
      <c r="S253" s="612"/>
      <c r="T253" s="612"/>
      <c r="U253" s="612"/>
      <c r="V253" s="609"/>
    </row>
    <row r="254" spans="3:22">
      <c r="C254" s="645"/>
      <c r="D254" s="612"/>
      <c r="E254" s="612"/>
      <c r="F254" s="612"/>
      <c r="G254" s="612"/>
      <c r="H254" s="612"/>
      <c r="I254" s="612"/>
      <c r="J254" s="612"/>
      <c r="K254" s="612"/>
      <c r="L254" s="612"/>
      <c r="M254" s="612"/>
      <c r="N254" s="612"/>
      <c r="O254" s="612"/>
      <c r="P254" s="612"/>
      <c r="Q254" s="612"/>
      <c r="R254" s="612"/>
      <c r="S254" s="612"/>
      <c r="T254" s="612"/>
      <c r="U254" s="612"/>
      <c r="V254" s="609"/>
    </row>
    <row r="255" spans="3:22">
      <c r="C255" s="645"/>
      <c r="D255" s="612"/>
      <c r="E255" s="612"/>
      <c r="F255" s="612"/>
      <c r="G255" s="612"/>
      <c r="H255" s="612"/>
      <c r="I255" s="612"/>
      <c r="J255" s="612"/>
      <c r="K255" s="612"/>
      <c r="L255" s="612"/>
      <c r="M255" s="612"/>
      <c r="N255" s="612"/>
      <c r="O255" s="612"/>
      <c r="P255" s="612"/>
      <c r="Q255" s="612"/>
      <c r="R255" s="612"/>
      <c r="S255" s="612"/>
      <c r="T255" s="612"/>
      <c r="U255" s="612"/>
      <c r="V255" s="609"/>
    </row>
    <row r="256" spans="3:22">
      <c r="C256" s="645"/>
      <c r="D256" s="612"/>
      <c r="E256" s="612"/>
      <c r="F256" s="612"/>
      <c r="G256" s="612"/>
      <c r="H256" s="612"/>
      <c r="I256" s="612"/>
      <c r="J256" s="612"/>
      <c r="K256" s="612"/>
      <c r="L256" s="612"/>
      <c r="M256" s="612"/>
      <c r="N256" s="612"/>
      <c r="O256" s="612"/>
      <c r="P256" s="612"/>
      <c r="Q256" s="612"/>
      <c r="R256" s="612"/>
      <c r="S256" s="612"/>
      <c r="T256" s="612"/>
      <c r="U256" s="612"/>
      <c r="V256" s="609"/>
    </row>
    <row r="257" spans="3:22">
      <c r="C257" s="645"/>
      <c r="D257" s="612"/>
      <c r="E257" s="612"/>
      <c r="F257" s="612"/>
      <c r="G257" s="612"/>
      <c r="H257" s="612"/>
      <c r="I257" s="612"/>
      <c r="J257" s="612"/>
      <c r="K257" s="612"/>
      <c r="L257" s="612"/>
      <c r="M257" s="612"/>
      <c r="N257" s="612"/>
      <c r="O257" s="612"/>
      <c r="P257" s="612"/>
      <c r="Q257" s="612"/>
      <c r="R257" s="612"/>
      <c r="S257" s="612"/>
      <c r="T257" s="612"/>
      <c r="U257" s="612"/>
      <c r="V257" s="609"/>
    </row>
    <row r="258" spans="3:22">
      <c r="C258" s="645"/>
      <c r="D258" s="612"/>
      <c r="E258" s="612"/>
      <c r="F258" s="612"/>
      <c r="G258" s="612"/>
      <c r="H258" s="612"/>
      <c r="I258" s="612"/>
      <c r="J258" s="612"/>
      <c r="K258" s="612"/>
      <c r="L258" s="612"/>
      <c r="M258" s="612"/>
      <c r="N258" s="612"/>
      <c r="O258" s="612"/>
      <c r="P258" s="612"/>
      <c r="Q258" s="612"/>
      <c r="R258" s="612"/>
      <c r="S258" s="612"/>
      <c r="T258" s="612"/>
      <c r="U258" s="612"/>
      <c r="V258" s="609"/>
    </row>
    <row r="259" spans="3:22">
      <c r="C259" s="645"/>
      <c r="D259" s="612"/>
      <c r="E259" s="612"/>
      <c r="F259" s="612"/>
      <c r="G259" s="612"/>
      <c r="H259" s="612"/>
      <c r="I259" s="612"/>
      <c r="J259" s="612"/>
      <c r="K259" s="612"/>
      <c r="L259" s="612"/>
      <c r="M259" s="612"/>
      <c r="N259" s="612"/>
      <c r="O259" s="612"/>
      <c r="P259" s="612"/>
      <c r="Q259" s="612"/>
      <c r="R259" s="612"/>
      <c r="S259" s="612"/>
      <c r="T259" s="612"/>
      <c r="U259" s="612"/>
      <c r="V259" s="609"/>
    </row>
    <row r="260" spans="3:22">
      <c r="C260" s="645"/>
      <c r="D260" s="612"/>
      <c r="E260" s="612"/>
      <c r="F260" s="612"/>
      <c r="G260" s="612"/>
      <c r="H260" s="612"/>
      <c r="I260" s="612"/>
      <c r="J260" s="612"/>
      <c r="K260" s="612"/>
      <c r="L260" s="612"/>
      <c r="M260" s="612"/>
      <c r="N260" s="612"/>
      <c r="O260" s="612"/>
      <c r="P260" s="612"/>
      <c r="Q260" s="612"/>
      <c r="R260" s="612"/>
      <c r="S260" s="612"/>
      <c r="T260" s="612"/>
      <c r="U260" s="612"/>
      <c r="V260" s="609"/>
    </row>
    <row r="261" spans="3:22">
      <c r="C261" s="645"/>
      <c r="D261" s="612"/>
      <c r="E261" s="612"/>
      <c r="F261" s="612"/>
      <c r="G261" s="612"/>
      <c r="H261" s="612"/>
      <c r="I261" s="612"/>
      <c r="J261" s="612"/>
      <c r="K261" s="612"/>
      <c r="L261" s="612"/>
      <c r="M261" s="612"/>
      <c r="N261" s="612"/>
      <c r="O261" s="612"/>
      <c r="P261" s="612"/>
      <c r="Q261" s="612"/>
      <c r="R261" s="612"/>
      <c r="S261" s="612"/>
      <c r="T261" s="612"/>
      <c r="U261" s="612"/>
      <c r="V261" s="609"/>
    </row>
    <row r="262" spans="3:22">
      <c r="C262" s="645"/>
      <c r="D262" s="612"/>
      <c r="E262" s="612"/>
      <c r="F262" s="612"/>
      <c r="G262" s="612"/>
      <c r="H262" s="612"/>
      <c r="I262" s="612"/>
      <c r="J262" s="612"/>
      <c r="K262" s="612"/>
      <c r="L262" s="612"/>
      <c r="M262" s="612"/>
      <c r="N262" s="612"/>
      <c r="O262" s="612"/>
      <c r="P262" s="612"/>
      <c r="Q262" s="612"/>
      <c r="R262" s="612"/>
      <c r="S262" s="612"/>
      <c r="T262" s="612"/>
      <c r="U262" s="612"/>
      <c r="V262" s="609"/>
    </row>
    <row r="263" spans="3:22">
      <c r="C263" s="645"/>
      <c r="D263" s="612"/>
      <c r="E263" s="612"/>
      <c r="F263" s="612"/>
      <c r="G263" s="612"/>
      <c r="H263" s="612"/>
      <c r="I263" s="612"/>
      <c r="J263" s="612"/>
      <c r="K263" s="612"/>
      <c r="L263" s="612"/>
      <c r="M263" s="612"/>
      <c r="N263" s="612"/>
      <c r="O263" s="612"/>
      <c r="P263" s="612"/>
      <c r="Q263" s="612"/>
      <c r="R263" s="612"/>
      <c r="S263" s="612"/>
      <c r="T263" s="612"/>
      <c r="U263" s="612"/>
      <c r="V263" s="609"/>
    </row>
    <row r="264" spans="3:22">
      <c r="C264" s="645"/>
      <c r="D264" s="612"/>
      <c r="E264" s="612"/>
      <c r="F264" s="612"/>
      <c r="G264" s="612"/>
      <c r="H264" s="612"/>
      <c r="I264" s="612"/>
      <c r="J264" s="612"/>
      <c r="K264" s="612"/>
      <c r="L264" s="612"/>
      <c r="M264" s="612"/>
      <c r="N264" s="612"/>
      <c r="O264" s="612"/>
      <c r="P264" s="612"/>
      <c r="Q264" s="612"/>
      <c r="R264" s="612"/>
      <c r="S264" s="612"/>
      <c r="T264" s="612"/>
      <c r="U264" s="612"/>
      <c r="V264" s="609"/>
    </row>
    <row r="265" spans="3:22">
      <c r="C265" s="645"/>
      <c r="D265" s="612"/>
      <c r="E265" s="612"/>
      <c r="F265" s="612"/>
      <c r="G265" s="612"/>
      <c r="H265" s="612"/>
      <c r="I265" s="612"/>
      <c r="J265" s="612"/>
      <c r="K265" s="612"/>
      <c r="L265" s="612"/>
      <c r="M265" s="612"/>
      <c r="N265" s="612"/>
      <c r="O265" s="612"/>
      <c r="P265" s="612"/>
      <c r="Q265" s="612"/>
      <c r="R265" s="612"/>
      <c r="S265" s="612"/>
      <c r="T265" s="612"/>
      <c r="U265" s="612"/>
      <c r="V265" s="609"/>
    </row>
    <row r="266" spans="3:22">
      <c r="C266" s="645"/>
      <c r="D266" s="612"/>
      <c r="E266" s="612"/>
      <c r="F266" s="612"/>
      <c r="G266" s="612"/>
      <c r="H266" s="612"/>
      <c r="I266" s="612"/>
      <c r="J266" s="612"/>
      <c r="K266" s="612"/>
      <c r="L266" s="612"/>
      <c r="M266" s="612"/>
      <c r="N266" s="612"/>
      <c r="O266" s="612"/>
      <c r="P266" s="612"/>
      <c r="Q266" s="612"/>
      <c r="R266" s="612"/>
      <c r="S266" s="612"/>
      <c r="T266" s="612"/>
      <c r="U266" s="612"/>
      <c r="V266" s="609"/>
    </row>
    <row r="267" spans="3:22">
      <c r="C267" s="645"/>
      <c r="D267" s="612"/>
      <c r="E267" s="612"/>
      <c r="F267" s="612"/>
      <c r="G267" s="612"/>
      <c r="H267" s="612"/>
      <c r="I267" s="612"/>
      <c r="J267" s="612"/>
      <c r="K267" s="612"/>
      <c r="L267" s="612"/>
      <c r="M267" s="612"/>
      <c r="N267" s="612"/>
      <c r="O267" s="612"/>
      <c r="P267" s="612"/>
      <c r="Q267" s="612"/>
      <c r="R267" s="612"/>
      <c r="S267" s="612"/>
      <c r="T267" s="612"/>
      <c r="U267" s="612"/>
      <c r="V267" s="609"/>
    </row>
    <row r="268" spans="3:22">
      <c r="C268" s="645"/>
      <c r="D268" s="612"/>
      <c r="E268" s="612"/>
      <c r="F268" s="612"/>
      <c r="G268" s="612"/>
      <c r="H268" s="612"/>
      <c r="I268" s="612"/>
      <c r="J268" s="612"/>
      <c r="K268" s="612"/>
      <c r="L268" s="612"/>
      <c r="M268" s="612"/>
      <c r="N268" s="612"/>
      <c r="O268" s="612"/>
      <c r="P268" s="612"/>
      <c r="Q268" s="612"/>
      <c r="R268" s="612"/>
      <c r="S268" s="612"/>
      <c r="T268" s="612"/>
      <c r="U268" s="612"/>
      <c r="V268" s="609"/>
    </row>
    <row r="269" spans="3:22">
      <c r="C269" s="645"/>
      <c r="D269" s="612"/>
      <c r="E269" s="612"/>
      <c r="F269" s="612"/>
      <c r="G269" s="612"/>
      <c r="H269" s="612"/>
      <c r="I269" s="612"/>
      <c r="J269" s="612"/>
      <c r="K269" s="612"/>
      <c r="L269" s="612"/>
      <c r="M269" s="612"/>
      <c r="N269" s="612"/>
      <c r="O269" s="612"/>
      <c r="P269" s="612"/>
      <c r="Q269" s="612"/>
      <c r="R269" s="612"/>
      <c r="S269" s="612"/>
      <c r="T269" s="612"/>
      <c r="U269" s="612"/>
      <c r="V269" s="609"/>
    </row>
    <row r="270" spans="3:22">
      <c r="C270" s="645"/>
      <c r="D270" s="612"/>
      <c r="E270" s="612"/>
      <c r="F270" s="612"/>
      <c r="G270" s="612"/>
      <c r="H270" s="612"/>
      <c r="I270" s="612"/>
      <c r="J270" s="612"/>
      <c r="K270" s="612"/>
      <c r="L270" s="612"/>
      <c r="M270" s="612"/>
      <c r="N270" s="612"/>
      <c r="O270" s="612"/>
      <c r="P270" s="612"/>
      <c r="Q270" s="612"/>
      <c r="R270" s="612"/>
      <c r="S270" s="612"/>
      <c r="T270" s="612"/>
      <c r="U270" s="612"/>
      <c r="V270" s="609"/>
    </row>
    <row r="271" spans="3:22">
      <c r="C271" s="645"/>
      <c r="D271" s="612"/>
      <c r="E271" s="612"/>
      <c r="F271" s="612"/>
      <c r="G271" s="612"/>
      <c r="H271" s="612"/>
      <c r="I271" s="612"/>
      <c r="J271" s="612"/>
      <c r="K271" s="612"/>
      <c r="L271" s="612"/>
      <c r="M271" s="612"/>
      <c r="N271" s="612"/>
      <c r="O271" s="612"/>
      <c r="P271" s="612"/>
      <c r="Q271" s="612"/>
      <c r="R271" s="612"/>
      <c r="S271" s="612"/>
      <c r="T271" s="612"/>
      <c r="U271" s="612"/>
      <c r="V271" s="609"/>
    </row>
    <row r="272" spans="3:22">
      <c r="C272" s="645"/>
      <c r="D272" s="612"/>
      <c r="E272" s="612"/>
      <c r="F272" s="612"/>
      <c r="G272" s="612"/>
      <c r="H272" s="612"/>
      <c r="I272" s="612"/>
      <c r="J272" s="612"/>
      <c r="K272" s="612"/>
      <c r="L272" s="612"/>
      <c r="M272" s="612"/>
      <c r="N272" s="612"/>
      <c r="O272" s="612"/>
      <c r="P272" s="612"/>
      <c r="Q272" s="612"/>
      <c r="R272" s="612"/>
      <c r="S272" s="612"/>
      <c r="T272" s="612"/>
      <c r="U272" s="612"/>
      <c r="V272" s="609"/>
    </row>
    <row r="273" spans="3:22">
      <c r="C273" s="645"/>
      <c r="D273" s="612"/>
      <c r="E273" s="612"/>
      <c r="F273" s="612"/>
      <c r="G273" s="612"/>
      <c r="H273" s="612"/>
      <c r="I273" s="612"/>
      <c r="J273" s="612"/>
      <c r="K273" s="612"/>
      <c r="L273" s="612"/>
      <c r="M273" s="612"/>
      <c r="N273" s="612"/>
      <c r="O273" s="612"/>
      <c r="P273" s="612"/>
      <c r="Q273" s="612"/>
      <c r="R273" s="612"/>
      <c r="S273" s="612"/>
      <c r="T273" s="612"/>
      <c r="U273" s="612"/>
      <c r="V273" s="609"/>
    </row>
    <row r="274" spans="3:22">
      <c r="C274" s="645"/>
      <c r="D274" s="612"/>
      <c r="E274" s="612"/>
      <c r="F274" s="612"/>
      <c r="G274" s="612"/>
      <c r="H274" s="612"/>
      <c r="I274" s="612"/>
      <c r="J274" s="612"/>
      <c r="K274" s="612"/>
      <c r="L274" s="612"/>
      <c r="M274" s="612"/>
      <c r="N274" s="612"/>
      <c r="O274" s="612"/>
      <c r="P274" s="612"/>
      <c r="Q274" s="612"/>
      <c r="R274" s="612"/>
      <c r="S274" s="612"/>
      <c r="T274" s="612"/>
      <c r="U274" s="612"/>
      <c r="V274" s="609"/>
    </row>
    <row r="275" spans="3:22">
      <c r="C275" s="645"/>
      <c r="D275" s="612"/>
      <c r="E275" s="612"/>
      <c r="F275" s="612"/>
      <c r="G275" s="612"/>
      <c r="H275" s="612"/>
      <c r="I275" s="612"/>
      <c r="J275" s="612"/>
      <c r="K275" s="612"/>
      <c r="L275" s="612"/>
      <c r="M275" s="612"/>
      <c r="N275" s="612"/>
      <c r="O275" s="612"/>
      <c r="P275" s="612"/>
      <c r="Q275" s="612"/>
      <c r="R275" s="612"/>
      <c r="S275" s="612"/>
      <c r="T275" s="612"/>
      <c r="U275" s="612"/>
      <c r="V275" s="609"/>
    </row>
    <row r="276" spans="3:22">
      <c r="C276" s="645"/>
      <c r="D276" s="612"/>
      <c r="E276" s="612"/>
      <c r="F276" s="612"/>
      <c r="G276" s="612"/>
      <c r="H276" s="612"/>
      <c r="I276" s="612"/>
      <c r="J276" s="612"/>
      <c r="K276" s="612"/>
      <c r="L276" s="612"/>
      <c r="M276" s="612"/>
      <c r="N276" s="612"/>
      <c r="O276" s="612"/>
      <c r="P276" s="612"/>
      <c r="Q276" s="612"/>
      <c r="R276" s="612"/>
      <c r="S276" s="612"/>
      <c r="T276" s="612"/>
      <c r="U276" s="612"/>
      <c r="V276" s="609"/>
    </row>
    <row r="277" spans="3:22">
      <c r="C277" s="645"/>
      <c r="D277" s="612"/>
      <c r="E277" s="612"/>
      <c r="F277" s="612"/>
      <c r="G277" s="612"/>
      <c r="H277" s="612"/>
      <c r="I277" s="612"/>
      <c r="J277" s="612"/>
      <c r="K277" s="612"/>
      <c r="L277" s="612"/>
      <c r="M277" s="612"/>
      <c r="N277" s="612"/>
      <c r="O277" s="612"/>
      <c r="P277" s="612"/>
      <c r="Q277" s="612"/>
      <c r="R277" s="612"/>
      <c r="S277" s="612"/>
      <c r="T277" s="612"/>
      <c r="U277" s="612"/>
      <c r="V277" s="609"/>
    </row>
    <row r="278" spans="3:22">
      <c r="C278" s="645"/>
      <c r="D278" s="612"/>
      <c r="E278" s="612"/>
      <c r="F278" s="612"/>
      <c r="G278" s="612"/>
      <c r="H278" s="612"/>
      <c r="I278" s="612"/>
      <c r="J278" s="612"/>
      <c r="K278" s="612"/>
      <c r="L278" s="612"/>
      <c r="M278" s="612"/>
      <c r="N278" s="612"/>
      <c r="O278" s="612"/>
      <c r="P278" s="612"/>
      <c r="Q278" s="612"/>
      <c r="R278" s="612"/>
      <c r="S278" s="612"/>
      <c r="T278" s="612"/>
      <c r="U278" s="612"/>
      <c r="V278" s="609"/>
    </row>
    <row r="279" spans="3:22">
      <c r="C279" s="645"/>
      <c r="D279" s="612"/>
      <c r="E279" s="612"/>
      <c r="F279" s="612"/>
      <c r="G279" s="612"/>
      <c r="H279" s="612"/>
      <c r="I279" s="612"/>
      <c r="J279" s="612"/>
      <c r="K279" s="612"/>
      <c r="L279" s="612"/>
      <c r="M279" s="612"/>
      <c r="N279" s="612"/>
      <c r="O279" s="612"/>
      <c r="P279" s="612"/>
      <c r="Q279" s="612"/>
      <c r="R279" s="612"/>
      <c r="S279" s="612"/>
      <c r="T279" s="612"/>
      <c r="U279" s="612"/>
      <c r="V279" s="609"/>
    </row>
    <row r="280" spans="3:22">
      <c r="C280" s="645"/>
      <c r="D280" s="612"/>
      <c r="E280" s="612"/>
      <c r="F280" s="612"/>
      <c r="G280" s="612"/>
      <c r="H280" s="612"/>
      <c r="I280" s="612"/>
      <c r="J280" s="612"/>
      <c r="K280" s="612"/>
      <c r="L280" s="612"/>
      <c r="M280" s="612"/>
      <c r="N280" s="612"/>
      <c r="O280" s="612"/>
      <c r="P280" s="612"/>
      <c r="Q280" s="612"/>
      <c r="R280" s="612"/>
      <c r="S280" s="612"/>
      <c r="T280" s="612"/>
      <c r="U280" s="612"/>
      <c r="V280" s="609"/>
    </row>
    <row r="281" spans="3:22">
      <c r="C281" s="645"/>
      <c r="D281" s="612"/>
      <c r="E281" s="612"/>
      <c r="F281" s="612"/>
      <c r="G281" s="612"/>
      <c r="H281" s="612"/>
      <c r="I281" s="612"/>
      <c r="J281" s="612"/>
      <c r="K281" s="612"/>
      <c r="L281" s="612"/>
      <c r="M281" s="612"/>
      <c r="N281" s="612"/>
      <c r="O281" s="612"/>
      <c r="P281" s="612"/>
      <c r="Q281" s="612"/>
      <c r="R281" s="612"/>
      <c r="S281" s="612"/>
      <c r="T281" s="612"/>
      <c r="U281" s="612"/>
      <c r="V281" s="609"/>
    </row>
    <row r="282" spans="3:22">
      <c r="C282" s="645"/>
      <c r="D282" s="612"/>
      <c r="E282" s="612"/>
      <c r="F282" s="612"/>
      <c r="G282" s="612"/>
      <c r="H282" s="612"/>
      <c r="I282" s="612"/>
      <c r="J282" s="612"/>
      <c r="K282" s="612"/>
      <c r="L282" s="612"/>
      <c r="M282" s="612"/>
      <c r="N282" s="612"/>
      <c r="O282" s="612"/>
      <c r="P282" s="612"/>
      <c r="Q282" s="612"/>
      <c r="R282" s="612"/>
      <c r="S282" s="612"/>
      <c r="T282" s="612"/>
      <c r="U282" s="612"/>
      <c r="V282" s="609"/>
    </row>
    <row r="283" spans="3:22">
      <c r="C283" s="645"/>
      <c r="D283" s="612"/>
      <c r="E283" s="612"/>
      <c r="F283" s="612"/>
      <c r="G283" s="612"/>
      <c r="H283" s="612"/>
      <c r="I283" s="612"/>
      <c r="J283" s="612"/>
      <c r="K283" s="612"/>
      <c r="L283" s="612"/>
      <c r="M283" s="612"/>
      <c r="N283" s="612"/>
      <c r="O283" s="612"/>
      <c r="P283" s="612"/>
      <c r="Q283" s="612"/>
      <c r="R283" s="612"/>
      <c r="S283" s="612"/>
      <c r="T283" s="612"/>
      <c r="U283" s="612"/>
      <c r="V283" s="609"/>
    </row>
    <row r="284" spans="3:22">
      <c r="C284" s="645"/>
      <c r="D284" s="612"/>
      <c r="E284" s="612"/>
      <c r="F284" s="612"/>
      <c r="G284" s="612"/>
      <c r="H284" s="612"/>
      <c r="I284" s="612"/>
      <c r="J284" s="612"/>
      <c r="K284" s="612"/>
      <c r="L284" s="612"/>
      <c r="M284" s="612"/>
      <c r="N284" s="612"/>
      <c r="O284" s="612"/>
      <c r="P284" s="612"/>
      <c r="Q284" s="612"/>
      <c r="R284" s="612"/>
      <c r="S284" s="612"/>
      <c r="T284" s="612"/>
      <c r="U284" s="612"/>
      <c r="V284" s="609"/>
    </row>
    <row r="285" spans="3:22">
      <c r="C285" s="645"/>
      <c r="D285" s="612"/>
      <c r="E285" s="612"/>
      <c r="F285" s="612"/>
      <c r="G285" s="612"/>
      <c r="H285" s="612"/>
      <c r="I285" s="612"/>
      <c r="J285" s="612"/>
      <c r="K285" s="612"/>
      <c r="L285" s="612"/>
      <c r="M285" s="612"/>
      <c r="N285" s="612"/>
      <c r="O285" s="612"/>
      <c r="P285" s="612"/>
      <c r="Q285" s="612"/>
      <c r="R285" s="612"/>
      <c r="S285" s="612"/>
      <c r="T285" s="612"/>
      <c r="U285" s="612"/>
      <c r="V285" s="609"/>
    </row>
    <row r="286" spans="3:22">
      <c r="C286" s="645"/>
      <c r="D286" s="612"/>
      <c r="E286" s="612"/>
      <c r="F286" s="612"/>
      <c r="G286" s="612"/>
      <c r="H286" s="612"/>
      <c r="I286" s="612"/>
      <c r="J286" s="612"/>
      <c r="K286" s="612"/>
      <c r="L286" s="612"/>
      <c r="M286" s="612"/>
      <c r="N286" s="612"/>
      <c r="O286" s="612"/>
      <c r="P286" s="612"/>
      <c r="Q286" s="612"/>
      <c r="R286" s="612"/>
      <c r="S286" s="612"/>
      <c r="T286" s="612"/>
      <c r="U286" s="612"/>
      <c r="V286" s="609"/>
    </row>
    <row r="287" spans="3:22">
      <c r="C287" s="645"/>
      <c r="D287" s="612"/>
      <c r="E287" s="612"/>
      <c r="F287" s="612"/>
      <c r="G287" s="612"/>
      <c r="H287" s="612"/>
      <c r="I287" s="612"/>
      <c r="J287" s="612"/>
      <c r="K287" s="612"/>
      <c r="L287" s="612"/>
      <c r="M287" s="612"/>
      <c r="N287" s="612"/>
      <c r="O287" s="612"/>
      <c r="P287" s="612"/>
      <c r="Q287" s="612"/>
      <c r="R287" s="612"/>
      <c r="S287" s="612"/>
      <c r="T287" s="612"/>
      <c r="U287" s="612"/>
      <c r="V287" s="609"/>
    </row>
    <row r="288" spans="3:22">
      <c r="C288" s="645"/>
      <c r="D288" s="612"/>
      <c r="E288" s="612"/>
      <c r="F288" s="612"/>
      <c r="G288" s="612"/>
      <c r="H288" s="612"/>
      <c r="I288" s="612"/>
      <c r="J288" s="612"/>
      <c r="K288" s="612"/>
      <c r="L288" s="612"/>
      <c r="M288" s="612"/>
      <c r="N288" s="612"/>
      <c r="O288" s="612"/>
      <c r="P288" s="612"/>
      <c r="Q288" s="612"/>
      <c r="R288" s="612"/>
      <c r="S288" s="612"/>
      <c r="T288" s="612"/>
      <c r="U288" s="612"/>
      <c r="V288" s="609"/>
    </row>
    <row r="289" spans="3:22">
      <c r="C289" s="645"/>
      <c r="D289" s="612"/>
      <c r="E289" s="612"/>
      <c r="F289" s="612"/>
      <c r="G289" s="612"/>
      <c r="H289" s="612"/>
      <c r="I289" s="612"/>
      <c r="J289" s="612"/>
      <c r="K289" s="612"/>
      <c r="L289" s="612"/>
      <c r="M289" s="612"/>
      <c r="N289" s="612"/>
      <c r="O289" s="612"/>
      <c r="P289" s="612"/>
      <c r="Q289" s="612"/>
      <c r="R289" s="612"/>
      <c r="S289" s="612"/>
      <c r="T289" s="612"/>
      <c r="U289" s="612"/>
      <c r="V289" s="609"/>
    </row>
    <row r="290" spans="3:22">
      <c r="C290" s="645"/>
      <c r="D290" s="612"/>
      <c r="E290" s="612"/>
      <c r="F290" s="612"/>
      <c r="G290" s="612"/>
      <c r="H290" s="612"/>
      <c r="I290" s="612"/>
      <c r="J290" s="612"/>
      <c r="K290" s="612"/>
      <c r="L290" s="612"/>
      <c r="M290" s="612"/>
      <c r="N290" s="612"/>
      <c r="O290" s="612"/>
      <c r="P290" s="612"/>
      <c r="Q290" s="612"/>
      <c r="R290" s="612"/>
      <c r="S290" s="612"/>
      <c r="T290" s="612"/>
      <c r="U290" s="612"/>
      <c r="V290" s="609"/>
    </row>
    <row r="291" spans="3:22">
      <c r="C291" s="645"/>
      <c r="D291" s="612"/>
      <c r="E291" s="612"/>
      <c r="F291" s="612"/>
      <c r="G291" s="612"/>
      <c r="H291" s="612"/>
      <c r="I291" s="612"/>
      <c r="J291" s="612"/>
      <c r="K291" s="612"/>
      <c r="L291" s="612"/>
      <c r="M291" s="612"/>
      <c r="N291" s="612"/>
      <c r="O291" s="612"/>
      <c r="P291" s="612"/>
      <c r="Q291" s="612"/>
      <c r="R291" s="612"/>
      <c r="S291" s="612"/>
      <c r="T291" s="612"/>
      <c r="U291" s="612"/>
      <c r="V291" s="609"/>
    </row>
    <row r="292" spans="3:22">
      <c r="C292" s="645"/>
      <c r="D292" s="612"/>
      <c r="E292" s="612"/>
      <c r="F292" s="612"/>
      <c r="G292" s="612"/>
      <c r="H292" s="612"/>
      <c r="I292" s="612"/>
      <c r="J292" s="612"/>
      <c r="K292" s="612"/>
      <c r="L292" s="612"/>
      <c r="M292" s="612"/>
      <c r="N292" s="612"/>
      <c r="O292" s="612"/>
      <c r="P292" s="612"/>
      <c r="Q292" s="612"/>
      <c r="R292" s="612"/>
      <c r="S292" s="612"/>
      <c r="T292" s="612"/>
      <c r="U292" s="612"/>
      <c r="V292" s="609"/>
    </row>
    <row r="293" spans="3:22">
      <c r="C293" s="645"/>
      <c r="D293" s="612"/>
      <c r="E293" s="612"/>
      <c r="F293" s="612"/>
      <c r="G293" s="612"/>
      <c r="H293" s="612"/>
      <c r="I293" s="612"/>
      <c r="J293" s="612"/>
      <c r="K293" s="612"/>
      <c r="L293" s="612"/>
      <c r="M293" s="612"/>
      <c r="N293" s="612"/>
      <c r="O293" s="612"/>
      <c r="P293" s="612"/>
      <c r="Q293" s="612"/>
      <c r="R293" s="612"/>
      <c r="S293" s="612"/>
      <c r="T293" s="612"/>
      <c r="U293" s="612"/>
      <c r="V293" s="609"/>
    </row>
    <row r="294" spans="3:22">
      <c r="C294" s="645"/>
      <c r="D294" s="612"/>
      <c r="E294" s="612"/>
      <c r="F294" s="612"/>
      <c r="G294" s="612"/>
      <c r="H294" s="612"/>
      <c r="I294" s="612"/>
      <c r="J294" s="612"/>
      <c r="K294" s="612"/>
      <c r="L294" s="612"/>
      <c r="M294" s="612"/>
      <c r="N294" s="612"/>
      <c r="O294" s="612"/>
      <c r="P294" s="612"/>
      <c r="Q294" s="612"/>
      <c r="R294" s="612"/>
      <c r="S294" s="612"/>
      <c r="T294" s="612"/>
      <c r="U294" s="612"/>
      <c r="V294" s="609"/>
    </row>
    <row r="295" spans="3:22">
      <c r="C295" s="645"/>
      <c r="D295" s="612"/>
      <c r="E295" s="612"/>
      <c r="F295" s="612"/>
      <c r="G295" s="612"/>
      <c r="H295" s="612"/>
      <c r="I295" s="612"/>
      <c r="J295" s="612"/>
      <c r="K295" s="612"/>
      <c r="L295" s="612"/>
      <c r="M295" s="612"/>
      <c r="N295" s="612"/>
      <c r="O295" s="612"/>
      <c r="P295" s="612"/>
      <c r="Q295" s="612"/>
      <c r="R295" s="612"/>
      <c r="S295" s="612"/>
      <c r="T295" s="612"/>
      <c r="U295" s="612"/>
      <c r="V295" s="609"/>
    </row>
    <row r="296" spans="3:22">
      <c r="C296" s="645"/>
      <c r="D296" s="612"/>
      <c r="E296" s="612"/>
      <c r="F296" s="612"/>
      <c r="G296" s="612"/>
      <c r="H296" s="612"/>
      <c r="I296" s="612"/>
      <c r="J296" s="612"/>
      <c r="K296" s="612"/>
      <c r="L296" s="612"/>
      <c r="M296" s="612"/>
      <c r="N296" s="612"/>
      <c r="O296" s="612"/>
      <c r="P296" s="612"/>
      <c r="Q296" s="612"/>
      <c r="R296" s="612"/>
      <c r="S296" s="612"/>
      <c r="T296" s="612"/>
      <c r="U296" s="612"/>
      <c r="V296" s="609"/>
    </row>
    <row r="297" spans="3:22">
      <c r="C297" s="645"/>
      <c r="D297" s="612"/>
      <c r="E297" s="612"/>
      <c r="F297" s="612"/>
      <c r="G297" s="612"/>
      <c r="H297" s="612"/>
      <c r="I297" s="612"/>
      <c r="J297" s="612"/>
      <c r="K297" s="612"/>
      <c r="L297" s="612"/>
      <c r="M297" s="612"/>
      <c r="N297" s="612"/>
      <c r="O297" s="612"/>
      <c r="P297" s="612"/>
      <c r="Q297" s="612"/>
      <c r="R297" s="612"/>
      <c r="S297" s="612"/>
      <c r="T297" s="612"/>
      <c r="U297" s="612"/>
      <c r="V297" s="609"/>
    </row>
    <row r="298" spans="3:22">
      <c r="C298" s="645"/>
      <c r="D298" s="612"/>
      <c r="E298" s="612"/>
      <c r="F298" s="612"/>
      <c r="G298" s="612"/>
      <c r="H298" s="612"/>
      <c r="I298" s="612"/>
      <c r="J298" s="612"/>
      <c r="K298" s="612"/>
      <c r="L298" s="612"/>
      <c r="M298" s="612"/>
      <c r="N298" s="612"/>
      <c r="O298" s="612"/>
      <c r="P298" s="612"/>
      <c r="Q298" s="612"/>
      <c r="R298" s="612"/>
      <c r="S298" s="612"/>
      <c r="T298" s="612"/>
      <c r="U298" s="612"/>
      <c r="V298" s="609"/>
    </row>
    <row r="299" spans="3:22">
      <c r="C299" s="645"/>
      <c r="D299" s="612"/>
      <c r="E299" s="612"/>
      <c r="F299" s="612"/>
      <c r="G299" s="612"/>
      <c r="H299" s="612"/>
      <c r="I299" s="612"/>
      <c r="J299" s="612"/>
      <c r="K299" s="612"/>
      <c r="L299" s="612"/>
      <c r="M299" s="612"/>
      <c r="N299" s="612"/>
      <c r="O299" s="612"/>
      <c r="P299" s="612"/>
      <c r="Q299" s="612"/>
      <c r="R299" s="612"/>
      <c r="S299" s="612"/>
      <c r="T299" s="612"/>
      <c r="U299" s="612"/>
      <c r="V299" s="609"/>
    </row>
    <row r="300" spans="3:22">
      <c r="C300" s="645"/>
      <c r="D300" s="612"/>
      <c r="E300" s="612"/>
      <c r="F300" s="612"/>
      <c r="G300" s="612"/>
      <c r="H300" s="612"/>
      <c r="I300" s="612"/>
      <c r="J300" s="612"/>
      <c r="K300" s="612"/>
      <c r="L300" s="612"/>
      <c r="M300" s="612"/>
      <c r="N300" s="612"/>
      <c r="O300" s="612"/>
      <c r="P300" s="612"/>
      <c r="Q300" s="612"/>
      <c r="R300" s="612"/>
      <c r="S300" s="612"/>
      <c r="T300" s="612"/>
      <c r="U300" s="612"/>
      <c r="V300" s="609"/>
    </row>
    <row r="301" spans="3:22">
      <c r="C301" s="645"/>
      <c r="D301" s="612"/>
      <c r="E301" s="612"/>
      <c r="F301" s="612"/>
      <c r="G301" s="612"/>
      <c r="H301" s="612"/>
      <c r="I301" s="612"/>
      <c r="J301" s="612"/>
      <c r="K301" s="612"/>
      <c r="L301" s="612"/>
      <c r="M301" s="612"/>
      <c r="N301" s="612"/>
      <c r="O301" s="612"/>
      <c r="P301" s="612"/>
      <c r="Q301" s="612"/>
      <c r="R301" s="612"/>
      <c r="S301" s="612"/>
      <c r="T301" s="612"/>
      <c r="U301" s="612"/>
      <c r="V301" s="609"/>
    </row>
    <row r="302" spans="3:22">
      <c r="C302" s="645"/>
      <c r="D302" s="612"/>
      <c r="E302" s="612"/>
      <c r="F302" s="612"/>
      <c r="G302" s="612"/>
      <c r="H302" s="612"/>
      <c r="I302" s="612"/>
      <c r="J302" s="612"/>
      <c r="K302" s="612"/>
      <c r="L302" s="612"/>
      <c r="M302" s="612"/>
      <c r="N302" s="612"/>
      <c r="O302" s="612"/>
      <c r="P302" s="612"/>
      <c r="Q302" s="612"/>
      <c r="R302" s="612"/>
      <c r="S302" s="612"/>
      <c r="T302" s="612"/>
      <c r="U302" s="612"/>
      <c r="V302" s="609"/>
    </row>
    <row r="303" spans="3:22">
      <c r="C303" s="645"/>
      <c r="D303" s="612"/>
      <c r="E303" s="612"/>
      <c r="F303" s="612"/>
      <c r="G303" s="612"/>
      <c r="H303" s="612"/>
      <c r="I303" s="612"/>
      <c r="J303" s="612"/>
      <c r="K303" s="612"/>
      <c r="L303" s="612"/>
      <c r="M303" s="612"/>
      <c r="N303" s="612"/>
      <c r="O303" s="612"/>
      <c r="P303" s="612"/>
      <c r="Q303" s="612"/>
      <c r="R303" s="612"/>
      <c r="S303" s="612"/>
      <c r="T303" s="612"/>
      <c r="U303" s="612"/>
      <c r="V303" s="609"/>
    </row>
    <row r="304" spans="3:22">
      <c r="C304" s="645"/>
      <c r="D304" s="612"/>
      <c r="E304" s="612"/>
      <c r="F304" s="612"/>
      <c r="G304" s="612"/>
      <c r="H304" s="612"/>
      <c r="I304" s="612"/>
      <c r="J304" s="612"/>
      <c r="K304" s="612"/>
      <c r="L304" s="612"/>
      <c r="M304" s="612"/>
      <c r="N304" s="612"/>
      <c r="O304" s="612"/>
      <c r="P304" s="612"/>
      <c r="Q304" s="612"/>
      <c r="R304" s="612"/>
      <c r="S304" s="612"/>
      <c r="T304" s="612"/>
      <c r="U304" s="612"/>
      <c r="V304" s="609"/>
    </row>
    <row r="305" spans="3:22">
      <c r="C305" s="645"/>
      <c r="D305" s="612"/>
      <c r="E305" s="612"/>
      <c r="F305" s="612"/>
      <c r="G305" s="612"/>
      <c r="H305" s="612"/>
      <c r="I305" s="612"/>
      <c r="J305" s="612"/>
      <c r="K305" s="612"/>
      <c r="L305" s="612"/>
      <c r="M305" s="612"/>
      <c r="N305" s="612"/>
      <c r="O305" s="612"/>
      <c r="P305" s="612"/>
      <c r="Q305" s="612"/>
      <c r="R305" s="612"/>
      <c r="S305" s="612"/>
      <c r="T305" s="612"/>
      <c r="U305" s="612"/>
      <c r="V305" s="609"/>
    </row>
    <row r="306" spans="3:22">
      <c r="C306" s="645"/>
      <c r="D306" s="612"/>
      <c r="E306" s="612"/>
      <c r="F306" s="612"/>
      <c r="G306" s="612"/>
      <c r="H306" s="612"/>
      <c r="I306" s="612"/>
      <c r="J306" s="612"/>
      <c r="K306" s="612"/>
      <c r="L306" s="612"/>
      <c r="M306" s="612"/>
      <c r="N306" s="612"/>
      <c r="O306" s="612"/>
      <c r="P306" s="612"/>
      <c r="Q306" s="612"/>
      <c r="R306" s="612"/>
      <c r="S306" s="612"/>
      <c r="T306" s="612"/>
      <c r="U306" s="612"/>
      <c r="V306" s="609"/>
    </row>
    <row r="307" spans="3:22">
      <c r="C307" s="645"/>
      <c r="D307" s="612"/>
      <c r="E307" s="612"/>
      <c r="F307" s="612"/>
      <c r="G307" s="612"/>
      <c r="H307" s="612"/>
      <c r="I307" s="612"/>
      <c r="J307" s="612"/>
      <c r="K307" s="612"/>
      <c r="L307" s="612"/>
      <c r="M307" s="612"/>
      <c r="N307" s="612"/>
      <c r="O307" s="612"/>
      <c r="P307" s="612"/>
      <c r="Q307" s="612"/>
      <c r="R307" s="612"/>
      <c r="S307" s="612"/>
      <c r="T307" s="612"/>
      <c r="U307" s="612"/>
      <c r="V307" s="609"/>
    </row>
    <row r="308" spans="3:22">
      <c r="C308" s="645"/>
      <c r="D308" s="612"/>
      <c r="E308" s="612"/>
      <c r="F308" s="612"/>
      <c r="G308" s="612"/>
      <c r="H308" s="612"/>
      <c r="I308" s="612"/>
      <c r="J308" s="612"/>
      <c r="K308" s="612"/>
      <c r="L308" s="612"/>
      <c r="M308" s="612"/>
      <c r="N308" s="612"/>
      <c r="O308" s="612"/>
      <c r="P308" s="612"/>
      <c r="Q308" s="612"/>
      <c r="R308" s="612"/>
      <c r="S308" s="612"/>
      <c r="T308" s="612"/>
      <c r="U308" s="612"/>
      <c r="V308" s="609"/>
    </row>
    <row r="309" spans="3:22">
      <c r="C309" s="645"/>
      <c r="D309" s="612"/>
      <c r="E309" s="612"/>
      <c r="F309" s="612"/>
      <c r="G309" s="612"/>
      <c r="H309" s="612"/>
      <c r="I309" s="612"/>
      <c r="J309" s="612"/>
      <c r="K309" s="612"/>
      <c r="L309" s="612"/>
      <c r="M309" s="612"/>
      <c r="N309" s="612"/>
      <c r="O309" s="612"/>
      <c r="P309" s="612"/>
      <c r="Q309" s="612"/>
      <c r="R309" s="612"/>
      <c r="S309" s="612"/>
      <c r="T309" s="612"/>
      <c r="U309" s="612"/>
      <c r="V309" s="609"/>
    </row>
    <row r="310" spans="3:22">
      <c r="C310" s="645"/>
      <c r="D310" s="612"/>
      <c r="E310" s="612"/>
      <c r="F310" s="612"/>
      <c r="G310" s="612"/>
      <c r="H310" s="612"/>
      <c r="I310" s="612"/>
      <c r="J310" s="612"/>
      <c r="K310" s="612"/>
      <c r="L310" s="612"/>
      <c r="M310" s="612"/>
      <c r="N310" s="612"/>
      <c r="O310" s="612"/>
      <c r="P310" s="612"/>
      <c r="Q310" s="612"/>
      <c r="R310" s="612"/>
      <c r="S310" s="612"/>
      <c r="T310" s="612"/>
      <c r="U310" s="612"/>
      <c r="V310" s="609"/>
    </row>
    <row r="311" spans="3:22">
      <c r="C311" s="645"/>
      <c r="D311" s="612"/>
      <c r="E311" s="612"/>
      <c r="F311" s="612"/>
      <c r="G311" s="612"/>
      <c r="H311" s="612"/>
      <c r="I311" s="612"/>
      <c r="J311" s="612"/>
      <c r="K311" s="612"/>
      <c r="L311" s="612"/>
      <c r="M311" s="612"/>
      <c r="N311" s="612"/>
      <c r="O311" s="612"/>
      <c r="P311" s="612"/>
      <c r="Q311" s="612"/>
      <c r="R311" s="612"/>
      <c r="S311" s="612"/>
      <c r="T311" s="612"/>
      <c r="U311" s="612"/>
      <c r="V311" s="609"/>
    </row>
    <row r="312" spans="3:22">
      <c r="C312" s="645"/>
      <c r="D312" s="612"/>
      <c r="E312" s="612"/>
      <c r="F312" s="612"/>
      <c r="G312" s="612"/>
      <c r="H312" s="612"/>
      <c r="I312" s="612"/>
      <c r="J312" s="612"/>
      <c r="K312" s="612"/>
      <c r="L312" s="612"/>
      <c r="M312" s="612"/>
      <c r="N312" s="612"/>
      <c r="O312" s="612"/>
      <c r="P312" s="612"/>
      <c r="Q312" s="612"/>
      <c r="R312" s="612"/>
      <c r="S312" s="612"/>
      <c r="T312" s="612"/>
      <c r="U312" s="612"/>
      <c r="V312" s="609"/>
    </row>
    <row r="313" spans="3:22">
      <c r="C313" s="645"/>
      <c r="D313" s="612"/>
      <c r="E313" s="612"/>
      <c r="F313" s="612"/>
      <c r="G313" s="612"/>
      <c r="H313" s="612"/>
      <c r="I313" s="612"/>
      <c r="J313" s="612"/>
      <c r="K313" s="612"/>
      <c r="L313" s="612"/>
      <c r="M313" s="612"/>
      <c r="N313" s="612"/>
      <c r="O313" s="612"/>
      <c r="P313" s="612"/>
      <c r="Q313" s="612"/>
      <c r="R313" s="612"/>
      <c r="S313" s="612"/>
      <c r="T313" s="612"/>
      <c r="U313" s="612"/>
      <c r="V313" s="609"/>
    </row>
    <row r="314" spans="3:22">
      <c r="C314" s="645"/>
      <c r="D314" s="612"/>
      <c r="E314" s="612"/>
      <c r="F314" s="612"/>
      <c r="G314" s="612"/>
      <c r="H314" s="612"/>
      <c r="I314" s="612"/>
      <c r="J314" s="612"/>
      <c r="K314" s="612"/>
      <c r="L314" s="612"/>
      <c r="M314" s="612"/>
      <c r="N314" s="612"/>
      <c r="O314" s="612"/>
      <c r="P314" s="612"/>
      <c r="Q314" s="612"/>
      <c r="R314" s="612"/>
      <c r="S314" s="612"/>
      <c r="T314" s="612"/>
      <c r="U314" s="612"/>
      <c r="V314" s="609"/>
    </row>
    <row r="315" spans="3:22">
      <c r="C315" s="645"/>
      <c r="D315" s="612"/>
      <c r="E315" s="612"/>
      <c r="F315" s="612"/>
      <c r="G315" s="612"/>
      <c r="H315" s="612"/>
      <c r="I315" s="612"/>
      <c r="J315" s="612"/>
      <c r="K315" s="612"/>
      <c r="L315" s="612"/>
      <c r="M315" s="612"/>
      <c r="N315" s="612"/>
      <c r="O315" s="612"/>
      <c r="P315" s="612"/>
      <c r="Q315" s="612"/>
      <c r="R315" s="612"/>
      <c r="S315" s="612"/>
      <c r="T315" s="612"/>
      <c r="U315" s="612"/>
      <c r="V315" s="609"/>
    </row>
    <row r="316" spans="3:22">
      <c r="C316" s="645"/>
      <c r="D316" s="612"/>
      <c r="E316" s="612"/>
      <c r="F316" s="612"/>
      <c r="G316" s="612"/>
      <c r="H316" s="612"/>
      <c r="I316" s="612"/>
      <c r="J316" s="612"/>
      <c r="K316" s="612"/>
      <c r="L316" s="612"/>
      <c r="M316" s="612"/>
      <c r="N316" s="612"/>
      <c r="O316" s="612"/>
      <c r="P316" s="612"/>
      <c r="Q316" s="612"/>
      <c r="R316" s="612"/>
      <c r="S316" s="612"/>
      <c r="T316" s="612"/>
      <c r="U316" s="612"/>
      <c r="V316" s="609"/>
    </row>
    <row r="317" spans="3:22">
      <c r="C317" s="645"/>
      <c r="D317" s="612"/>
      <c r="E317" s="612"/>
      <c r="F317" s="612"/>
      <c r="G317" s="612"/>
      <c r="H317" s="612"/>
      <c r="I317" s="612"/>
      <c r="J317" s="612"/>
      <c r="K317" s="612"/>
      <c r="L317" s="612"/>
      <c r="M317" s="612"/>
      <c r="N317" s="612"/>
      <c r="O317" s="612"/>
      <c r="P317" s="612"/>
      <c r="Q317" s="612"/>
      <c r="R317" s="612"/>
      <c r="S317" s="612"/>
      <c r="T317" s="612"/>
      <c r="U317" s="612"/>
      <c r="V317" s="609"/>
    </row>
    <row r="318" spans="3:22">
      <c r="C318" s="645"/>
      <c r="D318" s="612"/>
      <c r="E318" s="612"/>
      <c r="F318" s="612"/>
      <c r="G318" s="612"/>
      <c r="H318" s="612"/>
      <c r="I318" s="612"/>
      <c r="J318" s="612"/>
      <c r="K318" s="612"/>
      <c r="L318" s="612"/>
      <c r="M318" s="612"/>
      <c r="N318" s="612"/>
      <c r="O318" s="612"/>
      <c r="P318" s="612"/>
      <c r="Q318" s="612"/>
      <c r="R318" s="612"/>
      <c r="S318" s="612"/>
      <c r="T318" s="612"/>
      <c r="U318" s="612"/>
      <c r="V318" s="609"/>
    </row>
    <row r="319" spans="3:22">
      <c r="C319" s="645"/>
      <c r="D319" s="612"/>
      <c r="E319" s="612"/>
      <c r="F319" s="612"/>
      <c r="G319" s="612"/>
      <c r="H319" s="612"/>
      <c r="I319" s="612"/>
      <c r="J319" s="612"/>
      <c r="K319" s="612"/>
      <c r="L319" s="612"/>
      <c r="M319" s="612"/>
      <c r="N319" s="612"/>
      <c r="O319" s="612"/>
      <c r="P319" s="612"/>
      <c r="Q319" s="612"/>
      <c r="R319" s="612"/>
      <c r="S319" s="612"/>
      <c r="T319" s="612"/>
      <c r="U319" s="612"/>
      <c r="V319" s="646"/>
    </row>
    <row r="320" spans="3:22">
      <c r="C320" s="645"/>
      <c r="D320" s="612"/>
      <c r="E320" s="612"/>
      <c r="F320" s="612"/>
      <c r="G320" s="612"/>
      <c r="H320" s="612"/>
      <c r="I320" s="612"/>
      <c r="J320" s="612"/>
      <c r="K320" s="612"/>
      <c r="L320" s="612"/>
      <c r="M320" s="612"/>
      <c r="N320" s="612"/>
      <c r="O320" s="612"/>
      <c r="P320" s="612"/>
      <c r="Q320" s="612"/>
      <c r="R320" s="612"/>
      <c r="S320" s="612"/>
      <c r="T320" s="612"/>
      <c r="U320" s="612"/>
      <c r="V320" s="646"/>
    </row>
    <row r="321" spans="3:22">
      <c r="C321" s="645"/>
      <c r="D321" s="612"/>
      <c r="E321" s="612"/>
      <c r="F321" s="612"/>
      <c r="G321" s="612"/>
      <c r="H321" s="612"/>
      <c r="I321" s="612"/>
      <c r="J321" s="612"/>
      <c r="K321" s="612"/>
      <c r="L321" s="612"/>
      <c r="M321" s="612"/>
      <c r="N321" s="612"/>
      <c r="O321" s="612"/>
      <c r="P321" s="612"/>
      <c r="Q321" s="612"/>
      <c r="R321" s="612"/>
      <c r="S321" s="612"/>
      <c r="T321" s="612"/>
      <c r="U321" s="612"/>
      <c r="V321" s="646"/>
    </row>
    <row r="322" spans="3:22">
      <c r="C322" s="645"/>
      <c r="D322" s="612"/>
      <c r="E322" s="612"/>
      <c r="F322" s="612"/>
      <c r="G322" s="612"/>
      <c r="H322" s="612"/>
      <c r="I322" s="612"/>
      <c r="J322" s="612"/>
      <c r="K322" s="612"/>
      <c r="L322" s="612"/>
      <c r="M322" s="612"/>
      <c r="N322" s="612"/>
      <c r="O322" s="612"/>
      <c r="P322" s="612"/>
      <c r="Q322" s="612"/>
      <c r="R322" s="612"/>
      <c r="S322" s="612"/>
      <c r="T322" s="612"/>
      <c r="U322" s="612"/>
      <c r="V322" s="646"/>
    </row>
    <row r="323" spans="3:22">
      <c r="C323" s="645"/>
      <c r="D323" s="612"/>
      <c r="E323" s="612"/>
      <c r="F323" s="612"/>
      <c r="G323" s="612"/>
      <c r="H323" s="612"/>
      <c r="I323" s="612"/>
      <c r="J323" s="612"/>
      <c r="K323" s="612"/>
      <c r="L323" s="612"/>
      <c r="M323" s="612"/>
      <c r="N323" s="612"/>
      <c r="O323" s="612"/>
      <c r="P323" s="612"/>
      <c r="Q323" s="612"/>
      <c r="R323" s="612"/>
      <c r="S323" s="612"/>
      <c r="T323" s="612"/>
      <c r="U323" s="612"/>
      <c r="V323" s="646"/>
    </row>
    <row r="324" spans="3:22">
      <c r="C324" s="645"/>
      <c r="D324" s="612"/>
      <c r="E324" s="612"/>
      <c r="F324" s="612"/>
      <c r="G324" s="612"/>
      <c r="H324" s="612"/>
      <c r="I324" s="612"/>
      <c r="J324" s="612"/>
      <c r="K324" s="612"/>
      <c r="L324" s="612"/>
      <c r="M324" s="612"/>
      <c r="N324" s="612"/>
      <c r="O324" s="612"/>
      <c r="P324" s="612"/>
      <c r="Q324" s="612"/>
      <c r="R324" s="612"/>
      <c r="S324" s="612"/>
      <c r="T324" s="612"/>
      <c r="U324" s="612"/>
      <c r="V324" s="646"/>
    </row>
    <row r="325" spans="3:22">
      <c r="C325" s="645"/>
      <c r="D325" s="612"/>
      <c r="E325" s="612"/>
      <c r="F325" s="612"/>
      <c r="G325" s="612"/>
      <c r="H325" s="612"/>
      <c r="I325" s="612"/>
      <c r="J325" s="612"/>
      <c r="K325" s="612"/>
      <c r="L325" s="612"/>
      <c r="M325" s="612"/>
      <c r="N325" s="612"/>
      <c r="O325" s="612"/>
      <c r="P325" s="612"/>
      <c r="Q325" s="612"/>
      <c r="R325" s="612"/>
      <c r="S325" s="612"/>
      <c r="T325" s="612"/>
      <c r="U325" s="612"/>
      <c r="V325" s="646"/>
    </row>
    <row r="326" spans="3:22">
      <c r="C326" s="645"/>
      <c r="D326" s="612"/>
      <c r="E326" s="612"/>
      <c r="F326" s="612"/>
      <c r="G326" s="612"/>
      <c r="H326" s="612"/>
      <c r="I326" s="612"/>
      <c r="J326" s="612"/>
      <c r="K326" s="612"/>
      <c r="L326" s="612"/>
      <c r="M326" s="612"/>
      <c r="N326" s="612"/>
      <c r="O326" s="612"/>
      <c r="P326" s="612"/>
      <c r="Q326" s="612"/>
      <c r="R326" s="612"/>
      <c r="S326" s="612"/>
      <c r="T326" s="612"/>
      <c r="U326" s="612"/>
      <c r="V326" s="646"/>
    </row>
    <row r="327" spans="3:22">
      <c r="C327" s="645"/>
      <c r="D327" s="612"/>
      <c r="E327" s="612"/>
      <c r="F327" s="612"/>
      <c r="G327" s="612"/>
      <c r="H327" s="612"/>
      <c r="I327" s="612"/>
      <c r="J327" s="612"/>
      <c r="K327" s="612"/>
      <c r="L327" s="612"/>
      <c r="M327" s="612"/>
      <c r="N327" s="612"/>
      <c r="O327" s="612"/>
      <c r="P327" s="612"/>
      <c r="Q327" s="612"/>
      <c r="R327" s="612"/>
      <c r="S327" s="612"/>
      <c r="T327" s="612"/>
      <c r="U327" s="612"/>
      <c r="V327" s="646"/>
    </row>
    <row r="328" spans="3:22">
      <c r="C328" s="645"/>
      <c r="D328" s="612"/>
      <c r="E328" s="612"/>
      <c r="F328" s="612"/>
      <c r="G328" s="612"/>
      <c r="H328" s="612"/>
      <c r="I328" s="612"/>
      <c r="J328" s="612"/>
      <c r="K328" s="612"/>
      <c r="L328" s="612"/>
      <c r="M328" s="612"/>
      <c r="N328" s="612"/>
      <c r="O328" s="612"/>
      <c r="P328" s="612"/>
      <c r="Q328" s="612"/>
      <c r="R328" s="612"/>
      <c r="S328" s="612"/>
      <c r="T328" s="612"/>
      <c r="U328" s="612"/>
      <c r="V328" s="646"/>
    </row>
    <row r="329" spans="3:22">
      <c r="C329" s="645"/>
      <c r="D329" s="612"/>
      <c r="E329" s="612"/>
      <c r="F329" s="612"/>
      <c r="G329" s="612"/>
      <c r="H329" s="612"/>
      <c r="I329" s="612"/>
      <c r="J329" s="612"/>
      <c r="K329" s="612"/>
      <c r="L329" s="612"/>
      <c r="M329" s="612"/>
      <c r="N329" s="612"/>
      <c r="O329" s="612"/>
      <c r="P329" s="612"/>
      <c r="Q329" s="612"/>
      <c r="R329" s="612"/>
      <c r="S329" s="612"/>
      <c r="T329" s="612"/>
      <c r="U329" s="612"/>
      <c r="V329" s="646"/>
    </row>
    <row r="330" spans="3:22">
      <c r="C330" s="645"/>
      <c r="D330" s="612"/>
      <c r="E330" s="612"/>
      <c r="F330" s="612"/>
      <c r="G330" s="612"/>
      <c r="H330" s="612"/>
      <c r="I330" s="612"/>
      <c r="J330" s="612"/>
      <c r="K330" s="612"/>
      <c r="L330" s="612"/>
      <c r="M330" s="612"/>
      <c r="N330" s="612"/>
      <c r="O330" s="612"/>
      <c r="P330" s="612"/>
      <c r="Q330" s="612"/>
      <c r="R330" s="612"/>
      <c r="S330" s="612"/>
      <c r="T330" s="612"/>
      <c r="U330" s="612"/>
      <c r="V330" s="646"/>
    </row>
    <row r="331" spans="3:22">
      <c r="C331" s="645"/>
      <c r="D331" s="612"/>
      <c r="E331" s="612"/>
      <c r="F331" s="612"/>
      <c r="G331" s="612"/>
      <c r="H331" s="612"/>
      <c r="I331" s="612"/>
      <c r="J331" s="612"/>
      <c r="K331" s="612"/>
      <c r="L331" s="612"/>
      <c r="M331" s="612"/>
      <c r="N331" s="612"/>
      <c r="O331" s="612"/>
      <c r="P331" s="612"/>
      <c r="Q331" s="612"/>
      <c r="R331" s="612"/>
      <c r="S331" s="612"/>
      <c r="T331" s="612"/>
      <c r="U331" s="612"/>
      <c r="V331" s="646"/>
    </row>
    <row r="332" spans="3:22">
      <c r="C332" s="645"/>
      <c r="D332" s="612"/>
      <c r="E332" s="612"/>
      <c r="F332" s="612"/>
      <c r="G332" s="612"/>
      <c r="H332" s="612"/>
      <c r="I332" s="612"/>
      <c r="J332" s="612"/>
      <c r="K332" s="612"/>
      <c r="L332" s="612"/>
      <c r="M332" s="612"/>
      <c r="N332" s="612"/>
      <c r="O332" s="612"/>
      <c r="P332" s="612"/>
      <c r="Q332" s="612"/>
      <c r="R332" s="612"/>
      <c r="S332" s="612"/>
      <c r="T332" s="612"/>
      <c r="U332" s="612"/>
      <c r="V332" s="646"/>
    </row>
    <row r="333" spans="3:22">
      <c r="C333" s="645"/>
      <c r="D333" s="612"/>
      <c r="E333" s="612"/>
      <c r="F333" s="612"/>
      <c r="G333" s="612"/>
      <c r="H333" s="612"/>
      <c r="I333" s="612"/>
      <c r="J333" s="612"/>
      <c r="K333" s="612"/>
      <c r="L333" s="612"/>
      <c r="M333" s="612"/>
      <c r="N333" s="612"/>
      <c r="O333" s="612"/>
      <c r="P333" s="612"/>
      <c r="Q333" s="612"/>
      <c r="R333" s="612"/>
      <c r="S333" s="612"/>
      <c r="T333" s="612"/>
      <c r="U333" s="612"/>
      <c r="V333" s="646"/>
    </row>
    <row r="334" spans="3:22">
      <c r="C334" s="645"/>
      <c r="D334" s="612"/>
      <c r="E334" s="612"/>
      <c r="F334" s="612"/>
      <c r="G334" s="612"/>
      <c r="H334" s="612"/>
      <c r="I334" s="612"/>
      <c r="J334" s="612"/>
      <c r="K334" s="612"/>
      <c r="L334" s="612"/>
      <c r="M334" s="612"/>
      <c r="N334" s="612"/>
      <c r="O334" s="612"/>
      <c r="P334" s="612"/>
      <c r="Q334" s="612"/>
      <c r="R334" s="612"/>
      <c r="S334" s="612"/>
      <c r="T334" s="612"/>
      <c r="U334" s="612"/>
      <c r="V334" s="646"/>
    </row>
  </sheetData>
  <phoneticPr fontId="0" type="noConversion"/>
  <conditionalFormatting sqref="C11:V82">
    <cfRule type="cellIs" dxfId="0" priority="1" stopIfTrue="1" operator="equal">
      <formula>0</formula>
    </cfRule>
  </conditionalFormatting>
  <pageMargins left="0.35433070866141736" right="0.35433070866141736" top="0.15748031496062992" bottom="0.15748031496062992" header="0.23622047244094491" footer="0.23622047244094491"/>
  <pageSetup paperSize="9" scale="49" orientation="landscape" r:id="rId1"/>
  <headerFooter alignWithMargins="0">
    <oddFooter>&amp;LPage 8&amp;CSource: Financial Planning and Analysis&amp;RPrinted : &amp;D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33"/>
  <sheetViews>
    <sheetView tabSelected="1" zoomScale="75" workbookViewId="0">
      <selection activeCell="C9" sqref="C9"/>
    </sheetView>
  </sheetViews>
  <sheetFormatPr defaultColWidth="9.109375" defaultRowHeight="13.2"/>
  <cols>
    <col min="1" max="1" width="18" style="16" customWidth="1"/>
    <col min="2" max="2" width="38.33203125" style="128" customWidth="1"/>
    <col min="3" max="3" width="22" style="129" customWidth="1"/>
    <col min="4" max="4" width="16.5546875" style="128" customWidth="1"/>
    <col min="5" max="6" width="16.5546875" style="16" customWidth="1"/>
    <col min="7" max="7" width="52.44140625" style="16" customWidth="1"/>
    <col min="8" max="8" width="14.5546875" style="16" customWidth="1"/>
    <col min="9" max="9" width="5.109375" style="16" customWidth="1"/>
    <col min="10" max="16384" width="9.109375" style="16"/>
  </cols>
  <sheetData>
    <row r="1" spans="1:9">
      <c r="A1" s="195"/>
      <c r="B1" s="215"/>
      <c r="C1" s="216"/>
      <c r="D1" s="215"/>
      <c r="E1" s="196"/>
      <c r="F1" s="196"/>
      <c r="G1" s="196"/>
      <c r="H1" s="196"/>
      <c r="I1" s="166"/>
    </row>
    <row r="2" spans="1:9">
      <c r="A2" s="197"/>
      <c r="B2" s="217"/>
      <c r="C2" s="218"/>
      <c r="D2" s="217"/>
      <c r="E2" s="127"/>
      <c r="F2" s="127"/>
      <c r="G2" s="127"/>
      <c r="H2" s="127"/>
      <c r="I2" s="167"/>
    </row>
    <row r="3" spans="1:9">
      <c r="A3" s="197"/>
      <c r="B3" s="217"/>
      <c r="C3" s="218"/>
      <c r="D3" s="217"/>
      <c r="E3" s="127"/>
      <c r="F3" s="127"/>
      <c r="G3" s="127"/>
      <c r="H3" s="127"/>
      <c r="I3" s="167"/>
    </row>
    <row r="4" spans="1:9">
      <c r="A4" s="197"/>
      <c r="B4" s="217"/>
      <c r="C4" s="218"/>
      <c r="D4" s="217"/>
      <c r="E4" s="127"/>
      <c r="F4" s="127"/>
      <c r="G4" s="127"/>
      <c r="H4" s="127"/>
      <c r="I4" s="167"/>
    </row>
    <row r="5" spans="1:9">
      <c r="A5" s="197"/>
      <c r="B5" s="217"/>
      <c r="C5" s="218"/>
      <c r="D5" s="217"/>
      <c r="E5" s="127"/>
      <c r="F5" s="127"/>
      <c r="G5" s="127"/>
      <c r="H5" s="127"/>
      <c r="I5" s="167"/>
    </row>
    <row r="6" spans="1:9">
      <c r="A6" s="197"/>
      <c r="B6" s="217"/>
      <c r="C6" s="218"/>
      <c r="D6" s="217"/>
      <c r="E6" s="127"/>
      <c r="F6" s="127"/>
      <c r="G6" s="127"/>
      <c r="H6" s="127"/>
      <c r="I6" s="167"/>
    </row>
    <row r="7" spans="1:9">
      <c r="A7" s="197"/>
      <c r="B7" s="217"/>
      <c r="C7" s="218"/>
      <c r="D7" s="217"/>
      <c r="E7" s="127"/>
      <c r="F7" s="127"/>
      <c r="G7" s="127"/>
      <c r="H7" s="127"/>
      <c r="I7" s="167"/>
    </row>
    <row r="8" spans="1:9">
      <c r="A8" s="197"/>
      <c r="B8" s="310" t="s">
        <v>706</v>
      </c>
      <c r="C8" s="218"/>
      <c r="D8" s="217"/>
      <c r="E8" s="127"/>
      <c r="F8" s="127"/>
      <c r="G8" s="127"/>
      <c r="H8" s="127"/>
      <c r="I8" s="167"/>
    </row>
    <row r="9" spans="1:9">
      <c r="A9" s="197"/>
      <c r="B9" s="217"/>
      <c r="C9" s="218"/>
      <c r="D9" s="217"/>
      <c r="E9" s="127"/>
      <c r="F9" s="127"/>
      <c r="G9" s="127"/>
      <c r="H9" s="127"/>
      <c r="I9" s="167"/>
    </row>
    <row r="10" spans="1:9">
      <c r="A10" s="197"/>
      <c r="B10" s="217" t="s">
        <v>313</v>
      </c>
      <c r="C10" s="217"/>
      <c r="D10" s="217"/>
      <c r="E10" s="217"/>
      <c r="F10" s="217"/>
      <c r="G10" s="217"/>
      <c r="H10" s="127"/>
      <c r="I10" s="167"/>
    </row>
    <row r="11" spans="1:9">
      <c r="A11" s="197"/>
      <c r="B11" s="217"/>
      <c r="C11" s="218"/>
      <c r="D11" s="217"/>
      <c r="E11" s="127"/>
      <c r="F11" s="127"/>
      <c r="G11" s="127"/>
      <c r="H11" s="127"/>
      <c r="I11" s="167"/>
    </row>
    <row r="12" spans="1:9" ht="13.8" thickBot="1">
      <c r="A12" s="197"/>
      <c r="B12" s="569"/>
      <c r="C12" s="218"/>
      <c r="D12" s="217"/>
      <c r="E12" s="127"/>
      <c r="F12" s="127"/>
      <c r="G12" s="127"/>
      <c r="H12" s="127"/>
      <c r="I12" s="167"/>
    </row>
    <row r="13" spans="1:9" ht="18.75" customHeight="1">
      <c r="A13" s="197"/>
      <c r="B13" s="903"/>
      <c r="C13" s="905" t="s">
        <v>659</v>
      </c>
      <c r="D13" s="470" t="s">
        <v>309</v>
      </c>
      <c r="E13" s="474">
        <v>2002</v>
      </c>
      <c r="F13" s="476"/>
      <c r="G13" s="478"/>
      <c r="H13" s="127"/>
      <c r="I13" s="167"/>
    </row>
    <row r="14" spans="1:9" ht="20.25" customHeight="1" thickBot="1">
      <c r="A14" s="298"/>
      <c r="B14" s="904"/>
      <c r="C14" s="906" t="s">
        <v>660</v>
      </c>
      <c r="D14" s="471" t="s">
        <v>310</v>
      </c>
      <c r="E14" s="475" t="s">
        <v>35</v>
      </c>
      <c r="F14" s="475" t="s">
        <v>23</v>
      </c>
      <c r="G14" s="479" t="s">
        <v>47</v>
      </c>
      <c r="H14" s="127"/>
      <c r="I14" s="167"/>
    </row>
    <row r="15" spans="1:9" ht="13.8">
      <c r="A15" s="197"/>
      <c r="B15" s="304" t="s">
        <v>305</v>
      </c>
      <c r="C15" s="262" t="s">
        <v>306</v>
      </c>
      <c r="D15" s="472">
        <v>0</v>
      </c>
      <c r="E15" s="472">
        <v>100</v>
      </c>
      <c r="F15" s="477">
        <f>D15-E15</f>
        <v>-100</v>
      </c>
      <c r="G15" s="480" t="s">
        <v>320</v>
      </c>
      <c r="H15" s="127"/>
      <c r="I15" s="167"/>
    </row>
    <row r="16" spans="1:9" ht="12" customHeight="1">
      <c r="A16" s="197"/>
      <c r="B16" s="304"/>
      <c r="C16" s="262"/>
      <c r="D16" s="472"/>
      <c r="E16" s="472"/>
      <c r="F16" s="477"/>
      <c r="G16" s="947"/>
      <c r="H16" s="127"/>
      <c r="I16" s="167"/>
    </row>
    <row r="17" spans="1:9" ht="32.25" customHeight="1">
      <c r="A17" s="197"/>
      <c r="B17" s="304" t="s">
        <v>307</v>
      </c>
      <c r="C17" s="262" t="s">
        <v>311</v>
      </c>
      <c r="D17" s="472">
        <v>70</v>
      </c>
      <c r="E17" s="472">
        <v>86</v>
      </c>
      <c r="F17" s="477">
        <f>D17-E17</f>
        <v>-16</v>
      </c>
      <c r="G17" s="587" t="s">
        <v>319</v>
      </c>
      <c r="H17" s="127"/>
      <c r="I17" s="167"/>
    </row>
    <row r="18" spans="1:9" ht="12.75" customHeight="1">
      <c r="A18" s="197"/>
      <c r="B18" s="304"/>
      <c r="C18" s="262"/>
      <c r="D18" s="472"/>
      <c r="E18" s="472"/>
      <c r="F18" s="477"/>
      <c r="G18" s="587"/>
      <c r="H18" s="127"/>
      <c r="I18" s="167"/>
    </row>
    <row r="19" spans="1:9" s="130" customFormat="1" ht="35.25" customHeight="1">
      <c r="A19" s="219"/>
      <c r="B19" s="304" t="s">
        <v>308</v>
      </c>
      <c r="C19" s="262" t="s">
        <v>312</v>
      </c>
      <c r="D19" s="472">
        <v>76</v>
      </c>
      <c r="E19" s="472">
        <v>27</v>
      </c>
      <c r="F19" s="477">
        <f>D19-E19</f>
        <v>49</v>
      </c>
      <c r="G19" s="587" t="s">
        <v>319</v>
      </c>
      <c r="H19" s="306"/>
      <c r="I19" s="221"/>
    </row>
    <row r="20" spans="1:9" ht="14.4" thickBot="1">
      <c r="A20" s="197"/>
      <c r="B20" s="305"/>
      <c r="C20" s="262"/>
      <c r="D20" s="472"/>
      <c r="E20" s="472"/>
      <c r="F20" s="477">
        <f>D20-E20</f>
        <v>0</v>
      </c>
      <c r="G20" s="481"/>
      <c r="H20" s="307"/>
      <c r="I20" s="222"/>
    </row>
    <row r="21" spans="1:9" ht="29.25" customHeight="1" thickBot="1">
      <c r="A21" s="197"/>
      <c r="B21" s="308"/>
      <c r="C21" s="309"/>
      <c r="D21" s="473">
        <f>SUM(D15:D20)</f>
        <v>146</v>
      </c>
      <c r="E21" s="473">
        <f>SUM(E15:E20)</f>
        <v>213</v>
      </c>
      <c r="F21" s="473">
        <f>SUM(F15:F20)</f>
        <v>-67</v>
      </c>
      <c r="G21" s="482"/>
      <c r="H21" s="127"/>
      <c r="I21" s="167"/>
    </row>
    <row r="22" spans="1:9">
      <c r="A22" s="197"/>
      <c r="B22" s="217"/>
      <c r="C22" s="127"/>
      <c r="D22" s="127"/>
      <c r="E22" s="127"/>
      <c r="F22" s="127"/>
      <c r="G22" s="310"/>
      <c r="H22" s="127"/>
      <c r="I22" s="167"/>
    </row>
    <row r="23" spans="1:9" ht="16.5" customHeight="1">
      <c r="A23" s="197"/>
      <c r="B23" s="586" t="s">
        <v>315</v>
      </c>
      <c r="C23" s="127"/>
      <c r="D23" s="127"/>
      <c r="E23" s="127"/>
      <c r="F23" s="127"/>
      <c r="G23" s="310"/>
      <c r="H23" s="127"/>
      <c r="I23" s="167"/>
    </row>
    <row r="24" spans="1:9" ht="77.25" customHeight="1">
      <c r="A24" s="197"/>
      <c r="B24" s="967" t="s">
        <v>314</v>
      </c>
      <c r="C24" s="968"/>
      <c r="D24" s="968"/>
      <c r="E24" s="968"/>
      <c r="F24" s="968"/>
      <c r="G24" s="968"/>
      <c r="H24" s="127"/>
      <c r="I24" s="167"/>
    </row>
    <row r="25" spans="1:9">
      <c r="A25" s="197"/>
      <c r="B25" s="217"/>
      <c r="C25" s="218"/>
      <c r="D25" s="217"/>
      <c r="E25" s="127"/>
      <c r="F25" s="127"/>
      <c r="G25" s="127"/>
      <c r="H25" s="127"/>
      <c r="I25" s="167"/>
    </row>
    <row r="26" spans="1:9">
      <c r="A26" s="197"/>
      <c r="B26" s="586" t="s">
        <v>316</v>
      </c>
      <c r="C26" s="218"/>
      <c r="D26" s="217"/>
      <c r="E26" s="127"/>
      <c r="F26" s="127"/>
      <c r="G26" s="127"/>
      <c r="H26" s="127"/>
      <c r="I26" s="167"/>
    </row>
    <row r="27" spans="1:9">
      <c r="A27" s="197"/>
      <c r="B27" s="217" t="s">
        <v>317</v>
      </c>
      <c r="C27" s="218"/>
      <c r="D27" s="217"/>
      <c r="E27" s="127"/>
      <c r="F27" s="127"/>
      <c r="G27" s="127"/>
      <c r="H27" s="127"/>
      <c r="I27" s="167"/>
    </row>
    <row r="28" spans="1:9">
      <c r="A28" s="197"/>
      <c r="B28" s="967" t="s">
        <v>318</v>
      </c>
      <c r="C28" s="968"/>
      <c r="D28" s="968"/>
      <c r="E28" s="968"/>
      <c r="F28" s="968"/>
      <c r="G28" s="968"/>
      <c r="H28" s="127"/>
      <c r="I28" s="167"/>
    </row>
    <row r="29" spans="1:9">
      <c r="A29" s="197"/>
      <c r="B29" s="968"/>
      <c r="C29" s="968"/>
      <c r="D29" s="968"/>
      <c r="E29" s="968"/>
      <c r="F29" s="968"/>
      <c r="G29" s="968"/>
      <c r="H29" s="127"/>
      <c r="I29" s="167"/>
    </row>
    <row r="30" spans="1:9">
      <c r="A30" s="197"/>
      <c r="B30" s="217"/>
      <c r="C30" s="218"/>
      <c r="D30" s="217"/>
      <c r="E30" s="127"/>
      <c r="F30" s="127"/>
      <c r="G30" s="127"/>
      <c r="H30" s="127"/>
      <c r="I30" s="167"/>
    </row>
    <row r="31" spans="1:9">
      <c r="A31" s="197"/>
      <c r="B31" s="217"/>
      <c r="C31" s="218"/>
      <c r="D31" s="217"/>
      <c r="E31" s="127"/>
      <c r="F31" s="127"/>
      <c r="G31" s="127"/>
      <c r="H31" s="127"/>
      <c r="I31" s="167"/>
    </row>
    <row r="32" spans="1:9">
      <c r="A32" s="197"/>
      <c r="B32" s="217"/>
      <c r="C32" s="218"/>
      <c r="D32" s="217"/>
      <c r="E32" s="127"/>
      <c r="F32" s="127"/>
      <c r="G32" s="127"/>
      <c r="H32" s="127"/>
      <c r="I32" s="167"/>
    </row>
    <row r="33" spans="1:9" ht="13.8" thickBot="1">
      <c r="A33" s="224"/>
      <c r="B33" s="225"/>
      <c r="C33" s="226"/>
      <c r="D33" s="225"/>
      <c r="E33" s="199"/>
      <c r="F33" s="199"/>
      <c r="G33" s="199"/>
      <c r="H33" s="199"/>
      <c r="I33" s="168"/>
    </row>
  </sheetData>
  <mergeCells count="2">
    <mergeCell ref="B24:G24"/>
    <mergeCell ref="B28:G29"/>
  </mergeCells>
  <phoneticPr fontId="0" type="noConversion"/>
  <pageMargins left="0.75" right="0.75" top="0.65" bottom="0.81" header="0.5" footer="0.5"/>
  <pageSetup paperSize="9" scale="66" orientation="landscape" r:id="rId1"/>
  <headerFooter alignWithMargins="0">
    <oddFooter>&amp;L&amp;9Page 9&amp;C&amp;9Source: Financial Planning and Analysis&amp;R&amp;9Printed : &amp;D&amp;T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P53"/>
  <sheetViews>
    <sheetView tabSelected="1" topLeftCell="C1" zoomScale="75" workbookViewId="0">
      <selection activeCell="C9" sqref="C9"/>
    </sheetView>
  </sheetViews>
  <sheetFormatPr defaultColWidth="9.109375" defaultRowHeight="13.2"/>
  <cols>
    <col min="1" max="1" width="7" style="16" customWidth="1"/>
    <col min="2" max="2" width="13.88671875" style="128" customWidth="1"/>
    <col min="3" max="3" width="17.6640625" style="129" customWidth="1"/>
    <col min="4" max="4" width="25.33203125" style="128" customWidth="1"/>
    <col min="5" max="6" width="24.5546875" style="16" customWidth="1"/>
    <col min="7" max="7" width="12.44140625" style="16" customWidth="1"/>
    <col min="8" max="8" width="20.5546875" style="16" customWidth="1"/>
    <col min="9" max="9" width="14.5546875" style="16" customWidth="1"/>
    <col min="10" max="10" width="5.109375" style="16" customWidth="1"/>
    <col min="11" max="13" width="9.109375" style="16"/>
    <col min="14" max="14" width="14.44140625" style="16" customWidth="1"/>
    <col min="15" max="16384" width="9.109375" style="16"/>
  </cols>
  <sheetData>
    <row r="1" spans="1:16">
      <c r="A1" s="195"/>
      <c r="B1" s="215"/>
      <c r="C1" s="216"/>
      <c r="D1" s="215"/>
      <c r="E1" s="196"/>
      <c r="F1" s="196"/>
      <c r="G1" s="196"/>
      <c r="H1" s="196"/>
      <c r="I1" s="196"/>
      <c r="J1" s="196"/>
      <c r="K1" s="196"/>
      <c r="L1" s="196"/>
      <c r="M1" s="196"/>
      <c r="N1" s="166"/>
    </row>
    <row r="2" spans="1:16">
      <c r="A2" s="197"/>
      <c r="B2" s="217"/>
      <c r="C2" s="218"/>
      <c r="D2" s="217"/>
      <c r="E2" s="127"/>
      <c r="F2" s="127"/>
      <c r="G2" s="127"/>
      <c r="H2" s="127"/>
      <c r="I2" s="127"/>
      <c r="J2" s="127"/>
      <c r="K2" s="127"/>
      <c r="L2" s="127"/>
      <c r="M2" s="127"/>
      <c r="N2" s="167"/>
    </row>
    <row r="3" spans="1:16">
      <c r="A3" s="197"/>
      <c r="B3" s="217"/>
      <c r="C3" s="218"/>
      <c r="D3" s="217"/>
      <c r="E3" s="127"/>
      <c r="F3" s="127"/>
      <c r="G3" s="127"/>
      <c r="H3" s="127"/>
      <c r="I3" s="127"/>
      <c r="J3" s="127"/>
      <c r="K3" s="127"/>
      <c r="L3" s="127"/>
      <c r="M3" s="127"/>
      <c r="N3" s="167"/>
    </row>
    <row r="4" spans="1:16">
      <c r="A4" s="197"/>
      <c r="B4" s="217"/>
      <c r="C4" s="218"/>
      <c r="D4" s="217"/>
      <c r="E4" s="127"/>
      <c r="F4" s="127"/>
      <c r="G4" s="127"/>
      <c r="H4" s="127"/>
      <c r="I4" s="127"/>
      <c r="J4" s="127"/>
      <c r="K4" s="127"/>
      <c r="L4" s="127"/>
      <c r="M4" s="127"/>
      <c r="N4" s="167"/>
    </row>
    <row r="5" spans="1:16">
      <c r="A5" s="197"/>
      <c r="B5" s="217"/>
      <c r="C5" s="218"/>
      <c r="D5" s="217"/>
      <c r="E5" s="127"/>
      <c r="F5" s="127"/>
      <c r="G5" s="127"/>
      <c r="H5" s="127"/>
      <c r="I5" s="127"/>
      <c r="J5" s="127"/>
      <c r="K5" s="127"/>
      <c r="L5" s="127"/>
      <c r="M5" s="127"/>
      <c r="N5" s="167"/>
    </row>
    <row r="6" spans="1:16">
      <c r="A6" s="197"/>
      <c r="B6" s="217"/>
      <c r="C6" s="218"/>
      <c r="D6" s="217"/>
      <c r="E6" s="127"/>
      <c r="F6" s="127"/>
      <c r="G6" s="127"/>
      <c r="H6" s="127"/>
      <c r="I6" s="127"/>
      <c r="J6" s="127"/>
      <c r="K6" s="127"/>
      <c r="L6" s="127"/>
      <c r="M6" s="127"/>
      <c r="N6" s="167"/>
    </row>
    <row r="7" spans="1:16">
      <c r="A7" s="197"/>
      <c r="B7" s="217"/>
      <c r="C7" s="218"/>
      <c r="D7" s="217"/>
      <c r="E7" s="127"/>
      <c r="F7" s="127"/>
      <c r="G7" s="127"/>
      <c r="H7" s="127"/>
      <c r="I7" s="127"/>
      <c r="J7" s="127"/>
      <c r="K7" s="127"/>
      <c r="L7" s="127"/>
      <c r="M7" s="127"/>
      <c r="N7" s="167"/>
    </row>
    <row r="8" spans="1:16" ht="31.5" customHeight="1">
      <c r="A8" s="197"/>
      <c r="B8" s="217"/>
      <c r="C8" s="218"/>
      <c r="D8" s="217"/>
      <c r="E8" s="127"/>
      <c r="F8" s="127"/>
      <c r="G8" s="127"/>
      <c r="H8" s="127"/>
      <c r="I8" s="127"/>
      <c r="J8" s="127"/>
      <c r="K8" s="127"/>
      <c r="L8" s="127"/>
      <c r="M8" s="127"/>
      <c r="N8" s="167"/>
    </row>
    <row r="9" spans="1:16">
      <c r="A9" s="197"/>
      <c r="B9" s="217"/>
      <c r="C9" s="218"/>
      <c r="D9" s="217"/>
      <c r="E9" s="127"/>
      <c r="F9" s="127"/>
      <c r="G9" s="127"/>
      <c r="H9" s="127"/>
      <c r="I9" s="127"/>
      <c r="J9" s="127"/>
      <c r="K9" s="127"/>
      <c r="L9" s="127"/>
      <c r="M9" s="127"/>
      <c r="N9" s="167"/>
    </row>
    <row r="10" spans="1:16" ht="13.8" thickBot="1">
      <c r="A10" s="342"/>
      <c r="B10" s="343"/>
      <c r="C10" s="127"/>
      <c r="D10" s="343"/>
      <c r="E10" s="343"/>
      <c r="F10" s="343"/>
      <c r="G10" s="343"/>
      <c r="H10" s="343"/>
      <c r="I10" s="343"/>
      <c r="J10" s="343"/>
      <c r="K10" s="343"/>
      <c r="L10" s="343"/>
      <c r="M10" s="343"/>
      <c r="N10" s="344"/>
      <c r="O10" s="345"/>
      <c r="P10" s="345"/>
    </row>
    <row r="11" spans="1:16" ht="18" customHeight="1">
      <c r="A11" s="197"/>
      <c r="B11" s="390" t="s">
        <v>183</v>
      </c>
      <c r="C11" s="385"/>
      <c r="D11" s="495" t="s">
        <v>216</v>
      </c>
      <c r="E11" s="496"/>
      <c r="F11" s="497"/>
      <c r="G11" s="497"/>
      <c r="H11" s="346" t="s">
        <v>235</v>
      </c>
      <c r="I11" s="127"/>
      <c r="J11" s="127"/>
      <c r="K11" s="127"/>
      <c r="L11" s="127"/>
      <c r="M11" s="127"/>
      <c r="N11" s="167"/>
    </row>
    <row r="12" spans="1:16" ht="18" customHeight="1">
      <c r="A12" s="197"/>
      <c r="B12" s="907" t="s">
        <v>661</v>
      </c>
      <c r="C12" s="385"/>
      <c r="D12" s="911" t="s">
        <v>672</v>
      </c>
      <c r="E12" s="498" t="s">
        <v>36</v>
      </c>
      <c r="F12" s="499" t="s">
        <v>23</v>
      </c>
      <c r="G12" s="499" t="s">
        <v>322</v>
      </c>
      <c r="H12" s="127"/>
      <c r="I12" s="127"/>
      <c r="J12" s="127"/>
      <c r="K12" s="127"/>
      <c r="L12" s="127"/>
      <c r="M12" s="127"/>
      <c r="N12" s="167"/>
    </row>
    <row r="13" spans="1:16">
      <c r="A13" s="197"/>
      <c r="B13" s="385"/>
      <c r="C13" s="385"/>
      <c r="D13" s="483"/>
      <c r="E13" s="487"/>
      <c r="F13" s="430"/>
      <c r="G13" s="430"/>
      <c r="H13" s="127"/>
      <c r="I13" s="127"/>
      <c r="J13" s="127"/>
      <c r="K13" s="127"/>
      <c r="L13" s="127"/>
      <c r="M13" s="127"/>
      <c r="N13" s="167"/>
    </row>
    <row r="14" spans="1:16" ht="17.25" customHeight="1">
      <c r="A14" s="197"/>
      <c r="B14" s="422" t="s">
        <v>48</v>
      </c>
      <c r="C14" s="385"/>
      <c r="D14" s="484">
        <v>1905</v>
      </c>
      <c r="E14" s="488">
        <f>+'Adaytum  Detail 2002'!E26/1000</f>
        <v>1384.175</v>
      </c>
      <c r="F14" s="431">
        <f>+E14-D14</f>
        <v>-520.82500000000005</v>
      </c>
      <c r="G14" s="589">
        <f>+F14/D14</f>
        <v>-0.27339895013123361</v>
      </c>
      <c r="H14" s="127" t="s">
        <v>321</v>
      </c>
      <c r="I14" s="127"/>
      <c r="J14" s="127"/>
      <c r="K14" s="127"/>
      <c r="L14" s="127"/>
      <c r="M14" s="127"/>
      <c r="N14" s="167"/>
    </row>
    <row r="15" spans="1:16" ht="17.25" customHeight="1">
      <c r="A15" s="197"/>
      <c r="B15" s="422" t="s">
        <v>3</v>
      </c>
      <c r="C15" s="385"/>
      <c r="D15" s="484">
        <v>386</v>
      </c>
      <c r="E15" s="488">
        <f>+'Adaytum  Detail 2002'!E33/1000</f>
        <v>271.77499999999998</v>
      </c>
      <c r="F15" s="431">
        <f t="shared" ref="F15:F22" si="0">+E15-D15</f>
        <v>-114.22500000000002</v>
      </c>
      <c r="G15" s="589">
        <f t="shared" ref="G15:G24" si="1">+F15/D15</f>
        <v>-0.29591968911917105</v>
      </c>
      <c r="H15" s="127" t="s">
        <v>673</v>
      </c>
      <c r="I15" s="127"/>
      <c r="J15" s="127"/>
      <c r="K15" s="127"/>
      <c r="L15" s="127"/>
      <c r="M15" s="127"/>
      <c r="N15" s="167"/>
    </row>
    <row r="16" spans="1:16" ht="17.25" customHeight="1">
      <c r="A16" s="197"/>
      <c r="B16" s="422" t="s">
        <v>40</v>
      </c>
      <c r="C16" s="385"/>
      <c r="D16" s="484">
        <v>21</v>
      </c>
      <c r="E16" s="488">
        <f>+'Adaytum  Detail 2002'!C45/1000</f>
        <v>4.4809999999999999</v>
      </c>
      <c r="F16" s="431">
        <f t="shared" si="0"/>
        <v>-16.518999999999998</v>
      </c>
      <c r="G16" s="589">
        <f t="shared" si="1"/>
        <v>-0.78661904761904755</v>
      </c>
      <c r="H16" s="127"/>
      <c r="I16" s="127"/>
      <c r="J16" s="127"/>
      <c r="K16" s="127"/>
      <c r="L16" s="127"/>
      <c r="M16" s="127"/>
      <c r="N16" s="167"/>
    </row>
    <row r="17" spans="1:16" ht="17.25" customHeight="1">
      <c r="A17" s="197"/>
      <c r="B17" s="422" t="s">
        <v>41</v>
      </c>
      <c r="C17" s="385"/>
      <c r="D17" s="484">
        <v>1260</v>
      </c>
      <c r="E17" s="488">
        <v>527</v>
      </c>
      <c r="F17" s="431">
        <f t="shared" si="0"/>
        <v>-733</v>
      </c>
      <c r="G17" s="589">
        <f t="shared" si="1"/>
        <v>-0.58174603174603179</v>
      </c>
      <c r="H17" s="127" t="s">
        <v>324</v>
      </c>
      <c r="I17" s="127"/>
      <c r="J17" s="127"/>
      <c r="K17" s="127"/>
      <c r="L17" s="127"/>
      <c r="M17" s="127"/>
      <c r="N17" s="167"/>
    </row>
    <row r="18" spans="1:16" ht="17.25" customHeight="1">
      <c r="A18" s="197"/>
      <c r="B18" s="422" t="s">
        <v>209</v>
      </c>
      <c r="C18" s="385"/>
      <c r="D18" s="484">
        <v>384</v>
      </c>
      <c r="E18" s="488">
        <f>+'Adaytum  Detail 2002'!E75/1000</f>
        <v>245</v>
      </c>
      <c r="F18" s="431">
        <f t="shared" si="0"/>
        <v>-139</v>
      </c>
      <c r="G18" s="589">
        <f t="shared" si="1"/>
        <v>-0.36197916666666669</v>
      </c>
      <c r="H18" s="127" t="s">
        <v>674</v>
      </c>
      <c r="I18" s="127"/>
      <c r="J18" s="127"/>
      <c r="K18" s="127"/>
      <c r="L18" s="127"/>
      <c r="M18" s="127"/>
      <c r="N18" s="167"/>
    </row>
    <row r="19" spans="1:16" ht="17.25" customHeight="1">
      <c r="A19" s="197"/>
      <c r="B19" s="422" t="s">
        <v>210</v>
      </c>
      <c r="C19" s="385"/>
      <c r="D19" s="484">
        <v>163</v>
      </c>
      <c r="E19" s="488">
        <f>+'Adaytum  Detail 2002'!E68/1000</f>
        <v>100</v>
      </c>
      <c r="F19" s="431">
        <f t="shared" si="0"/>
        <v>-63</v>
      </c>
      <c r="G19" s="589">
        <f t="shared" si="1"/>
        <v>-0.38650306748466257</v>
      </c>
      <c r="H19" s="127" t="s">
        <v>707</v>
      </c>
      <c r="I19" s="127"/>
      <c r="J19" s="127"/>
      <c r="K19" s="127"/>
      <c r="L19" s="127"/>
      <c r="M19" s="127"/>
      <c r="N19" s="167"/>
    </row>
    <row r="20" spans="1:16" ht="17.25" customHeight="1">
      <c r="A20" s="197"/>
      <c r="B20" s="422" t="s">
        <v>57</v>
      </c>
      <c r="C20" s="385"/>
      <c r="D20" s="484">
        <v>196</v>
      </c>
      <c r="E20" s="488">
        <f>+'Adaytum  Detail 2002'!C83/1000</f>
        <v>122.40600000000001</v>
      </c>
      <c r="F20" s="431">
        <f t="shared" si="0"/>
        <v>-73.593999999999994</v>
      </c>
      <c r="G20" s="589">
        <f t="shared" si="1"/>
        <v>-0.37547959183673468</v>
      </c>
      <c r="H20" s="127" t="s">
        <v>675</v>
      </c>
      <c r="I20" s="127"/>
      <c r="J20" s="127"/>
      <c r="K20" s="127"/>
      <c r="L20" s="127"/>
      <c r="M20" s="127"/>
      <c r="N20" s="167"/>
    </row>
    <row r="21" spans="1:16" ht="17.25" customHeight="1">
      <c r="A21" s="197"/>
      <c r="B21" s="422" t="s">
        <v>211</v>
      </c>
      <c r="C21" s="385"/>
      <c r="D21" s="484">
        <v>40</v>
      </c>
      <c r="E21" s="488">
        <f>+'Adaytum  Detail 2002'!E86/1000</f>
        <v>20</v>
      </c>
      <c r="F21" s="431">
        <f t="shared" si="0"/>
        <v>-20</v>
      </c>
      <c r="G21" s="589">
        <f t="shared" si="1"/>
        <v>-0.5</v>
      </c>
      <c r="H21" s="127" t="s">
        <v>325</v>
      </c>
      <c r="I21" s="127"/>
      <c r="J21" s="127"/>
      <c r="K21" s="127"/>
      <c r="L21" s="127"/>
      <c r="M21" s="127"/>
      <c r="N21" s="167"/>
    </row>
    <row r="22" spans="1:16" ht="17.25" customHeight="1">
      <c r="A22" s="197"/>
      <c r="B22" s="422" t="s">
        <v>212</v>
      </c>
      <c r="C22" s="385"/>
      <c r="D22" s="484">
        <f>+'Adaytum by Month'!Q39/1000</f>
        <v>0</v>
      </c>
      <c r="E22" s="488">
        <f>+'Adaytum  Detail 2002'!E88/1000</f>
        <v>0</v>
      </c>
      <c r="F22" s="431">
        <f t="shared" si="0"/>
        <v>0</v>
      </c>
      <c r="G22" s="589">
        <v>0</v>
      </c>
      <c r="H22" s="127"/>
      <c r="I22" s="127"/>
      <c r="J22" s="127"/>
      <c r="K22" s="127"/>
      <c r="L22" s="127"/>
      <c r="M22" s="127"/>
      <c r="N22" s="167"/>
    </row>
    <row r="23" spans="1:16" ht="15">
      <c r="A23" s="197"/>
      <c r="B23" s="422"/>
      <c r="C23" s="385"/>
      <c r="D23" s="484"/>
      <c r="E23" s="488"/>
      <c r="F23" s="431"/>
      <c r="G23" s="431"/>
      <c r="H23" s="127"/>
      <c r="I23" s="127"/>
      <c r="J23" s="127"/>
      <c r="K23" s="127"/>
      <c r="L23" s="127"/>
      <c r="M23" s="127"/>
      <c r="N23" s="167"/>
    </row>
    <row r="24" spans="1:16" ht="39.75" customHeight="1">
      <c r="A24" s="197"/>
      <c r="B24" s="423" t="s">
        <v>213</v>
      </c>
      <c r="C24" s="385"/>
      <c r="D24" s="485">
        <f>SUM(D14:D22)</f>
        <v>4355</v>
      </c>
      <c r="E24" s="489">
        <f>SUM(E14:E23)</f>
        <v>2674.8369999999995</v>
      </c>
      <c r="F24" s="432">
        <f>SUM(F14:F23)</f>
        <v>-1680.163</v>
      </c>
      <c r="G24" s="591">
        <f t="shared" si="1"/>
        <v>-0.3858009184845006</v>
      </c>
      <c r="H24" s="969" t="s">
        <v>326</v>
      </c>
      <c r="I24" s="968"/>
      <c r="J24" s="968"/>
      <c r="K24" s="968"/>
      <c r="L24" s="968"/>
      <c r="M24" s="968"/>
      <c r="N24" s="970"/>
    </row>
    <row r="25" spans="1:16" ht="15">
      <c r="A25" s="197"/>
      <c r="B25" s="422"/>
      <c r="C25" s="385"/>
      <c r="D25" s="484"/>
      <c r="E25" s="488"/>
      <c r="F25" s="431"/>
      <c r="G25" s="431"/>
      <c r="H25" s="127"/>
      <c r="I25" s="127"/>
      <c r="J25" s="127"/>
      <c r="K25" s="127"/>
      <c r="L25" s="127"/>
      <c r="M25" s="127"/>
      <c r="N25" s="167"/>
    </row>
    <row r="26" spans="1:16" ht="15">
      <c r="A26" s="197"/>
      <c r="B26" s="422" t="s">
        <v>214</v>
      </c>
      <c r="C26" s="385"/>
      <c r="D26" s="484">
        <f>+' PL Expense Analysis'!C59</f>
        <v>0</v>
      </c>
      <c r="E26" s="488">
        <f>+' PL Expense Analysis'!G59</f>
        <v>0</v>
      </c>
      <c r="F26" s="431">
        <f>+E26-D26</f>
        <v>0</v>
      </c>
      <c r="G26" s="431">
        <v>0</v>
      </c>
      <c r="H26" s="127"/>
      <c r="I26" s="127"/>
      <c r="J26" s="127"/>
      <c r="K26" s="127"/>
      <c r="L26" s="127"/>
      <c r="M26" s="127"/>
      <c r="N26" s="167"/>
    </row>
    <row r="27" spans="1:16" ht="16.5" customHeight="1">
      <c r="A27" s="197"/>
      <c r="B27" s="422" t="s">
        <v>27</v>
      </c>
      <c r="C27" s="385"/>
      <c r="D27" s="517">
        <f>+' PL Expense Analysis'!C60</f>
        <v>0</v>
      </c>
      <c r="E27" s="518">
        <f>+' PL Expense Analysis'!G60</f>
        <v>0</v>
      </c>
      <c r="F27" s="433">
        <f>+E27-D27</f>
        <v>0</v>
      </c>
      <c r="G27" s="433">
        <v>0</v>
      </c>
      <c r="H27" s="127"/>
      <c r="I27" s="127"/>
      <c r="J27" s="127"/>
      <c r="K27" s="127"/>
      <c r="L27" s="127"/>
      <c r="M27" s="127"/>
      <c r="N27" s="167"/>
    </row>
    <row r="28" spans="1:16" ht="15" customHeight="1">
      <c r="A28" s="197"/>
      <c r="B28" s="422"/>
      <c r="C28" s="385"/>
      <c r="D28" s="484"/>
      <c r="E28" s="488"/>
      <c r="F28" s="431"/>
      <c r="G28" s="431"/>
      <c r="H28" s="127"/>
      <c r="I28" s="127"/>
      <c r="J28" s="127"/>
      <c r="K28" s="127"/>
      <c r="L28" s="127"/>
      <c r="M28" s="127"/>
      <c r="N28" s="167"/>
    </row>
    <row r="29" spans="1:16" ht="16.2" thickBot="1">
      <c r="A29" s="197"/>
      <c r="B29" s="423" t="s">
        <v>215</v>
      </c>
      <c r="C29" s="385"/>
      <c r="D29" s="486">
        <f>SUM(D24:D27)</f>
        <v>4355</v>
      </c>
      <c r="E29" s="490">
        <f>SUM(E24:E26)</f>
        <v>2674.8369999999995</v>
      </c>
      <c r="F29" s="421">
        <f>+F24+F26</f>
        <v>-1680.163</v>
      </c>
      <c r="G29" s="590">
        <f>+F29/D29</f>
        <v>-0.3858009184845006</v>
      </c>
      <c r="H29" s="127"/>
      <c r="I29" s="127"/>
      <c r="J29" s="127"/>
      <c r="K29" s="127"/>
      <c r="L29" s="127"/>
      <c r="M29" s="127"/>
      <c r="N29" s="167"/>
    </row>
    <row r="30" spans="1:16">
      <c r="A30" s="342"/>
      <c r="B30" s="343"/>
      <c r="C30" s="343"/>
      <c r="D30" s="343"/>
      <c r="E30" s="343"/>
      <c r="F30" s="343"/>
      <c r="G30" s="343"/>
      <c r="H30" s="343"/>
      <c r="I30" s="343"/>
      <c r="J30" s="343"/>
      <c r="K30" s="343"/>
      <c r="L30" s="343"/>
      <c r="M30" s="343"/>
      <c r="N30" s="344"/>
      <c r="O30" s="345"/>
      <c r="P30" s="345"/>
    </row>
    <row r="31" spans="1:16" ht="13.8">
      <c r="A31" s="197"/>
      <c r="B31" s="423" t="s">
        <v>32</v>
      </c>
      <c r="C31" s="218"/>
      <c r="D31" s="423">
        <v>19</v>
      </c>
      <c r="E31" s="423">
        <v>10</v>
      </c>
      <c r="F31" s="588">
        <f>+E31-D31</f>
        <v>-9</v>
      </c>
      <c r="G31" s="592">
        <f>+F31/D31</f>
        <v>-0.47368421052631576</v>
      </c>
      <c r="H31" s="127"/>
      <c r="I31" s="127"/>
      <c r="J31" s="127"/>
      <c r="K31" s="127"/>
      <c r="L31" s="127"/>
      <c r="M31" s="127"/>
      <c r="N31" s="167"/>
    </row>
    <row r="32" spans="1:16">
      <c r="A32" s="223"/>
      <c r="B32" s="217"/>
      <c r="C32" s="218"/>
      <c r="D32" s="217"/>
      <c r="E32" s="127"/>
      <c r="F32" s="127"/>
      <c r="G32" s="127"/>
      <c r="H32" s="127"/>
      <c r="I32" s="127"/>
      <c r="J32" s="127"/>
      <c r="K32" s="127"/>
      <c r="L32" s="127"/>
      <c r="M32" s="127"/>
      <c r="N32" s="167"/>
    </row>
    <row r="33" spans="1:14">
      <c r="A33" s="223"/>
      <c r="B33" s="217"/>
      <c r="C33" s="218"/>
      <c r="D33" s="217"/>
      <c r="E33" s="127"/>
      <c r="F33" s="127"/>
      <c r="G33" s="127"/>
      <c r="H33" s="127"/>
      <c r="I33" s="127"/>
      <c r="J33" s="127"/>
      <c r="K33" s="127"/>
      <c r="L33" s="127"/>
      <c r="M33" s="127"/>
      <c r="N33" s="167"/>
    </row>
    <row r="34" spans="1:14">
      <c r="A34" s="223"/>
      <c r="B34" s="217"/>
      <c r="C34" s="218"/>
      <c r="D34" s="217"/>
      <c r="E34" s="127"/>
      <c r="F34" s="127"/>
      <c r="G34" s="127"/>
      <c r="H34" s="127"/>
      <c r="I34" s="127"/>
      <c r="J34" s="127"/>
      <c r="K34" s="127"/>
      <c r="L34" s="127"/>
      <c r="M34" s="127"/>
      <c r="N34" s="167"/>
    </row>
    <row r="35" spans="1:14">
      <c r="A35" s="223"/>
      <c r="B35" s="217"/>
      <c r="C35" s="218"/>
      <c r="D35" s="217"/>
      <c r="E35" s="127"/>
      <c r="F35" s="127"/>
      <c r="G35" s="127"/>
      <c r="H35" s="127"/>
      <c r="I35" s="127"/>
      <c r="J35" s="127"/>
      <c r="K35" s="127"/>
      <c r="L35" s="127"/>
      <c r="M35" s="127"/>
      <c r="N35" s="167"/>
    </row>
    <row r="36" spans="1:14">
      <c r="A36" s="223"/>
      <c r="B36" s="217"/>
      <c r="C36" s="218"/>
      <c r="D36" s="217"/>
      <c r="E36" s="127"/>
      <c r="F36" s="127"/>
      <c r="G36" s="127"/>
      <c r="H36" s="127"/>
      <c r="I36" s="127"/>
      <c r="J36" s="127"/>
      <c r="K36" s="127"/>
      <c r="L36" s="127"/>
      <c r="M36" s="127"/>
      <c r="N36" s="167"/>
    </row>
    <row r="37" spans="1:14">
      <c r="A37" s="223"/>
      <c r="B37" s="217"/>
      <c r="C37" s="218"/>
      <c r="D37" s="217"/>
      <c r="E37" s="127"/>
      <c r="F37" s="127"/>
      <c r="G37" s="127"/>
      <c r="H37" s="127"/>
      <c r="I37" s="127"/>
      <c r="J37" s="127"/>
      <c r="K37" s="127"/>
      <c r="L37" s="127"/>
      <c r="M37" s="127"/>
      <c r="N37" s="167"/>
    </row>
    <row r="38" spans="1:14">
      <c r="A38" s="197"/>
      <c r="B38" s="217"/>
      <c r="C38" s="218"/>
      <c r="D38" s="217"/>
      <c r="E38" s="127"/>
      <c r="F38" s="127"/>
      <c r="G38" s="127"/>
      <c r="H38" s="127"/>
      <c r="I38" s="127"/>
      <c r="J38" s="127"/>
      <c r="K38" s="127"/>
      <c r="L38" s="127"/>
      <c r="M38" s="127"/>
      <c r="N38" s="167"/>
    </row>
    <row r="39" spans="1:14">
      <c r="A39" s="197"/>
      <c r="B39" s="217"/>
      <c r="C39" s="218"/>
      <c r="D39" s="217"/>
      <c r="E39" s="127"/>
      <c r="F39" s="127"/>
      <c r="G39" s="127"/>
      <c r="H39" s="127"/>
      <c r="I39" s="127"/>
      <c r="J39" s="127"/>
      <c r="K39" s="127"/>
      <c r="L39" s="127"/>
      <c r="M39" s="127"/>
      <c r="N39" s="167"/>
    </row>
    <row r="40" spans="1:14">
      <c r="A40" s="197"/>
      <c r="B40" s="217"/>
      <c r="C40" s="218"/>
      <c r="D40" s="217"/>
      <c r="E40" s="127"/>
      <c r="F40" s="127"/>
      <c r="G40" s="127"/>
      <c r="H40" s="127"/>
      <c r="I40" s="127"/>
      <c r="J40" s="127"/>
      <c r="K40" s="127"/>
      <c r="L40" s="127"/>
      <c r="M40" s="127"/>
      <c r="N40" s="167"/>
    </row>
    <row r="41" spans="1:14">
      <c r="A41" s="197"/>
      <c r="B41" s="217"/>
      <c r="C41" s="218"/>
      <c r="D41" s="217"/>
      <c r="E41" s="127"/>
      <c r="F41" s="127"/>
      <c r="G41" s="127"/>
      <c r="H41" s="127"/>
      <c r="I41" s="127"/>
      <c r="J41" s="127"/>
      <c r="K41" s="127"/>
      <c r="L41" s="127"/>
      <c r="M41" s="127"/>
      <c r="N41" s="167"/>
    </row>
    <row r="42" spans="1:14">
      <c r="A42" s="197"/>
      <c r="B42" s="217"/>
      <c r="C42" s="218"/>
      <c r="D42" s="217"/>
      <c r="E42" s="127"/>
      <c r="F42" s="127"/>
      <c r="G42" s="127"/>
      <c r="H42" s="127"/>
      <c r="I42" s="127"/>
      <c r="J42" s="127"/>
      <c r="K42" s="127"/>
      <c r="L42" s="127"/>
      <c r="M42" s="127"/>
      <c r="N42" s="167"/>
    </row>
    <row r="43" spans="1:14">
      <c r="A43" s="197"/>
      <c r="B43" s="217"/>
      <c r="C43" s="218"/>
      <c r="D43" s="217"/>
      <c r="E43" s="127"/>
      <c r="F43" s="127"/>
      <c r="G43" s="127"/>
      <c r="H43" s="127"/>
      <c r="I43" s="127"/>
      <c r="J43" s="127"/>
      <c r="K43" s="127"/>
      <c r="L43" s="127"/>
      <c r="M43" s="127"/>
      <c r="N43" s="167"/>
    </row>
    <row r="44" spans="1:14">
      <c r="A44" s="197"/>
      <c r="B44" s="217"/>
      <c r="C44" s="218"/>
      <c r="D44" s="217"/>
      <c r="E44" s="127"/>
      <c r="F44" s="127"/>
      <c r="G44" s="127"/>
      <c r="H44" s="127"/>
      <c r="I44" s="127"/>
      <c r="J44" s="127"/>
      <c r="K44" s="127"/>
      <c r="L44" s="127"/>
      <c r="M44" s="127"/>
      <c r="N44" s="167"/>
    </row>
    <row r="45" spans="1:14">
      <c r="A45" s="197"/>
      <c r="B45" s="217"/>
      <c r="C45" s="218"/>
      <c r="D45" s="217"/>
      <c r="E45" s="127"/>
      <c r="F45" s="127"/>
      <c r="G45" s="127"/>
      <c r="H45" s="127"/>
      <c r="I45" s="127"/>
      <c r="J45" s="127"/>
      <c r="K45" s="127"/>
      <c r="L45" s="127"/>
      <c r="M45" s="127"/>
      <c r="N45" s="167"/>
    </row>
    <row r="46" spans="1:14">
      <c r="A46" s="197"/>
      <c r="B46" s="217"/>
      <c r="C46" s="218"/>
      <c r="D46" s="217"/>
      <c r="E46" s="127"/>
      <c r="F46" s="127"/>
      <c r="G46" s="127"/>
      <c r="H46" s="127"/>
      <c r="I46" s="127"/>
      <c r="J46" s="127"/>
      <c r="K46" s="127"/>
      <c r="L46" s="127"/>
      <c r="M46" s="127"/>
      <c r="N46" s="167"/>
    </row>
    <row r="47" spans="1:14">
      <c r="A47" s="197"/>
      <c r="B47" s="217"/>
      <c r="C47" s="218"/>
      <c r="D47" s="217"/>
      <c r="E47" s="127"/>
      <c r="F47" s="127"/>
      <c r="G47" s="127"/>
      <c r="H47" s="127"/>
      <c r="I47" s="127"/>
      <c r="J47" s="127"/>
      <c r="K47" s="127"/>
      <c r="L47" s="127"/>
      <c r="M47" s="127"/>
      <c r="N47" s="167"/>
    </row>
    <row r="48" spans="1:14">
      <c r="A48" s="197"/>
      <c r="B48" s="217"/>
      <c r="C48" s="218"/>
      <c r="D48" s="217"/>
      <c r="E48" s="127"/>
      <c r="F48" s="127"/>
      <c r="G48" s="127"/>
      <c r="H48" s="127"/>
      <c r="I48" s="127"/>
      <c r="J48" s="127"/>
      <c r="K48" s="127"/>
      <c r="L48" s="127"/>
      <c r="M48" s="127"/>
      <c r="N48" s="167"/>
    </row>
    <row r="49" spans="1:14">
      <c r="A49" s="197"/>
      <c r="B49" s="217"/>
      <c r="C49" s="218"/>
      <c r="D49" s="217"/>
      <c r="E49" s="127"/>
      <c r="F49" s="127"/>
      <c r="G49" s="127"/>
      <c r="H49" s="127"/>
      <c r="I49" s="127"/>
      <c r="J49" s="127"/>
      <c r="K49" s="127"/>
      <c r="L49" s="127"/>
      <c r="M49" s="127"/>
      <c r="N49" s="167"/>
    </row>
    <row r="50" spans="1:14">
      <c r="A50" s="197"/>
      <c r="B50" s="217"/>
      <c r="C50" s="218"/>
      <c r="D50" s="217"/>
      <c r="E50" s="127"/>
      <c r="F50" s="127"/>
      <c r="G50" s="127"/>
      <c r="H50" s="127"/>
      <c r="I50" s="127"/>
      <c r="J50" s="127"/>
      <c r="K50" s="127"/>
      <c r="L50" s="127"/>
      <c r="M50" s="127"/>
      <c r="N50" s="167"/>
    </row>
    <row r="51" spans="1:14">
      <c r="A51" s="197"/>
      <c r="B51" s="217"/>
      <c r="C51" s="218"/>
      <c r="D51" s="217"/>
      <c r="E51" s="127"/>
      <c r="F51" s="127"/>
      <c r="G51" s="127"/>
      <c r="H51" s="127"/>
      <c r="I51" s="127"/>
      <c r="J51" s="127"/>
      <c r="K51" s="127"/>
      <c r="L51" s="127"/>
      <c r="M51" s="127"/>
      <c r="N51" s="167"/>
    </row>
    <row r="52" spans="1:14">
      <c r="A52" s="197"/>
      <c r="B52" s="217"/>
      <c r="C52" s="218"/>
      <c r="D52" s="217"/>
      <c r="E52" s="127"/>
      <c r="F52" s="127"/>
      <c r="G52" s="127"/>
      <c r="H52" s="127"/>
      <c r="I52" s="127"/>
      <c r="J52" s="127"/>
      <c r="K52" s="127"/>
      <c r="L52" s="127"/>
      <c r="M52" s="127"/>
      <c r="N52" s="167"/>
    </row>
    <row r="53" spans="1:14" ht="13.8" thickBot="1">
      <c r="A53" s="198"/>
      <c r="B53" s="225"/>
      <c r="C53" s="226"/>
      <c r="D53" s="225"/>
      <c r="E53" s="199"/>
      <c r="F53" s="199"/>
      <c r="G53" s="199"/>
      <c r="H53" s="199"/>
      <c r="I53" s="199"/>
      <c r="J53" s="199"/>
      <c r="K53" s="199"/>
      <c r="L53" s="199"/>
      <c r="M53" s="199"/>
      <c r="N53" s="168"/>
    </row>
  </sheetData>
  <mergeCells count="1">
    <mergeCell ref="H24:N24"/>
  </mergeCells>
  <phoneticPr fontId="0" type="noConversion"/>
  <pageMargins left="0.75" right="0.75" top="0.59" bottom="0.78" header="0.5" footer="0.5"/>
  <pageSetup paperSize="9" scale="58" orientation="landscape" r:id="rId1"/>
  <headerFooter alignWithMargins="0">
    <oddFooter>&amp;L&amp;9Page 10&amp;C&amp;9Source: financial Planning and Analysis&amp;R&amp;9Printed : &amp;D&amp;T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P38"/>
  <sheetViews>
    <sheetView tabSelected="1" zoomScale="75" workbookViewId="0">
      <selection activeCell="C9" sqref="C9"/>
    </sheetView>
  </sheetViews>
  <sheetFormatPr defaultColWidth="9.109375" defaultRowHeight="13.2"/>
  <cols>
    <col min="1" max="1" width="9.109375" style="16"/>
    <col min="2" max="2" width="13.88671875" style="16" customWidth="1"/>
    <col min="3" max="16384" width="9.109375" style="16"/>
  </cols>
  <sheetData>
    <row r="1" spans="1:16">
      <c r="A1" s="195"/>
      <c r="B1" s="196"/>
      <c r="C1" s="196"/>
      <c r="D1" s="196"/>
      <c r="E1" s="196"/>
      <c r="F1" s="196"/>
      <c r="G1" s="196"/>
      <c r="H1" s="196"/>
      <c r="I1" s="196"/>
      <c r="J1" s="196"/>
      <c r="K1" s="196"/>
      <c r="L1" s="196"/>
      <c r="M1" s="196"/>
      <c r="N1" s="196"/>
      <c r="O1" s="196"/>
      <c r="P1" s="166"/>
    </row>
    <row r="2" spans="1:16">
      <c r="A2" s="197"/>
      <c r="B2" s="127"/>
      <c r="C2" s="127"/>
      <c r="D2" s="127"/>
      <c r="E2" s="127"/>
      <c r="F2" s="127"/>
      <c r="G2" s="127"/>
      <c r="H2" s="127"/>
      <c r="I2" s="127"/>
      <c r="J2" s="127"/>
      <c r="K2" s="127"/>
      <c r="L2" s="127"/>
      <c r="M2" s="127"/>
      <c r="N2" s="127"/>
      <c r="O2" s="127"/>
      <c r="P2" s="167"/>
    </row>
    <row r="3" spans="1:16">
      <c r="A3" s="197"/>
      <c r="B3" s="127"/>
      <c r="C3" s="127"/>
      <c r="D3" s="127"/>
      <c r="E3" s="127"/>
      <c r="F3" s="127"/>
      <c r="G3" s="127"/>
      <c r="H3" s="127"/>
      <c r="I3" s="127"/>
      <c r="J3" s="127"/>
      <c r="K3" s="127"/>
      <c r="L3" s="127"/>
      <c r="M3" s="127"/>
      <c r="N3" s="127"/>
      <c r="O3" s="127"/>
      <c r="P3" s="167"/>
    </row>
    <row r="4" spans="1:16">
      <c r="A4" s="197"/>
      <c r="B4" s="127"/>
      <c r="C4" s="127"/>
      <c r="D4" s="127"/>
      <c r="E4" s="127"/>
      <c r="F4" s="127"/>
      <c r="G4" s="127"/>
      <c r="H4" s="127"/>
      <c r="I4" s="127"/>
      <c r="J4" s="127"/>
      <c r="K4" s="127"/>
      <c r="L4" s="127"/>
      <c r="M4" s="127"/>
      <c r="N4" s="127"/>
      <c r="O4" s="127"/>
      <c r="P4" s="167"/>
    </row>
    <row r="5" spans="1:16">
      <c r="A5" s="197"/>
      <c r="B5" s="127"/>
      <c r="C5" s="127"/>
      <c r="D5" s="127"/>
      <c r="E5" s="127"/>
      <c r="F5" s="127"/>
      <c r="G5" s="127"/>
      <c r="H5" s="127"/>
      <c r="I5" s="127"/>
      <c r="J5" s="127"/>
      <c r="K5" s="127"/>
      <c r="L5" s="127"/>
      <c r="M5" s="127"/>
      <c r="N5" s="127"/>
      <c r="O5" s="127"/>
      <c r="P5" s="167"/>
    </row>
    <row r="6" spans="1:16">
      <c r="A6" s="197"/>
      <c r="B6" s="127"/>
      <c r="C6" s="127"/>
      <c r="D6" s="127"/>
      <c r="E6" s="127"/>
      <c r="F6" s="127"/>
      <c r="G6" s="127"/>
      <c r="H6" s="127"/>
      <c r="I6" s="127"/>
      <c r="J6" s="127"/>
      <c r="K6" s="127"/>
      <c r="L6" s="127"/>
      <c r="M6" s="127"/>
      <c r="N6" s="127"/>
      <c r="O6" s="127"/>
      <c r="P6" s="167"/>
    </row>
    <row r="7" spans="1:16">
      <c r="A7" s="197"/>
      <c r="B7" s="127"/>
      <c r="C7" s="127"/>
      <c r="D7" s="127"/>
      <c r="E7" s="127"/>
      <c r="F7" s="127"/>
      <c r="G7" s="127"/>
      <c r="H7" s="127"/>
      <c r="I7" s="127"/>
      <c r="J7" s="127"/>
      <c r="K7" s="127"/>
      <c r="L7" s="127"/>
      <c r="M7" s="127"/>
      <c r="N7" s="127"/>
      <c r="O7" s="127"/>
      <c r="P7" s="167"/>
    </row>
    <row r="8" spans="1:16">
      <c r="A8" s="197"/>
      <c r="B8" s="127"/>
      <c r="C8" s="127"/>
      <c r="D8" s="127"/>
      <c r="E8" s="127"/>
      <c r="F8" s="127"/>
      <c r="G8" s="127"/>
      <c r="H8" s="127"/>
      <c r="I8" s="127"/>
      <c r="J8" s="127"/>
      <c r="K8" s="127"/>
      <c r="L8" s="127"/>
      <c r="M8" s="127"/>
      <c r="N8" s="127"/>
      <c r="O8" s="127"/>
      <c r="P8" s="167"/>
    </row>
    <row r="9" spans="1:16">
      <c r="A9" s="197"/>
      <c r="B9" s="127"/>
      <c r="C9" s="127"/>
      <c r="D9" s="127"/>
      <c r="E9" s="127"/>
      <c r="F9" s="127"/>
      <c r="G9" s="127"/>
      <c r="H9" s="127"/>
      <c r="I9" s="127"/>
      <c r="J9" s="127"/>
      <c r="K9" s="127"/>
      <c r="L9" s="127"/>
      <c r="M9" s="127"/>
      <c r="N9" s="127"/>
      <c r="O9" s="127"/>
      <c r="P9" s="167"/>
    </row>
    <row r="10" spans="1:16">
      <c r="A10" s="197"/>
      <c r="B10" s="127"/>
      <c r="C10" s="127"/>
      <c r="D10" s="127"/>
      <c r="E10" s="127"/>
      <c r="F10" s="127"/>
      <c r="G10" s="127"/>
      <c r="H10" s="127"/>
      <c r="I10" s="127"/>
      <c r="J10" s="127"/>
      <c r="K10" s="127"/>
      <c r="L10" s="127"/>
      <c r="M10" s="127"/>
      <c r="N10" s="127"/>
      <c r="O10" s="127"/>
      <c r="P10" s="167"/>
    </row>
    <row r="11" spans="1:16">
      <c r="A11" s="197"/>
      <c r="B11" s="127"/>
      <c r="C11" s="127"/>
      <c r="D11" s="127"/>
      <c r="E11" s="127"/>
      <c r="F11" s="127"/>
      <c r="G11" s="127"/>
      <c r="H11" s="127"/>
      <c r="I11" s="127"/>
      <c r="J11" s="127"/>
      <c r="K11" s="127"/>
      <c r="L11" s="127"/>
      <c r="M11" s="127"/>
      <c r="N11" s="127"/>
      <c r="O11" s="127"/>
      <c r="P11" s="167"/>
    </row>
    <row r="12" spans="1:16">
      <c r="A12" s="197"/>
      <c r="B12" s="185"/>
      <c r="C12" s="127"/>
      <c r="D12" s="127"/>
      <c r="E12" s="127"/>
      <c r="F12" s="127"/>
      <c r="G12" s="127"/>
      <c r="H12" s="127"/>
      <c r="I12" s="127"/>
      <c r="J12" s="127"/>
      <c r="K12" s="127"/>
      <c r="L12" s="127"/>
      <c r="M12" s="127"/>
      <c r="N12" s="127"/>
      <c r="O12" s="127"/>
      <c r="P12" s="167"/>
    </row>
    <row r="13" spans="1:16">
      <c r="A13" s="197"/>
      <c r="B13" s="127"/>
      <c r="C13" s="127"/>
      <c r="D13" s="127"/>
      <c r="E13" s="127"/>
      <c r="F13" s="134"/>
      <c r="G13" s="127"/>
      <c r="H13" s="127"/>
      <c r="I13" s="127"/>
      <c r="J13" s="127"/>
      <c r="K13" s="127"/>
      <c r="L13" s="127"/>
      <c r="M13" s="127"/>
      <c r="N13" s="127"/>
      <c r="O13" s="127"/>
      <c r="P13" s="167"/>
    </row>
    <row r="14" spans="1:16">
      <c r="A14" s="197"/>
      <c r="B14" s="127"/>
      <c r="C14" s="127"/>
      <c r="D14" s="127"/>
      <c r="E14" s="127"/>
      <c r="F14" s="127"/>
      <c r="G14" s="127"/>
      <c r="H14" s="127"/>
      <c r="I14" s="127"/>
      <c r="J14" s="127"/>
      <c r="K14" s="127"/>
      <c r="L14" s="127"/>
      <c r="M14" s="127"/>
      <c r="N14" s="127"/>
      <c r="O14" s="127"/>
      <c r="P14" s="167"/>
    </row>
    <row r="15" spans="1:16" ht="60">
      <c r="A15" s="971" t="s">
        <v>234</v>
      </c>
      <c r="B15" s="972"/>
      <c r="C15" s="972"/>
      <c r="D15" s="972"/>
      <c r="E15" s="972"/>
      <c r="F15" s="972"/>
      <c r="G15" s="972"/>
      <c r="H15" s="972"/>
      <c r="I15" s="972"/>
      <c r="J15" s="972"/>
      <c r="K15" s="972"/>
      <c r="L15" s="972"/>
      <c r="M15" s="972"/>
      <c r="N15" s="972"/>
      <c r="O15" s="972"/>
      <c r="P15" s="973"/>
    </row>
    <row r="16" spans="1:16">
      <c r="A16" s="197"/>
      <c r="B16" s="127"/>
      <c r="C16" s="127"/>
      <c r="D16" s="127"/>
      <c r="E16" s="127"/>
      <c r="F16" s="127"/>
      <c r="G16" s="127"/>
      <c r="H16" s="127"/>
      <c r="I16" s="127"/>
      <c r="J16" s="127"/>
      <c r="K16" s="127"/>
      <c r="L16" s="127"/>
      <c r="M16" s="127"/>
      <c r="N16" s="127"/>
      <c r="O16" s="127"/>
      <c r="P16" s="167"/>
    </row>
    <row r="17" spans="1:16">
      <c r="A17" s="197"/>
      <c r="B17" s="127"/>
      <c r="C17" s="127"/>
      <c r="D17" s="127"/>
      <c r="E17" s="127"/>
      <c r="F17" s="127"/>
      <c r="G17" s="127"/>
      <c r="H17" s="127"/>
      <c r="I17" s="127"/>
      <c r="J17" s="127"/>
      <c r="K17" s="127"/>
      <c r="L17" s="127"/>
      <c r="M17" s="127"/>
      <c r="N17" s="127"/>
      <c r="O17" s="127"/>
      <c r="P17" s="167"/>
    </row>
    <row r="18" spans="1:16">
      <c r="A18" s="197"/>
      <c r="B18" s="127"/>
      <c r="C18" s="127"/>
      <c r="D18" s="127"/>
      <c r="E18" s="127"/>
      <c r="F18" s="127"/>
      <c r="G18" s="127"/>
      <c r="H18" s="127"/>
      <c r="I18" s="127"/>
      <c r="J18" s="127"/>
      <c r="K18" s="127"/>
      <c r="L18" s="127"/>
      <c r="M18" s="127"/>
      <c r="N18" s="127"/>
      <c r="O18" s="127"/>
      <c r="P18" s="167"/>
    </row>
    <row r="19" spans="1:16">
      <c r="A19" s="197"/>
      <c r="B19" s="127"/>
      <c r="C19" s="127"/>
      <c r="D19" s="127"/>
      <c r="E19" s="127"/>
      <c r="F19" s="127"/>
      <c r="G19" s="127"/>
      <c r="H19" s="127"/>
      <c r="I19" s="127"/>
      <c r="J19" s="127"/>
      <c r="K19" s="127"/>
      <c r="L19" s="127"/>
      <c r="M19" s="127"/>
      <c r="N19" s="127"/>
      <c r="O19" s="127"/>
      <c r="P19" s="167"/>
    </row>
    <row r="20" spans="1:16">
      <c r="A20" s="197"/>
      <c r="B20" s="127"/>
      <c r="C20" s="127"/>
      <c r="D20" s="127"/>
      <c r="E20" s="127"/>
      <c r="F20" s="127"/>
      <c r="G20" s="127"/>
      <c r="H20" s="127"/>
      <c r="I20" s="127"/>
      <c r="J20" s="127"/>
      <c r="K20" s="127"/>
      <c r="L20" s="127"/>
      <c r="M20" s="127"/>
      <c r="N20" s="127"/>
      <c r="O20" s="127"/>
      <c r="P20" s="167"/>
    </row>
    <row r="21" spans="1:16">
      <c r="A21" s="197"/>
      <c r="B21" s="127"/>
      <c r="C21" s="127"/>
      <c r="D21" s="127"/>
      <c r="E21" s="127"/>
      <c r="F21" s="127"/>
      <c r="G21" s="127"/>
      <c r="H21" s="127"/>
      <c r="I21" s="127"/>
      <c r="J21" s="127"/>
      <c r="K21" s="127"/>
      <c r="L21" s="127"/>
      <c r="M21" s="127"/>
      <c r="N21" s="127"/>
      <c r="O21" s="127"/>
      <c r="P21" s="167"/>
    </row>
    <row r="22" spans="1:16">
      <c r="A22" s="197"/>
      <c r="B22" s="127"/>
      <c r="C22" s="127"/>
      <c r="D22" s="127"/>
      <c r="E22" s="127"/>
      <c r="F22" s="127"/>
      <c r="G22" s="127"/>
      <c r="H22" s="127"/>
      <c r="I22" s="127"/>
      <c r="J22" s="127"/>
      <c r="K22" s="127"/>
      <c r="L22" s="127"/>
      <c r="M22" s="127"/>
      <c r="N22" s="127"/>
      <c r="O22" s="127"/>
      <c r="P22" s="167"/>
    </row>
    <row r="23" spans="1:16">
      <c r="A23" s="197"/>
      <c r="B23" s="127"/>
      <c r="C23" s="127"/>
      <c r="D23" s="127"/>
      <c r="E23" s="127"/>
      <c r="F23" s="127"/>
      <c r="G23" s="127"/>
      <c r="H23" s="127"/>
      <c r="I23" s="127"/>
      <c r="J23" s="127"/>
      <c r="K23" s="127"/>
      <c r="L23" s="127"/>
      <c r="M23" s="127"/>
      <c r="N23" s="127"/>
      <c r="O23" s="127"/>
      <c r="P23" s="167"/>
    </row>
    <row r="24" spans="1:16">
      <c r="A24" s="197"/>
      <c r="B24" s="127"/>
      <c r="C24" s="127"/>
      <c r="D24" s="127"/>
      <c r="E24" s="127"/>
      <c r="F24" s="127"/>
      <c r="G24" s="127"/>
      <c r="H24" s="127"/>
      <c r="I24" s="127"/>
      <c r="J24" s="127"/>
      <c r="K24" s="127"/>
      <c r="L24" s="127"/>
      <c r="M24" s="127"/>
      <c r="N24" s="127"/>
      <c r="O24" s="127"/>
      <c r="P24" s="167"/>
    </row>
    <row r="25" spans="1:16">
      <c r="A25" s="197"/>
      <c r="B25" s="127"/>
      <c r="C25" s="127"/>
      <c r="D25" s="127"/>
      <c r="E25" s="127"/>
      <c r="F25" s="127"/>
      <c r="G25" s="127"/>
      <c r="H25" s="127"/>
      <c r="I25" s="127"/>
      <c r="J25" s="127"/>
      <c r="K25" s="127"/>
      <c r="L25" s="127"/>
      <c r="M25" s="127"/>
      <c r="N25" s="127"/>
      <c r="O25" s="127"/>
      <c r="P25" s="167"/>
    </row>
    <row r="26" spans="1:16">
      <c r="A26" s="197"/>
      <c r="B26" s="127"/>
      <c r="C26" s="127"/>
      <c r="D26" s="127"/>
      <c r="E26" s="127"/>
      <c r="F26" s="127"/>
      <c r="G26" s="127"/>
      <c r="H26" s="127"/>
      <c r="I26" s="127"/>
      <c r="J26" s="127"/>
      <c r="K26" s="127"/>
      <c r="L26" s="127"/>
      <c r="M26" s="127"/>
      <c r="N26" s="127"/>
      <c r="O26" s="127"/>
      <c r="P26" s="167"/>
    </row>
    <row r="27" spans="1:16">
      <c r="A27" s="197"/>
      <c r="B27" s="127"/>
      <c r="C27" s="127"/>
      <c r="D27" s="127"/>
      <c r="E27" s="127"/>
      <c r="F27" s="127"/>
      <c r="G27" s="127"/>
      <c r="H27" s="127"/>
      <c r="I27" s="127"/>
      <c r="J27" s="127"/>
      <c r="K27" s="127"/>
      <c r="L27" s="127"/>
      <c r="M27" s="127"/>
      <c r="N27" s="127"/>
      <c r="O27" s="127"/>
      <c r="P27" s="167"/>
    </row>
    <row r="28" spans="1:16">
      <c r="A28" s="197"/>
      <c r="B28" s="127"/>
      <c r="C28" s="127"/>
      <c r="D28" s="127"/>
      <c r="E28" s="127"/>
      <c r="F28" s="127"/>
      <c r="G28" s="127"/>
      <c r="H28" s="127"/>
      <c r="I28" s="127"/>
      <c r="J28" s="127"/>
      <c r="K28" s="127"/>
      <c r="L28" s="127"/>
      <c r="M28" s="127"/>
      <c r="N28" s="127"/>
      <c r="O28" s="127"/>
      <c r="P28" s="167"/>
    </row>
    <row r="29" spans="1:16">
      <c r="A29" s="197"/>
      <c r="B29" s="127"/>
      <c r="C29" s="127"/>
      <c r="D29" s="127"/>
      <c r="E29" s="127"/>
      <c r="F29" s="127"/>
      <c r="G29" s="127"/>
      <c r="H29" s="127"/>
      <c r="I29" s="127"/>
      <c r="J29" s="127"/>
      <c r="K29" s="127"/>
      <c r="L29" s="127"/>
      <c r="M29" s="127"/>
      <c r="N29" s="127"/>
      <c r="O29" s="127"/>
      <c r="P29" s="167"/>
    </row>
    <row r="30" spans="1:16">
      <c r="A30" s="197"/>
      <c r="B30" s="127"/>
      <c r="C30" s="127"/>
      <c r="D30" s="127"/>
      <c r="E30" s="127"/>
      <c r="F30" s="127"/>
      <c r="G30" s="127"/>
      <c r="H30" s="127"/>
      <c r="I30" s="127"/>
      <c r="J30" s="127"/>
      <c r="K30" s="127"/>
      <c r="L30" s="127"/>
      <c r="M30" s="127"/>
      <c r="N30" s="127"/>
      <c r="O30" s="127"/>
      <c r="P30" s="167"/>
    </row>
    <row r="31" spans="1:16">
      <c r="A31" s="197"/>
      <c r="B31" s="127"/>
      <c r="C31" s="127"/>
      <c r="D31" s="127"/>
      <c r="E31" s="127"/>
      <c r="F31" s="127"/>
      <c r="G31" s="127"/>
      <c r="H31" s="127"/>
      <c r="I31" s="127"/>
      <c r="J31" s="127"/>
      <c r="K31" s="127"/>
      <c r="L31" s="127"/>
      <c r="M31" s="127"/>
      <c r="N31" s="127"/>
      <c r="O31" s="127"/>
      <c r="P31" s="167"/>
    </row>
    <row r="32" spans="1:16">
      <c r="A32" s="197"/>
      <c r="B32" s="127"/>
      <c r="C32" s="127"/>
      <c r="D32" s="127"/>
      <c r="E32" s="127"/>
      <c r="F32" s="127"/>
      <c r="G32" s="127"/>
      <c r="H32" s="127"/>
      <c r="I32" s="127"/>
      <c r="J32" s="127"/>
      <c r="K32" s="127"/>
      <c r="L32" s="127"/>
      <c r="M32" s="127"/>
      <c r="N32" s="127"/>
      <c r="O32" s="127"/>
      <c r="P32" s="167"/>
    </row>
    <row r="33" spans="1:16">
      <c r="A33" s="197"/>
      <c r="B33" s="127"/>
      <c r="C33" s="127"/>
      <c r="D33" s="127"/>
      <c r="E33" s="127"/>
      <c r="F33" s="127"/>
      <c r="G33" s="127"/>
      <c r="H33" s="127"/>
      <c r="I33" s="127"/>
      <c r="J33" s="127"/>
      <c r="K33" s="127"/>
      <c r="L33" s="127"/>
      <c r="M33" s="127"/>
      <c r="N33" s="127"/>
      <c r="O33" s="127"/>
      <c r="P33" s="167"/>
    </row>
    <row r="34" spans="1:16">
      <c r="A34" s="197"/>
      <c r="B34" s="127"/>
      <c r="C34" s="127"/>
      <c r="D34" s="127"/>
      <c r="E34" s="127"/>
      <c r="F34" s="127"/>
      <c r="G34" s="127"/>
      <c r="H34" s="127"/>
      <c r="I34" s="127"/>
      <c r="J34" s="127"/>
      <c r="K34" s="127"/>
      <c r="L34" s="127"/>
      <c r="M34" s="127"/>
      <c r="N34" s="127"/>
      <c r="O34" s="127"/>
      <c r="P34" s="167"/>
    </row>
    <row r="35" spans="1:16">
      <c r="A35" s="197"/>
      <c r="B35" s="127"/>
      <c r="C35" s="127"/>
      <c r="D35" s="127"/>
      <c r="E35" s="127"/>
      <c r="F35" s="127"/>
      <c r="G35" s="127"/>
      <c r="H35" s="127"/>
      <c r="I35" s="127"/>
      <c r="J35" s="127"/>
      <c r="K35" s="127"/>
      <c r="L35" s="127"/>
      <c r="M35" s="127"/>
      <c r="N35" s="127"/>
      <c r="O35" s="127"/>
      <c r="P35" s="167"/>
    </row>
    <row r="36" spans="1:16">
      <c r="A36" s="197"/>
      <c r="B36" s="127"/>
      <c r="C36" s="127"/>
      <c r="D36" s="127"/>
      <c r="E36" s="127"/>
      <c r="F36" s="127"/>
      <c r="G36" s="127"/>
      <c r="H36" s="127"/>
      <c r="I36" s="127"/>
      <c r="J36" s="127"/>
      <c r="K36" s="127"/>
      <c r="L36" s="127"/>
      <c r="M36" s="127"/>
      <c r="N36" s="127"/>
      <c r="O36" s="127"/>
      <c r="P36" s="167"/>
    </row>
    <row r="37" spans="1:16">
      <c r="A37" s="197"/>
      <c r="B37" s="127"/>
      <c r="C37" s="127"/>
      <c r="D37" s="127"/>
      <c r="E37" s="127"/>
      <c r="F37" s="127"/>
      <c r="G37" s="127"/>
      <c r="H37" s="127"/>
      <c r="I37" s="127"/>
      <c r="J37" s="127"/>
      <c r="K37" s="127"/>
      <c r="L37" s="127"/>
      <c r="M37" s="127"/>
      <c r="N37" s="127"/>
      <c r="O37" s="127"/>
      <c r="P37" s="167"/>
    </row>
    <row r="38" spans="1:16" ht="13.8" thickBot="1">
      <c r="A38" s="198"/>
      <c r="B38" s="199"/>
      <c r="C38" s="199"/>
      <c r="D38" s="199"/>
      <c r="E38" s="199"/>
      <c r="F38" s="199"/>
      <c r="G38" s="199"/>
      <c r="H38" s="199"/>
      <c r="I38" s="199"/>
      <c r="J38" s="199"/>
      <c r="K38" s="199"/>
      <c r="L38" s="199"/>
      <c r="M38" s="199"/>
      <c r="N38" s="199"/>
      <c r="O38" s="199"/>
      <c r="P38" s="168"/>
    </row>
  </sheetData>
  <mergeCells count="1">
    <mergeCell ref="A15:P15"/>
  </mergeCells>
  <phoneticPr fontId="0" type="noConversion"/>
  <pageMargins left="0.75" right="0.75" top="0.55000000000000004" bottom="0.52" header="0.5" footer="0.62"/>
  <pageSetup paperSize="9" scale="87" orientation="landscape" r:id="rId1"/>
  <headerFooter alignWithMargins="0">
    <oddFooter>&amp;L&amp;9Enron Europe Confidential&amp;C&amp;9Source: Financial Planning and Analysis&amp;R&amp;9Printed : &amp;D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34"/>
  <sheetViews>
    <sheetView tabSelected="1" topLeftCell="A4" zoomScale="75" workbookViewId="0">
      <selection activeCell="C9" sqref="C9"/>
    </sheetView>
  </sheetViews>
  <sheetFormatPr defaultColWidth="9.109375" defaultRowHeight="13.2"/>
  <cols>
    <col min="1" max="1" width="9.109375" style="16"/>
    <col min="2" max="2" width="13.88671875" style="16" customWidth="1"/>
    <col min="3" max="3" width="9.33203125" style="16" bestFit="1" customWidth="1"/>
    <col min="4" max="16384" width="9.10937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ht="17.399999999999999">
      <c r="A9" s="197"/>
      <c r="B9" s="127"/>
      <c r="C9" s="233" t="s">
        <v>31</v>
      </c>
      <c r="D9" s="233"/>
      <c r="E9" s="127"/>
      <c r="F9" s="127"/>
      <c r="G9" s="127"/>
      <c r="H9" s="127"/>
      <c r="I9" s="127"/>
      <c r="J9" s="127"/>
      <c r="K9" s="127"/>
      <c r="L9" s="127"/>
      <c r="M9" s="127"/>
      <c r="N9" s="127"/>
      <c r="O9" s="167"/>
    </row>
    <row r="10" spans="1:15" ht="8.25" customHeight="1">
      <c r="A10" s="197"/>
      <c r="B10" s="127"/>
      <c r="C10" s="233"/>
      <c r="D10" s="233"/>
      <c r="E10" s="127"/>
      <c r="F10" s="127"/>
      <c r="G10" s="127"/>
      <c r="H10" s="127"/>
      <c r="I10" s="127"/>
      <c r="J10" s="127"/>
      <c r="K10" s="127"/>
      <c r="L10" s="127"/>
      <c r="M10" s="127"/>
      <c r="N10" s="127"/>
      <c r="O10" s="167"/>
    </row>
    <row r="11" spans="1:15" ht="17.399999999999999">
      <c r="A11" s="197"/>
      <c r="B11" s="127"/>
      <c r="C11" s="234"/>
      <c r="D11" s="233"/>
      <c r="E11" s="127"/>
      <c r="F11" s="127"/>
      <c r="G11" s="127"/>
      <c r="H11" s="127"/>
      <c r="I11" s="127"/>
      <c r="J11" s="127"/>
      <c r="K11" s="127"/>
      <c r="L11" s="127"/>
      <c r="M11" s="127"/>
      <c r="N11" s="127"/>
      <c r="O11" s="167"/>
    </row>
    <row r="12" spans="1:15" ht="17.399999999999999">
      <c r="A12" s="197"/>
      <c r="B12" s="185"/>
      <c r="C12" s="234">
        <v>1</v>
      </c>
      <c r="D12" s="233" t="s">
        <v>251</v>
      </c>
      <c r="E12" s="127"/>
      <c r="F12" s="127"/>
      <c r="G12" s="127"/>
      <c r="H12" s="127"/>
      <c r="I12" s="127"/>
      <c r="J12" s="127"/>
      <c r="K12" s="127"/>
      <c r="L12" s="127"/>
      <c r="M12" s="127"/>
      <c r="N12" s="127"/>
      <c r="O12" s="167"/>
    </row>
    <row r="13" spans="1:15" ht="17.399999999999999">
      <c r="A13" s="197"/>
      <c r="B13" s="127"/>
      <c r="C13" s="234">
        <v>2</v>
      </c>
      <c r="D13" s="233" t="s">
        <v>261</v>
      </c>
      <c r="E13" s="127"/>
      <c r="F13" s="127"/>
      <c r="G13" s="127"/>
      <c r="H13" s="127"/>
      <c r="I13" s="127"/>
      <c r="J13" s="127"/>
      <c r="K13" s="127"/>
      <c r="L13" s="127"/>
      <c r="M13" s="127"/>
      <c r="N13" s="127"/>
      <c r="O13" s="167"/>
    </row>
    <row r="14" spans="1:15" ht="17.399999999999999">
      <c r="A14" s="197"/>
      <c r="B14" s="127"/>
      <c r="C14" s="234">
        <v>3</v>
      </c>
      <c r="D14" s="233" t="s">
        <v>703</v>
      </c>
      <c r="E14" s="127"/>
      <c r="F14" s="127"/>
      <c r="G14" s="127"/>
      <c r="H14" s="127"/>
      <c r="I14" s="127"/>
      <c r="J14" s="127"/>
      <c r="K14" s="127"/>
      <c r="L14" s="127"/>
      <c r="M14" s="127"/>
      <c r="N14" s="127"/>
      <c r="O14" s="167"/>
    </row>
    <row r="15" spans="1:15" ht="17.399999999999999">
      <c r="A15" s="197"/>
      <c r="B15" s="127"/>
      <c r="C15" s="234">
        <v>4</v>
      </c>
      <c r="D15" s="233" t="s">
        <v>704</v>
      </c>
      <c r="E15" s="127"/>
      <c r="F15" s="127"/>
      <c r="G15" s="127"/>
      <c r="H15" s="127"/>
      <c r="I15" s="127"/>
      <c r="J15" s="127"/>
      <c r="K15" s="127"/>
      <c r="L15" s="127"/>
      <c r="M15" s="127"/>
      <c r="N15" s="127"/>
      <c r="O15" s="167"/>
    </row>
    <row r="16" spans="1:15" ht="17.399999999999999">
      <c r="A16" s="197"/>
      <c r="B16" s="127"/>
      <c r="C16" s="234">
        <v>5</v>
      </c>
      <c r="D16" s="233" t="s">
        <v>61</v>
      </c>
      <c r="E16" s="127"/>
      <c r="F16" s="127"/>
      <c r="G16" s="127"/>
      <c r="H16" s="127"/>
      <c r="I16" s="127"/>
      <c r="J16" s="127"/>
      <c r="K16" s="127"/>
      <c r="L16" s="127"/>
      <c r="M16" s="127"/>
      <c r="N16" s="127"/>
      <c r="O16" s="167"/>
    </row>
    <row r="17" spans="1:15" ht="17.399999999999999">
      <c r="A17" s="197"/>
      <c r="B17" s="127"/>
      <c r="C17" s="704" t="s">
        <v>701</v>
      </c>
      <c r="D17" s="233" t="s">
        <v>259</v>
      </c>
      <c r="E17" s="127"/>
      <c r="F17" s="127"/>
      <c r="G17" s="127"/>
      <c r="H17" s="127"/>
      <c r="I17" s="127"/>
      <c r="J17" s="127"/>
      <c r="K17" s="127"/>
      <c r="L17" s="127"/>
      <c r="M17" s="127"/>
      <c r="N17" s="127"/>
      <c r="O17" s="167"/>
    </row>
    <row r="18" spans="1:15" ht="17.399999999999999">
      <c r="A18" s="197"/>
      <c r="B18" s="127"/>
      <c r="C18" s="714" t="s">
        <v>702</v>
      </c>
      <c r="D18" s="233" t="s">
        <v>217</v>
      </c>
      <c r="E18" s="127"/>
      <c r="F18" s="127"/>
      <c r="G18" s="127"/>
      <c r="H18" s="127"/>
      <c r="I18" s="127"/>
      <c r="J18" s="127"/>
      <c r="K18" s="127"/>
      <c r="L18" s="127"/>
      <c r="M18" s="127"/>
      <c r="N18" s="127"/>
      <c r="O18" s="167"/>
    </row>
    <row r="19" spans="1:15" ht="17.399999999999999">
      <c r="A19" s="197"/>
      <c r="B19" s="127"/>
      <c r="C19" s="234">
        <v>9</v>
      </c>
      <c r="D19" s="233" t="s">
        <v>218</v>
      </c>
      <c r="E19" s="127"/>
      <c r="F19" s="127"/>
      <c r="G19" s="127"/>
      <c r="H19" s="127"/>
      <c r="I19" s="127"/>
      <c r="J19" s="127"/>
      <c r="K19" s="127"/>
      <c r="L19" s="127"/>
      <c r="M19" s="127"/>
      <c r="N19" s="127"/>
      <c r="O19" s="167"/>
    </row>
    <row r="20" spans="1:15" ht="17.399999999999999">
      <c r="A20" s="197"/>
      <c r="B20" s="127"/>
      <c r="C20" s="234">
        <v>10</v>
      </c>
      <c r="D20" s="233" t="s">
        <v>257</v>
      </c>
      <c r="E20" s="127"/>
      <c r="F20" s="127"/>
      <c r="G20" s="127"/>
      <c r="H20" s="127"/>
      <c r="I20" s="127"/>
      <c r="J20" s="127"/>
      <c r="K20" s="127"/>
      <c r="L20" s="127"/>
      <c r="M20" s="127"/>
      <c r="N20" s="127"/>
      <c r="O20" s="167"/>
    </row>
    <row r="21" spans="1:15" ht="17.399999999999999">
      <c r="A21" s="197"/>
      <c r="B21" s="127"/>
      <c r="C21" s="234"/>
      <c r="D21" s="233"/>
      <c r="E21" s="127"/>
      <c r="F21" s="127"/>
      <c r="G21" s="127"/>
      <c r="H21" s="127"/>
      <c r="I21" s="127"/>
      <c r="J21" s="127"/>
      <c r="K21" s="127"/>
      <c r="L21" s="127"/>
      <c r="M21" s="127"/>
      <c r="N21" s="127"/>
      <c r="O21" s="167"/>
    </row>
    <row r="22" spans="1:15" ht="17.399999999999999">
      <c r="A22" s="197"/>
      <c r="B22" s="127"/>
      <c r="C22" s="234"/>
      <c r="D22" s="233"/>
      <c r="E22" s="127"/>
      <c r="F22" s="127"/>
      <c r="G22" s="127"/>
      <c r="H22" s="127"/>
      <c r="I22" s="127"/>
      <c r="J22" s="127"/>
      <c r="K22" s="127"/>
      <c r="L22" s="127"/>
      <c r="M22" s="127"/>
      <c r="N22" s="127"/>
      <c r="O22" s="167"/>
    </row>
    <row r="23" spans="1:15" ht="17.399999999999999">
      <c r="A23" s="197"/>
      <c r="B23" s="127"/>
      <c r="C23" s="234"/>
      <c r="D23" s="233"/>
      <c r="E23" s="127"/>
      <c r="F23" s="127"/>
      <c r="G23" s="127"/>
      <c r="H23" s="127"/>
      <c r="I23" s="127"/>
      <c r="J23" s="127"/>
      <c r="K23" s="127"/>
      <c r="L23" s="127"/>
      <c r="M23" s="127"/>
      <c r="N23" s="127"/>
      <c r="O23" s="167"/>
    </row>
    <row r="24" spans="1:15" ht="17.399999999999999">
      <c r="A24" s="197"/>
      <c r="B24" s="127"/>
      <c r="C24" s="234"/>
      <c r="D24" s="233" t="s">
        <v>234</v>
      </c>
      <c r="E24" s="127"/>
      <c r="F24" s="127"/>
      <c r="G24" s="127"/>
      <c r="H24" s="127"/>
      <c r="I24" s="127"/>
      <c r="J24" s="127"/>
      <c r="K24" s="127"/>
      <c r="L24" s="127"/>
      <c r="M24" s="127"/>
      <c r="N24" s="127"/>
      <c r="O24" s="167"/>
    </row>
    <row r="25" spans="1:15" ht="17.399999999999999">
      <c r="A25" s="197"/>
      <c r="B25" s="127"/>
      <c r="C25" s="234"/>
      <c r="D25" s="233"/>
      <c r="E25" s="127"/>
      <c r="F25" s="127"/>
      <c r="G25" s="127"/>
      <c r="H25" s="127"/>
      <c r="I25" s="127"/>
      <c r="J25" s="127"/>
      <c r="K25" s="127"/>
      <c r="L25" s="127"/>
      <c r="M25" s="127"/>
      <c r="N25" s="127"/>
      <c r="O25" s="167"/>
    </row>
    <row r="26" spans="1:15" ht="17.399999999999999">
      <c r="A26" s="197"/>
      <c r="B26" s="127"/>
      <c r="C26" s="714" t="s">
        <v>538</v>
      </c>
      <c r="D26" s="233" t="s">
        <v>60</v>
      </c>
      <c r="E26" s="127"/>
      <c r="F26" s="127"/>
      <c r="G26" s="127"/>
      <c r="H26" s="127"/>
      <c r="I26" s="127"/>
      <c r="J26" s="127"/>
      <c r="K26" s="127"/>
      <c r="L26" s="127"/>
      <c r="M26" s="127"/>
      <c r="N26" s="127"/>
      <c r="O26" s="167"/>
    </row>
    <row r="27" spans="1:15" ht="17.399999999999999">
      <c r="A27" s="197"/>
      <c r="B27" s="127"/>
      <c r="C27" s="714">
        <v>14</v>
      </c>
      <c r="D27" s="233" t="s">
        <v>219</v>
      </c>
      <c r="E27" s="127"/>
      <c r="F27" s="127"/>
      <c r="G27" s="127"/>
      <c r="H27" s="127"/>
      <c r="I27" s="127"/>
      <c r="J27" s="127"/>
      <c r="K27" s="127"/>
      <c r="L27" s="127"/>
      <c r="M27" s="127"/>
      <c r="N27" s="127"/>
      <c r="O27" s="167"/>
    </row>
    <row r="28" spans="1:15" ht="17.399999999999999">
      <c r="A28" s="197"/>
      <c r="B28" s="127"/>
      <c r="C28" s="234"/>
      <c r="D28" s="233"/>
      <c r="E28" s="127"/>
      <c r="F28" s="127"/>
      <c r="G28" s="127"/>
      <c r="H28" s="127"/>
      <c r="I28" s="127"/>
      <c r="J28" s="127"/>
      <c r="K28" s="127"/>
      <c r="L28" s="127"/>
      <c r="M28" s="127"/>
      <c r="N28" s="127"/>
      <c r="O28" s="167"/>
    </row>
    <row r="29" spans="1:15" ht="17.399999999999999">
      <c r="A29" s="197"/>
      <c r="B29" s="127"/>
      <c r="D29" s="234" t="s">
        <v>220</v>
      </c>
      <c r="E29" s="127"/>
      <c r="F29" s="127"/>
      <c r="G29" s="127"/>
      <c r="H29" s="127"/>
      <c r="I29" s="127"/>
      <c r="J29" s="127"/>
      <c r="K29" s="127"/>
      <c r="L29" s="127"/>
      <c r="M29" s="127"/>
      <c r="N29" s="127"/>
      <c r="O29" s="167"/>
    </row>
    <row r="30" spans="1:15" ht="17.399999999999999">
      <c r="A30" s="197"/>
      <c r="B30" s="127"/>
      <c r="C30" s="234"/>
      <c r="D30" s="233"/>
      <c r="E30" s="127"/>
      <c r="F30" s="127"/>
      <c r="G30" s="127"/>
      <c r="H30" s="127"/>
      <c r="I30" s="127"/>
      <c r="J30" s="127"/>
      <c r="K30" s="127"/>
      <c r="L30" s="127"/>
      <c r="M30" s="127"/>
      <c r="N30" s="127"/>
      <c r="O30" s="167"/>
    </row>
    <row r="31" spans="1:15" ht="17.399999999999999">
      <c r="A31" s="197"/>
      <c r="B31" s="127"/>
      <c r="C31" s="240" t="s">
        <v>84</v>
      </c>
      <c r="D31" s="233"/>
      <c r="E31" s="127"/>
      <c r="F31" s="127"/>
      <c r="G31" s="127"/>
      <c r="H31" s="127"/>
      <c r="I31" s="127"/>
      <c r="J31" s="127"/>
      <c r="K31" s="127"/>
      <c r="L31" s="127"/>
      <c r="M31" s="127"/>
      <c r="N31" s="127"/>
      <c r="O31" s="167"/>
    </row>
    <row r="32" spans="1:15" ht="17.399999999999999">
      <c r="A32" s="197"/>
      <c r="B32" s="127"/>
      <c r="C32" s="240" t="s">
        <v>85</v>
      </c>
      <c r="D32" s="233"/>
      <c r="E32" s="127"/>
      <c r="F32" s="127"/>
      <c r="G32" s="127"/>
      <c r="H32" s="127"/>
      <c r="I32" s="127"/>
      <c r="J32" s="127"/>
      <c r="K32" s="127"/>
      <c r="L32" s="127"/>
      <c r="M32" s="127"/>
      <c r="N32" s="127"/>
      <c r="O32" s="167"/>
    </row>
    <row r="33" spans="1:15" ht="17.399999999999999">
      <c r="A33" s="197"/>
      <c r="B33" s="127"/>
      <c r="C33" s="234"/>
      <c r="D33" s="233"/>
      <c r="E33" s="127"/>
      <c r="F33" s="127"/>
      <c r="G33" s="127"/>
      <c r="H33" s="127"/>
      <c r="I33" s="127"/>
      <c r="J33" s="127"/>
      <c r="K33" s="127"/>
      <c r="L33" s="127"/>
      <c r="M33" s="127"/>
      <c r="N33" s="127"/>
      <c r="O33" s="167"/>
    </row>
    <row r="34" spans="1:15" ht="9.75" customHeight="1" thickBot="1">
      <c r="A34" s="198"/>
      <c r="B34" s="199"/>
      <c r="C34" s="235"/>
      <c r="D34" s="236"/>
      <c r="E34" s="199"/>
      <c r="F34" s="199"/>
      <c r="G34" s="199"/>
      <c r="H34" s="199"/>
      <c r="I34" s="199"/>
      <c r="J34" s="199"/>
      <c r="K34" s="199"/>
      <c r="L34" s="199"/>
      <c r="M34" s="199"/>
      <c r="N34" s="199"/>
      <c r="O34" s="168"/>
    </row>
  </sheetData>
  <phoneticPr fontId="0" type="noConversion"/>
  <pageMargins left="0.75" right="0.75" top="0.54" bottom="0.68" header="0.5" footer="0.5"/>
  <pageSetup paperSize="9" scale="91" orientation="landscape" r:id="rId1"/>
  <headerFooter alignWithMargins="0">
    <oddFooter>&amp;L&amp;9Enron Europe Confidential&amp;C&amp;9Source: Financial Planning and Analysis&amp;R&amp;9Printed : &amp;D&amp;T</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L68"/>
  <sheetViews>
    <sheetView tabSelected="1" topLeftCell="B1" zoomScale="75" zoomScaleNormal="100" workbookViewId="0">
      <selection activeCell="C9" sqref="C9"/>
    </sheetView>
  </sheetViews>
  <sheetFormatPr defaultColWidth="9.109375" defaultRowHeight="13.2"/>
  <cols>
    <col min="1" max="1" width="4.88671875" style="64" customWidth="1"/>
    <col min="2" max="2" width="28.109375" style="121" customWidth="1"/>
    <col min="3" max="3" width="14.5546875" style="121" customWidth="1"/>
    <col min="4" max="4" width="10.44140625" style="121" bestFit="1" customWidth="1"/>
    <col min="5" max="5" width="1.6640625" style="121" customWidth="1"/>
    <col min="6" max="6" width="14.109375" style="121" bestFit="1" customWidth="1"/>
    <col min="7" max="7" width="3.109375" style="121" customWidth="1"/>
    <col min="8" max="8" width="17.88671875" style="121" customWidth="1"/>
    <col min="9" max="9" width="1.88671875" style="121" customWidth="1"/>
    <col min="10" max="10" width="15.5546875" style="121" customWidth="1"/>
    <col min="11" max="11" width="72.6640625" style="121" customWidth="1"/>
    <col min="12" max="12" width="6.88671875" style="64" customWidth="1"/>
    <col min="13" max="16384" width="9.10937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6.25" customHeight="1">
      <c r="A4" s="65"/>
      <c r="B4" s="977" t="s">
        <v>711</v>
      </c>
      <c r="C4" s="977"/>
      <c r="D4" s="977"/>
      <c r="E4" s="977"/>
      <c r="F4" s="977"/>
      <c r="G4" s="977"/>
      <c r="H4" s="977"/>
      <c r="I4" s="977"/>
      <c r="J4" s="977"/>
      <c r="K4" s="977"/>
      <c r="L4" s="66"/>
    </row>
    <row r="5" spans="1:12" ht="15.75" customHeight="1">
      <c r="A5" s="65"/>
      <c r="B5" s="67"/>
      <c r="C5" s="64"/>
      <c r="D5" s="64"/>
      <c r="E5" s="64"/>
      <c r="F5" s="125">
        <v>2000</v>
      </c>
      <c r="G5" s="68"/>
      <c r="H5" s="125">
        <v>2001</v>
      </c>
      <c r="I5" s="125"/>
      <c r="J5" s="125">
        <v>2002</v>
      </c>
      <c r="K5" s="64"/>
      <c r="L5" s="66"/>
    </row>
    <row r="6" spans="1:12" ht="17.25" customHeight="1">
      <c r="A6" s="65"/>
      <c r="B6" s="69" t="s">
        <v>65</v>
      </c>
      <c r="C6" s="70"/>
      <c r="D6" s="70"/>
      <c r="E6" s="70"/>
      <c r="F6" s="259">
        <v>21</v>
      </c>
      <c r="G6" s="258"/>
      <c r="H6" s="259">
        <v>19</v>
      </c>
      <c r="I6" s="258"/>
      <c r="J6" s="549">
        <f>+'Adaytum  Detail 2002'!E15</f>
        <v>10</v>
      </c>
      <c r="K6" s="71" t="s">
        <v>47</v>
      </c>
      <c r="L6" s="66"/>
    </row>
    <row r="7" spans="1:12" ht="23.25" customHeight="1" thickBot="1">
      <c r="A7" s="65"/>
      <c r="B7" s="72"/>
      <c r="C7" s="64"/>
      <c r="D7" s="64"/>
      <c r="E7" s="64"/>
      <c r="F7" s="64"/>
      <c r="G7" s="64"/>
      <c r="H7" s="79" t="s">
        <v>329</v>
      </c>
      <c r="I7" s="64"/>
      <c r="J7" s="64"/>
      <c r="K7" s="64"/>
      <c r="L7" s="66"/>
    </row>
    <row r="8" spans="1:12" ht="4.5" customHeight="1" thickTop="1">
      <c r="A8" s="65"/>
      <c r="B8" s="73"/>
      <c r="C8" s="74"/>
      <c r="D8" s="75"/>
      <c r="E8" s="75"/>
      <c r="F8" s="74"/>
      <c r="G8" s="74"/>
      <c r="H8" s="74"/>
      <c r="I8" s="74"/>
      <c r="J8" s="74"/>
      <c r="K8" s="76"/>
      <c r="L8" s="66"/>
    </row>
    <row r="9" spans="1:12" ht="13.8">
      <c r="A9" s="65"/>
      <c r="B9" s="77" t="s">
        <v>48</v>
      </c>
      <c r="C9" s="64"/>
      <c r="D9" s="78"/>
      <c r="E9" s="78"/>
      <c r="F9" s="79" t="s">
        <v>49</v>
      </c>
      <c r="G9" s="79"/>
      <c r="H9" s="79" t="s">
        <v>49</v>
      </c>
      <c r="I9" s="79"/>
      <c r="J9" s="79" t="s">
        <v>49</v>
      </c>
      <c r="K9" s="80"/>
      <c r="L9" s="66"/>
    </row>
    <row r="10" spans="1:12" ht="19.5" customHeight="1">
      <c r="A10" s="65"/>
      <c r="B10" s="81" t="s">
        <v>50</v>
      </c>
      <c r="C10" s="64"/>
      <c r="D10" s="64"/>
      <c r="E10" s="64"/>
      <c r="F10" s="161">
        <f>+'Input Data'!F31</f>
        <v>3507197</v>
      </c>
      <c r="G10" s="67"/>
      <c r="H10" s="161">
        <v>2735292</v>
      </c>
      <c r="I10" s="160"/>
      <c r="J10" s="161">
        <f>+'Adaytum  Detail 2002'!$E$26</f>
        <v>1384175</v>
      </c>
      <c r="K10" s="80"/>
      <c r="L10" s="66"/>
    </row>
    <row r="11" spans="1:12" ht="37.5" customHeight="1">
      <c r="A11" s="65"/>
      <c r="B11" s="82" t="s">
        <v>51</v>
      </c>
      <c r="C11" s="64"/>
      <c r="D11" s="64"/>
      <c r="E11" s="64"/>
      <c r="F11" s="83">
        <f>IF(F6=0,0,F10/F6)</f>
        <v>167009.38095238095</v>
      </c>
      <c r="G11" s="64"/>
      <c r="H11" s="83">
        <f>IF(H6=0,0,H10/H6)</f>
        <v>143962.73684210525</v>
      </c>
      <c r="I11" s="161"/>
      <c r="J11" s="83">
        <f>IF(J6=0,0,J10/J6)</f>
        <v>138417.5</v>
      </c>
      <c r="K11" s="80" t="s">
        <v>330</v>
      </c>
      <c r="L11" s="66"/>
    </row>
    <row r="12" spans="1:12">
      <c r="A12" s="65"/>
      <c r="B12" s="82"/>
      <c r="C12" s="64"/>
      <c r="D12" s="64"/>
      <c r="E12" s="64"/>
      <c r="F12" s="64"/>
      <c r="G12" s="64"/>
      <c r="H12" s="64"/>
      <c r="I12" s="64"/>
      <c r="J12" s="64"/>
      <c r="K12" s="80"/>
      <c r="L12" s="66"/>
    </row>
    <row r="13" spans="1:12" ht="13.8">
      <c r="A13" s="65"/>
      <c r="B13" s="82" t="s">
        <v>66</v>
      </c>
      <c r="C13" s="64"/>
      <c r="D13" s="123">
        <f>+H6</f>
        <v>19</v>
      </c>
      <c r="E13" s="64"/>
      <c r="F13" s="252"/>
      <c r="G13" s="252"/>
      <c r="H13" s="252"/>
      <c r="I13" s="64"/>
      <c r="J13" s="64"/>
      <c r="K13" s="80"/>
      <c r="L13" s="66"/>
    </row>
    <row r="14" spans="1:12" ht="13.8">
      <c r="A14" s="65"/>
      <c r="B14" s="494" t="s">
        <v>255</v>
      </c>
      <c r="C14" s="500"/>
      <c r="D14" s="64"/>
      <c r="E14" s="64"/>
      <c r="F14" s="252"/>
      <c r="G14" s="252"/>
      <c r="H14" s="252"/>
      <c r="I14" s="64"/>
      <c r="J14" s="64"/>
      <c r="K14" s="80"/>
      <c r="L14" s="66"/>
    </row>
    <row r="15" spans="1:12" ht="21">
      <c r="A15" s="65"/>
      <c r="B15" s="84"/>
      <c r="C15" s="501"/>
      <c r="D15" s="64"/>
      <c r="E15" s="64"/>
      <c r="F15" s="253"/>
      <c r="G15" s="253"/>
      <c r="H15" s="254"/>
      <c r="I15" s="64"/>
      <c r="J15" s="64"/>
      <c r="K15" s="80"/>
      <c r="L15" s="66"/>
    </row>
    <row r="16" spans="1:12" ht="13.8">
      <c r="A16" s="65"/>
      <c r="B16" s="494" t="s">
        <v>256</v>
      </c>
      <c r="C16" s="501">
        <v>-9</v>
      </c>
      <c r="D16" s="64"/>
      <c r="E16" s="64"/>
      <c r="F16" s="252"/>
      <c r="G16" s="252"/>
      <c r="H16" s="252"/>
      <c r="I16" s="64"/>
      <c r="J16" s="64"/>
      <c r="K16" s="80"/>
      <c r="L16" s="66"/>
    </row>
    <row r="17" spans="1:12" ht="13.8">
      <c r="A17" s="65"/>
      <c r="B17" s="85"/>
      <c r="C17" s="502"/>
      <c r="D17" s="64"/>
      <c r="E17" s="64"/>
      <c r="F17" s="252"/>
      <c r="G17" s="252"/>
      <c r="H17" s="252"/>
      <c r="I17" s="64"/>
      <c r="J17" s="64"/>
      <c r="K17" s="80"/>
      <c r="L17" s="66"/>
    </row>
    <row r="18" spans="1:12" ht="13.8">
      <c r="A18" s="65"/>
      <c r="B18" s="86" t="s">
        <v>67</v>
      </c>
      <c r="C18" s="64"/>
      <c r="D18" s="123">
        <f>SUM(C13:D17)</f>
        <v>10</v>
      </c>
      <c r="E18" s="64"/>
      <c r="F18" s="64"/>
      <c r="G18" s="64"/>
      <c r="H18" s="64"/>
      <c r="I18" s="64"/>
      <c r="J18" s="64"/>
      <c r="K18" s="80"/>
      <c r="L18" s="66"/>
    </row>
    <row r="19" spans="1:12" ht="7.5" customHeight="1" thickBot="1">
      <c r="A19" s="65"/>
      <c r="B19" s="87"/>
      <c r="C19" s="88"/>
      <c r="D19" s="88"/>
      <c r="E19" s="88"/>
      <c r="F19" s="88"/>
      <c r="G19" s="88"/>
      <c r="H19" s="88"/>
      <c r="I19" s="88"/>
      <c r="J19" s="88"/>
      <c r="K19" s="89"/>
      <c r="L19" s="66"/>
    </row>
    <row r="20" spans="1:12" ht="5.25" customHeight="1" thickTop="1" thickBot="1">
      <c r="A20" s="65"/>
      <c r="B20" s="72"/>
      <c r="C20" s="64"/>
      <c r="D20" s="64"/>
      <c r="E20" s="64"/>
      <c r="F20" s="64"/>
      <c r="G20" s="64"/>
      <c r="H20" s="64"/>
      <c r="I20" s="64"/>
      <c r="J20" s="64"/>
      <c r="K20" s="90"/>
      <c r="L20" s="66"/>
    </row>
    <row r="21" spans="1:12" ht="4.5" customHeight="1" thickTop="1">
      <c r="A21" s="65"/>
      <c r="B21" s="73"/>
      <c r="C21" s="74"/>
      <c r="D21" s="75"/>
      <c r="E21" s="75"/>
      <c r="F21" s="74"/>
      <c r="G21" s="74"/>
      <c r="H21" s="74"/>
      <c r="I21" s="74"/>
      <c r="J21" s="74"/>
      <c r="K21" s="76"/>
      <c r="L21" s="66"/>
    </row>
    <row r="22" spans="1:12" ht="13.8">
      <c r="A22" s="65"/>
      <c r="B22" s="77" t="s">
        <v>3</v>
      </c>
      <c r="C22" s="64"/>
      <c r="D22" s="78"/>
      <c r="E22" s="78"/>
      <c r="F22" s="64"/>
      <c r="G22" s="64"/>
      <c r="H22" s="64"/>
      <c r="I22" s="64"/>
      <c r="J22" s="64"/>
      <c r="K22" s="80"/>
      <c r="L22" s="66"/>
    </row>
    <row r="23" spans="1:12" ht="7.5" customHeight="1">
      <c r="A23" s="65"/>
      <c r="B23" s="91"/>
      <c r="C23" s="64"/>
      <c r="D23" s="78"/>
      <c r="E23" s="78"/>
      <c r="F23" s="64"/>
      <c r="G23" s="64"/>
      <c r="H23" s="64"/>
      <c r="I23" s="64"/>
      <c r="J23" s="64"/>
      <c r="K23" s="80"/>
      <c r="L23" s="66"/>
    </row>
    <row r="24" spans="1:12">
      <c r="A24" s="65"/>
      <c r="B24" s="81" t="s">
        <v>142</v>
      </c>
      <c r="C24" s="64"/>
      <c r="D24" s="78"/>
      <c r="E24" s="78"/>
      <c r="F24" s="64"/>
      <c r="G24" s="64"/>
      <c r="H24" s="64"/>
      <c r="I24" s="64"/>
      <c r="J24" s="64"/>
      <c r="K24" s="80"/>
      <c r="L24" s="66"/>
    </row>
    <row r="25" spans="1:12" ht="1.5" customHeight="1">
      <c r="A25" s="65"/>
      <c r="B25" s="91"/>
      <c r="C25" s="64"/>
      <c r="D25" s="78"/>
      <c r="E25" s="78"/>
      <c r="F25" s="64"/>
      <c r="G25" s="64"/>
      <c r="H25" s="64"/>
      <c r="I25" s="64"/>
      <c r="J25" s="64"/>
      <c r="K25" s="80"/>
      <c r="L25" s="66"/>
    </row>
    <row r="26" spans="1:12">
      <c r="A26" s="65"/>
      <c r="B26" s="81" t="s">
        <v>231</v>
      </c>
      <c r="C26" s="64"/>
      <c r="D26" s="78"/>
      <c r="E26" s="78"/>
      <c r="F26" s="64"/>
      <c r="G26" s="64"/>
      <c r="H26" s="64"/>
      <c r="I26" s="64"/>
      <c r="J26" s="64"/>
      <c r="K26" s="80"/>
      <c r="L26" s="66"/>
    </row>
    <row r="27" spans="1:12">
      <c r="A27" s="65"/>
      <c r="B27" s="92" t="s">
        <v>53</v>
      </c>
      <c r="C27" s="93">
        <v>630</v>
      </c>
      <c r="D27" s="503">
        <v>225</v>
      </c>
      <c r="E27" s="64"/>
      <c r="F27" s="252"/>
      <c r="G27" s="252"/>
      <c r="H27" s="252"/>
      <c r="I27" s="64"/>
      <c r="J27" s="93">
        <f>D27*C27</f>
        <v>141750</v>
      </c>
      <c r="K27" s="80" t="s">
        <v>693</v>
      </c>
      <c r="L27" s="66"/>
    </row>
    <row r="28" spans="1:12" ht="16.5" customHeight="1">
      <c r="A28" s="65"/>
      <c r="B28" s="92"/>
      <c r="C28" s="93"/>
      <c r="D28" s="503"/>
      <c r="E28" s="64"/>
      <c r="F28" s="252"/>
      <c r="G28" s="252"/>
      <c r="H28" s="252"/>
      <c r="I28" s="64"/>
      <c r="J28" s="93"/>
      <c r="K28" s="80" t="s">
        <v>708</v>
      </c>
      <c r="L28" s="66"/>
    </row>
    <row r="29" spans="1:12">
      <c r="A29" s="65"/>
      <c r="B29" s="84" t="s">
        <v>258</v>
      </c>
      <c r="C29" s="93">
        <v>205</v>
      </c>
      <c r="D29" s="503">
        <v>450</v>
      </c>
      <c r="E29" s="64"/>
      <c r="F29" s="252"/>
      <c r="G29" s="252"/>
      <c r="H29" s="252"/>
      <c r="I29" s="64"/>
      <c r="J29" s="93">
        <f>D29*C29</f>
        <v>92250</v>
      </c>
      <c r="K29" s="80" t="s">
        <v>692</v>
      </c>
      <c r="L29" s="66"/>
    </row>
    <row r="30" spans="1:12" ht="3.75" customHeight="1">
      <c r="A30" s="65"/>
      <c r="B30" s="91"/>
      <c r="C30" s="64"/>
      <c r="D30" s="123"/>
      <c r="E30" s="78"/>
      <c r="F30" s="64"/>
      <c r="G30" s="64"/>
      <c r="H30" s="64"/>
      <c r="I30" s="64"/>
      <c r="J30" s="64"/>
      <c r="K30" s="80"/>
      <c r="L30" s="66"/>
    </row>
    <row r="31" spans="1:12">
      <c r="A31" s="65"/>
      <c r="B31" s="81" t="s">
        <v>228</v>
      </c>
      <c r="C31" s="64"/>
      <c r="D31" s="78"/>
      <c r="E31" s="78"/>
      <c r="F31" s="64"/>
      <c r="G31" s="64"/>
      <c r="H31" s="64"/>
      <c r="I31" s="64"/>
      <c r="J31" s="64"/>
      <c r="K31" s="80"/>
      <c r="L31" s="66"/>
    </row>
    <row r="32" spans="1:12">
      <c r="A32" s="65"/>
      <c r="B32" s="92" t="s">
        <v>52</v>
      </c>
      <c r="C32" s="93">
        <v>1030</v>
      </c>
      <c r="D32" s="503">
        <v>5</v>
      </c>
      <c r="E32" s="64"/>
      <c r="F32" s="252"/>
      <c r="G32" s="252"/>
      <c r="H32" s="252"/>
      <c r="I32" s="64"/>
      <c r="J32" s="93">
        <f>D32*C32</f>
        <v>5150</v>
      </c>
      <c r="K32" s="80" t="s">
        <v>694</v>
      </c>
      <c r="L32" s="66"/>
    </row>
    <row r="33" spans="1:12">
      <c r="A33" s="65"/>
      <c r="B33" s="92" t="s">
        <v>53</v>
      </c>
      <c r="C33" s="93">
        <v>4700</v>
      </c>
      <c r="D33" s="503">
        <v>0</v>
      </c>
      <c r="E33" s="64"/>
      <c r="F33" s="252"/>
      <c r="G33" s="252"/>
      <c r="H33" s="252"/>
      <c r="I33" s="64"/>
      <c r="J33" s="93">
        <f>D33*C33</f>
        <v>0</v>
      </c>
      <c r="K33" s="80"/>
      <c r="L33" s="66"/>
    </row>
    <row r="34" spans="1:12">
      <c r="A34" s="65"/>
      <c r="B34" s="84" t="s">
        <v>177</v>
      </c>
      <c r="C34" s="93">
        <v>10285</v>
      </c>
      <c r="D34" s="503">
        <v>0</v>
      </c>
      <c r="E34" s="64"/>
      <c r="F34" s="252"/>
      <c r="G34" s="252"/>
      <c r="H34" s="252"/>
      <c r="I34" s="64"/>
      <c r="J34" s="93">
        <f>D34*C34</f>
        <v>0</v>
      </c>
      <c r="K34" s="80"/>
      <c r="L34" s="66"/>
    </row>
    <row r="35" spans="1:12">
      <c r="A35" s="65"/>
      <c r="B35" s="84" t="s">
        <v>258</v>
      </c>
      <c r="C35" s="93">
        <v>185</v>
      </c>
      <c r="D35" s="503">
        <v>25</v>
      </c>
      <c r="E35" s="64"/>
      <c r="F35" s="252"/>
      <c r="G35" s="252"/>
      <c r="H35" s="252"/>
      <c r="I35" s="64"/>
      <c r="J35" s="93">
        <f>D35*C35</f>
        <v>4625</v>
      </c>
      <c r="K35" s="80" t="s">
        <v>695</v>
      </c>
      <c r="L35" s="66"/>
    </row>
    <row r="36" spans="1:12" ht="3.75" customHeight="1">
      <c r="A36" s="65"/>
      <c r="B36" s="91"/>
      <c r="C36" s="64"/>
      <c r="D36" s="93"/>
      <c r="E36" s="93"/>
      <c r="F36" s="93"/>
      <c r="G36" s="93"/>
      <c r="H36" s="93"/>
      <c r="I36" s="64"/>
      <c r="J36" s="93"/>
      <c r="K36" s="80"/>
      <c r="L36" s="66"/>
    </row>
    <row r="37" spans="1:12">
      <c r="A37" s="65"/>
      <c r="B37" s="81" t="s">
        <v>229</v>
      </c>
      <c r="C37" s="64"/>
      <c r="D37" s="94"/>
      <c r="E37" s="94"/>
      <c r="F37" s="94"/>
      <c r="G37" s="94"/>
      <c r="H37" s="94"/>
      <c r="I37" s="64"/>
      <c r="J37" s="64"/>
      <c r="K37" s="80"/>
      <c r="L37" s="66"/>
    </row>
    <row r="38" spans="1:12">
      <c r="A38" s="65"/>
      <c r="B38" s="92" t="s">
        <v>52</v>
      </c>
      <c r="C38" s="93">
        <v>1675</v>
      </c>
      <c r="D38" s="503">
        <v>0</v>
      </c>
      <c r="E38" s="64"/>
      <c r="F38" s="252"/>
      <c r="G38" s="252"/>
      <c r="H38" s="252"/>
      <c r="I38" s="64"/>
      <c r="J38" s="93">
        <f>D38*C38</f>
        <v>0</v>
      </c>
      <c r="K38" s="80"/>
      <c r="L38" s="66"/>
    </row>
    <row r="39" spans="1:12">
      <c r="A39" s="65"/>
      <c r="B39" s="92" t="s">
        <v>53</v>
      </c>
      <c r="C39" s="93">
        <v>5800</v>
      </c>
      <c r="D39" s="503">
        <v>0</v>
      </c>
      <c r="E39" s="64"/>
      <c r="F39" s="252"/>
      <c r="G39" s="252"/>
      <c r="H39" s="252"/>
      <c r="I39" s="64"/>
      <c r="J39" s="93">
        <f>D39*C39</f>
        <v>0</v>
      </c>
      <c r="K39" s="80"/>
      <c r="L39" s="66"/>
    </row>
    <row r="40" spans="1:12">
      <c r="A40" s="65"/>
      <c r="B40" s="84" t="s">
        <v>177</v>
      </c>
      <c r="C40" s="93">
        <v>7535</v>
      </c>
      <c r="D40" s="503">
        <v>0</v>
      </c>
      <c r="E40" s="64"/>
      <c r="F40" s="252"/>
      <c r="G40" s="252"/>
      <c r="H40" s="252"/>
      <c r="I40" s="64"/>
      <c r="J40" s="93">
        <f>D40*C40</f>
        <v>0</v>
      </c>
      <c r="K40" s="80"/>
      <c r="L40" s="66"/>
    </row>
    <row r="41" spans="1:12">
      <c r="A41" s="65"/>
      <c r="B41" s="84" t="s">
        <v>258</v>
      </c>
      <c r="C41" s="93">
        <v>270</v>
      </c>
      <c r="D41" s="503">
        <v>0</v>
      </c>
      <c r="E41" s="64"/>
      <c r="F41" s="252"/>
      <c r="G41" s="252"/>
      <c r="H41" s="252"/>
      <c r="I41" s="64"/>
      <c r="J41" s="93">
        <f>D41*C41</f>
        <v>0</v>
      </c>
      <c r="K41" s="80"/>
      <c r="L41" s="66"/>
    </row>
    <row r="42" spans="1:12" ht="3.75" customHeight="1">
      <c r="A42" s="65"/>
      <c r="B42" s="92"/>
      <c r="C42" s="93"/>
      <c r="D42" s="93"/>
      <c r="E42" s="93"/>
      <c r="F42" s="93"/>
      <c r="G42" s="93"/>
      <c r="H42" s="93"/>
      <c r="I42" s="64"/>
      <c r="J42" s="93"/>
      <c r="K42" s="80"/>
      <c r="L42" s="66"/>
    </row>
    <row r="43" spans="1:12">
      <c r="A43" s="65"/>
      <c r="B43" s="81" t="s">
        <v>230</v>
      </c>
      <c r="C43" s="64"/>
      <c r="D43" s="94"/>
      <c r="E43" s="94"/>
      <c r="F43" s="94"/>
      <c r="G43" s="94"/>
      <c r="H43" s="94"/>
      <c r="I43" s="64"/>
      <c r="J43" s="64"/>
      <c r="K43" s="80"/>
      <c r="L43" s="66"/>
    </row>
    <row r="44" spans="1:12">
      <c r="A44" s="65"/>
      <c r="B44" s="92" t="s">
        <v>52</v>
      </c>
      <c r="C44" s="93">
        <v>1895</v>
      </c>
      <c r="D44" s="503">
        <v>0</v>
      </c>
      <c r="E44" s="64"/>
      <c r="F44" s="252"/>
      <c r="G44" s="252"/>
      <c r="H44" s="252"/>
      <c r="I44" s="64"/>
      <c r="J44" s="93">
        <f>D44*C44</f>
        <v>0</v>
      </c>
      <c r="K44" s="80"/>
      <c r="L44" s="66"/>
    </row>
    <row r="45" spans="1:12">
      <c r="A45" s="65"/>
      <c r="B45" s="84" t="s">
        <v>177</v>
      </c>
      <c r="C45" s="93">
        <v>2245</v>
      </c>
      <c r="D45" s="503">
        <v>0</v>
      </c>
      <c r="E45" s="64"/>
      <c r="F45" s="252"/>
      <c r="G45" s="252"/>
      <c r="H45" s="252"/>
      <c r="I45" s="64"/>
      <c r="J45" s="93">
        <f>D45*C45</f>
        <v>0</v>
      </c>
      <c r="K45" s="80"/>
      <c r="L45" s="66"/>
    </row>
    <row r="46" spans="1:12">
      <c r="A46" s="65"/>
      <c r="B46" s="84" t="s">
        <v>258</v>
      </c>
      <c r="C46" s="93">
        <v>185</v>
      </c>
      <c r="D46" s="503">
        <v>0</v>
      </c>
      <c r="E46" s="64"/>
      <c r="F46" s="252"/>
      <c r="G46" s="252"/>
      <c r="H46" s="252"/>
      <c r="I46" s="64"/>
      <c r="J46" s="93">
        <f>D46*C46</f>
        <v>0</v>
      </c>
      <c r="K46" s="80"/>
      <c r="L46" s="66"/>
    </row>
    <row r="47" spans="1:12" ht="9" customHeight="1">
      <c r="A47" s="65"/>
      <c r="B47" s="92"/>
      <c r="C47" s="93"/>
      <c r="D47" s="93"/>
      <c r="E47" s="93"/>
      <c r="F47" s="93"/>
      <c r="G47" s="93"/>
      <c r="H47" s="93"/>
      <c r="I47" s="64"/>
      <c r="J47" s="93"/>
      <c r="K47" s="80"/>
      <c r="L47" s="66"/>
    </row>
    <row r="48" spans="1:12" ht="4.5" customHeight="1">
      <c r="A48" s="65"/>
      <c r="B48" s="91"/>
      <c r="C48" s="64"/>
      <c r="D48" s="78"/>
      <c r="E48" s="78"/>
      <c r="F48" s="78"/>
      <c r="G48" s="78"/>
      <c r="H48" s="78"/>
      <c r="I48" s="64"/>
      <c r="J48" s="93"/>
      <c r="K48" s="80"/>
      <c r="L48" s="66"/>
    </row>
    <row r="49" spans="1:12">
      <c r="A49" s="65"/>
      <c r="B49" s="81" t="s">
        <v>139</v>
      </c>
      <c r="C49" s="64"/>
      <c r="D49" s="78"/>
      <c r="E49" s="64"/>
      <c r="F49" s="252"/>
      <c r="G49" s="252"/>
      <c r="H49" s="252"/>
      <c r="I49" s="64"/>
      <c r="J49" s="93">
        <f>+'Adaytum  Detail 2002'!E30</f>
        <v>0</v>
      </c>
      <c r="K49" s="80"/>
      <c r="L49" s="66"/>
    </row>
    <row r="50" spans="1:12" ht="3.75" customHeight="1">
      <c r="A50" s="65"/>
      <c r="B50" s="91"/>
      <c r="C50" s="64"/>
      <c r="D50" s="78"/>
      <c r="E50" s="78"/>
      <c r="F50" s="78"/>
      <c r="G50" s="78"/>
      <c r="H50" s="78"/>
      <c r="I50" s="64"/>
      <c r="J50" s="93"/>
      <c r="K50" s="80"/>
      <c r="L50" s="66"/>
    </row>
    <row r="51" spans="1:12">
      <c r="A51" s="65"/>
      <c r="B51" s="81" t="s">
        <v>140</v>
      </c>
      <c r="C51" s="64"/>
      <c r="D51" s="78"/>
      <c r="E51" s="64"/>
      <c r="F51" s="252"/>
      <c r="G51" s="252"/>
      <c r="H51" s="252"/>
      <c r="I51" s="64"/>
      <c r="J51" s="93">
        <f>+'Adaytum  Detail 2002'!E31</f>
        <v>19000</v>
      </c>
      <c r="K51" s="80"/>
      <c r="L51" s="66"/>
    </row>
    <row r="52" spans="1:12" ht="4.5" customHeight="1">
      <c r="A52" s="65"/>
      <c r="B52" s="91"/>
      <c r="C52" s="64"/>
      <c r="D52" s="78"/>
      <c r="E52" s="78"/>
      <c r="F52" s="78"/>
      <c r="G52" s="78"/>
      <c r="H52" s="78"/>
      <c r="I52" s="64"/>
      <c r="J52" s="93"/>
      <c r="K52" s="80"/>
      <c r="L52" s="66"/>
    </row>
    <row r="53" spans="1:12">
      <c r="A53" s="65"/>
      <c r="B53" s="81" t="s">
        <v>141</v>
      </c>
      <c r="C53" s="64"/>
      <c r="D53" s="78"/>
      <c r="E53" s="64"/>
      <c r="F53" s="252"/>
      <c r="G53" s="252"/>
      <c r="H53" s="252"/>
      <c r="I53" s="64"/>
      <c r="J53" s="93">
        <f>+'Adaytum  Detail 2002'!E32</f>
        <v>9000</v>
      </c>
      <c r="K53" s="80"/>
      <c r="L53" s="66"/>
    </row>
    <row r="54" spans="1:12" ht="7.5" customHeight="1">
      <c r="A54" s="65"/>
      <c r="B54" s="91"/>
      <c r="C54" s="64"/>
      <c r="D54" s="78"/>
      <c r="E54" s="78"/>
      <c r="F54" s="78"/>
      <c r="G54" s="78"/>
      <c r="H54" s="78"/>
      <c r="I54" s="78"/>
      <c r="J54" s="93"/>
      <c r="K54" s="80"/>
      <c r="L54" s="66"/>
    </row>
    <row r="55" spans="1:12" ht="6" customHeight="1">
      <c r="A55" s="65"/>
      <c r="B55" s="82"/>
      <c r="C55" s="64"/>
      <c r="D55" s="83"/>
      <c r="E55" s="83"/>
      <c r="F55" s="64"/>
      <c r="G55" s="64"/>
      <c r="H55" s="64"/>
      <c r="I55" s="64"/>
      <c r="J55" s="64"/>
      <c r="K55" s="80"/>
      <c r="L55" s="66"/>
    </row>
    <row r="56" spans="1:12" ht="14.4" thickBot="1">
      <c r="A56" s="65"/>
      <c r="B56" s="95" t="s">
        <v>54</v>
      </c>
      <c r="C56" s="96"/>
      <c r="D56" s="97"/>
      <c r="E56" s="97">
        <v>0</v>
      </c>
      <c r="F56" s="286">
        <f>+'Input Data'!F33</f>
        <v>358278</v>
      </c>
      <c r="G56" s="287"/>
      <c r="H56" s="98">
        <v>386072</v>
      </c>
      <c r="I56" s="288"/>
      <c r="J56" s="98">
        <f>SUM(J27:J53)</f>
        <v>271775</v>
      </c>
      <c r="K56" s="99" t="s">
        <v>331</v>
      </c>
      <c r="L56" s="66"/>
    </row>
    <row r="57" spans="1:12" ht="7.5" customHeight="1" thickBot="1">
      <c r="A57" s="65"/>
      <c r="B57" s="87"/>
      <c r="C57" s="88"/>
      <c r="D57" s="88"/>
      <c r="E57" s="88"/>
      <c r="F57" s="88"/>
      <c r="G57" s="88"/>
      <c r="H57" s="88"/>
      <c r="I57" s="88"/>
      <c r="J57" s="88"/>
      <c r="K57" s="89"/>
      <c r="L57" s="66"/>
    </row>
    <row r="58" spans="1:12" ht="7.5" customHeight="1" thickTop="1">
      <c r="A58" s="65"/>
      <c r="B58" s="64"/>
      <c r="C58" s="64"/>
      <c r="D58" s="64"/>
      <c r="E58" s="64"/>
      <c r="F58" s="64"/>
      <c r="G58" s="64"/>
      <c r="H58" s="64"/>
      <c r="I58" s="64"/>
      <c r="J58" s="64"/>
      <c r="K58" s="90"/>
      <c r="L58" s="66"/>
    </row>
    <row r="59" spans="1:12" ht="19.5" customHeight="1" thickBot="1">
      <c r="A59" s="118"/>
      <c r="B59" s="115"/>
      <c r="C59" s="116"/>
      <c r="D59" s="117"/>
      <c r="E59" s="117"/>
      <c r="F59" s="116"/>
      <c r="G59" s="116"/>
      <c r="H59" s="116"/>
      <c r="I59" s="116"/>
      <c r="J59" s="116"/>
      <c r="K59" s="116"/>
      <c r="L59" s="119"/>
    </row>
    <row r="60" spans="1:12">
      <c r="B60" s="120"/>
      <c r="D60" s="122"/>
      <c r="E60" s="122"/>
    </row>
    <row r="61" spans="1:12">
      <c r="B61" s="120"/>
      <c r="D61" s="122"/>
      <c r="E61" s="122"/>
    </row>
    <row r="62" spans="1:12">
      <c r="B62" s="120"/>
      <c r="D62" s="122"/>
      <c r="E62" s="122"/>
    </row>
    <row r="63" spans="1:12">
      <c r="B63" s="120"/>
      <c r="D63" s="122"/>
      <c r="E63" s="122"/>
    </row>
    <row r="64" spans="1:12">
      <c r="D64" s="122"/>
      <c r="E64" s="122"/>
    </row>
    <row r="65" spans="4:5">
      <c r="D65" s="122"/>
      <c r="E65" s="122"/>
    </row>
    <row r="66" spans="4:5">
      <c r="D66" s="122"/>
      <c r="E66" s="122"/>
    </row>
    <row r="67" spans="4:5">
      <c r="D67" s="122"/>
      <c r="E67" s="122"/>
    </row>
    <row r="68" spans="4:5">
      <c r="D68" s="122"/>
      <c r="E68"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71" orientation="landscape" r:id="rId1"/>
  <headerFooter alignWithMargins="0">
    <oddFooter>&amp;L&amp;9Page 11&amp;C&amp;9Source : Financial Planning and Analysis&amp;R&amp;9Printed : &amp;D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L57"/>
  <sheetViews>
    <sheetView tabSelected="1" zoomScale="75" zoomScaleNormal="100" workbookViewId="0">
      <selection activeCell="C9" sqref="C9"/>
    </sheetView>
  </sheetViews>
  <sheetFormatPr defaultColWidth="9.109375" defaultRowHeight="13.2"/>
  <cols>
    <col min="1" max="1" width="7.33203125" style="64" customWidth="1"/>
    <col min="2" max="2" width="13.88671875" style="121" customWidth="1"/>
    <col min="3" max="3" width="7.6640625" style="121" bestFit="1" customWidth="1"/>
    <col min="4" max="4" width="17.109375" style="121" customWidth="1"/>
    <col min="5" max="5" width="2" style="121" customWidth="1"/>
    <col min="6" max="6" width="14.109375" style="121" bestFit="1" customWidth="1"/>
    <col min="7" max="7" width="1.5546875" style="121" customWidth="1"/>
    <col min="8" max="8" width="15.88671875" style="121" customWidth="1"/>
    <col min="9" max="9" width="1.88671875" style="121" customWidth="1"/>
    <col min="10" max="10" width="12.109375" style="121" customWidth="1"/>
    <col min="11" max="11" width="79.6640625" style="121" customWidth="1"/>
    <col min="12" max="12" width="6.88671875" style="64" customWidth="1"/>
    <col min="13" max="16384" width="9.10937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9.25" customHeight="1">
      <c r="A4" s="65"/>
      <c r="B4" s="977" t="s">
        <v>711</v>
      </c>
      <c r="C4" s="977"/>
      <c r="D4" s="977"/>
      <c r="E4" s="977"/>
      <c r="F4" s="977"/>
      <c r="G4" s="977"/>
      <c r="H4" s="977"/>
      <c r="I4" s="977"/>
      <c r="J4" s="977"/>
      <c r="K4" s="977"/>
      <c r="L4" s="66"/>
    </row>
    <row r="5" spans="1:12" ht="29.25" customHeight="1">
      <c r="A5" s="65"/>
      <c r="B5" s="154"/>
      <c r="C5" s="154"/>
      <c r="D5" s="154"/>
      <c r="E5" s="154"/>
      <c r="F5" s="154"/>
      <c r="G5" s="154"/>
      <c r="H5" s="154"/>
      <c r="I5" s="154"/>
      <c r="J5" s="154"/>
      <c r="K5" s="154"/>
      <c r="L5" s="66"/>
    </row>
    <row r="6" spans="1:12" ht="15.75" customHeight="1">
      <c r="A6" s="65"/>
      <c r="B6" s="67"/>
      <c r="C6" s="64"/>
      <c r="D6" s="64"/>
      <c r="E6" s="64"/>
      <c r="F6" s="125">
        <v>2000</v>
      </c>
      <c r="G6" s="125"/>
      <c r="H6" s="125">
        <v>2001</v>
      </c>
      <c r="I6" s="68"/>
      <c r="J6" s="125">
        <v>2002</v>
      </c>
      <c r="K6" s="64"/>
      <c r="L6" s="66"/>
    </row>
    <row r="7" spans="1:12" ht="17.25" customHeight="1">
      <c r="A7" s="65"/>
      <c r="B7" s="69" t="s">
        <v>65</v>
      </c>
      <c r="C7" s="70"/>
      <c r="D7" s="70"/>
      <c r="E7" s="70"/>
      <c r="F7" s="255">
        <f>+'Expense Detail'!F6</f>
        <v>21</v>
      </c>
      <c r="G7" s="125"/>
      <c r="H7" s="255">
        <f>+'Expense Detail'!H6</f>
        <v>19</v>
      </c>
      <c r="I7" s="258"/>
      <c r="J7" s="255">
        <f>+'Expense Detail'!J6</f>
        <v>10</v>
      </c>
      <c r="K7" s="71" t="s">
        <v>47</v>
      </c>
      <c r="L7" s="66"/>
    </row>
    <row r="8" spans="1:12">
      <c r="A8" s="65"/>
      <c r="B8" s="72"/>
      <c r="C8" s="64"/>
      <c r="D8" s="64"/>
      <c r="E8" s="64"/>
      <c r="F8" s="64"/>
      <c r="G8" s="64"/>
      <c r="H8" s="79" t="s">
        <v>329</v>
      </c>
      <c r="I8" s="64"/>
      <c r="J8" s="64"/>
      <c r="K8" s="64"/>
      <c r="L8" s="66"/>
    </row>
    <row r="9" spans="1:12" ht="7.5" customHeight="1" thickBot="1">
      <c r="A9" s="65"/>
      <c r="B9" s="64"/>
      <c r="C9" s="64"/>
      <c r="D9" s="64"/>
      <c r="E9" s="64"/>
      <c r="F9" s="64"/>
      <c r="G9" s="64"/>
      <c r="H9" s="64"/>
      <c r="I9" s="64"/>
      <c r="J9" s="64"/>
      <c r="K9" s="90"/>
      <c r="L9" s="66"/>
    </row>
    <row r="10" spans="1:12" ht="7.5" customHeight="1" thickTop="1">
      <c r="A10" s="65"/>
      <c r="B10" s="73"/>
      <c r="C10" s="74"/>
      <c r="D10" s="75"/>
      <c r="E10" s="75"/>
      <c r="F10" s="74"/>
      <c r="G10" s="74"/>
      <c r="H10" s="74"/>
      <c r="I10" s="74"/>
      <c r="J10" s="74"/>
      <c r="K10" s="76"/>
      <c r="L10" s="66"/>
    </row>
    <row r="11" spans="1:12" ht="13.8">
      <c r="A11" s="65"/>
      <c r="B11" s="77" t="s">
        <v>40</v>
      </c>
      <c r="C11" s="64"/>
      <c r="D11" s="78"/>
      <c r="E11" s="78"/>
      <c r="F11" s="64"/>
      <c r="G11" s="64"/>
      <c r="H11" s="64"/>
      <c r="I11" s="64"/>
      <c r="J11" s="64"/>
      <c r="K11" s="80"/>
      <c r="L11" s="66"/>
    </row>
    <row r="12" spans="1:12">
      <c r="A12" s="65"/>
      <c r="B12" s="82"/>
      <c r="C12" s="64"/>
      <c r="D12" s="78"/>
      <c r="E12" s="78"/>
      <c r="F12" s="64"/>
      <c r="G12" s="64"/>
      <c r="H12" s="64"/>
      <c r="I12" s="64"/>
      <c r="J12" s="64"/>
      <c r="K12" s="80"/>
      <c r="L12" s="66"/>
    </row>
    <row r="13" spans="1:12">
      <c r="A13" s="65"/>
      <c r="B13" s="82" t="s">
        <v>98</v>
      </c>
      <c r="C13" s="64"/>
      <c r="D13" s="78"/>
      <c r="E13" s="78"/>
      <c r="F13" s="252"/>
      <c r="G13" s="64"/>
      <c r="H13" s="252"/>
      <c r="I13" s="64"/>
      <c r="J13" s="124">
        <f>+'Adaytum  Detail 2002'!E35</f>
        <v>0</v>
      </c>
      <c r="K13" s="80"/>
      <c r="L13" s="66"/>
    </row>
    <row r="14" spans="1:12">
      <c r="A14" s="65"/>
      <c r="B14" s="82" t="s">
        <v>99</v>
      </c>
      <c r="C14" s="64"/>
      <c r="D14" s="78"/>
      <c r="E14" s="78"/>
      <c r="F14" s="252"/>
      <c r="G14" s="64"/>
      <c r="H14" s="252"/>
      <c r="I14" s="64"/>
      <c r="J14" s="124">
        <f>+'Adaytum  Detail 2002'!E36</f>
        <v>0</v>
      </c>
      <c r="K14" s="80"/>
      <c r="L14" s="66"/>
    </row>
    <row r="15" spans="1:12">
      <c r="A15" s="65"/>
      <c r="B15" s="82" t="s">
        <v>100</v>
      </c>
      <c r="C15" s="64"/>
      <c r="D15" s="78"/>
      <c r="E15" s="78"/>
      <c r="F15" s="252"/>
      <c r="G15" s="64"/>
      <c r="H15" s="252"/>
      <c r="I15" s="64"/>
      <c r="J15" s="124">
        <f>+'Adaytum  Detail 2002'!E37</f>
        <v>0</v>
      </c>
      <c r="K15" s="80"/>
      <c r="L15" s="66"/>
    </row>
    <row r="16" spans="1:12">
      <c r="A16" s="65"/>
      <c r="B16" s="82" t="s">
        <v>101</v>
      </c>
      <c r="C16" s="64"/>
      <c r="D16" s="78"/>
      <c r="E16" s="78"/>
      <c r="F16" s="252"/>
      <c r="G16" s="64"/>
      <c r="H16" s="252"/>
      <c r="I16" s="64"/>
      <c r="J16" s="124">
        <f>+'Adaytum  Detail 2002'!E38</f>
        <v>0</v>
      </c>
      <c r="K16" s="80"/>
      <c r="L16" s="66"/>
    </row>
    <row r="17" spans="1:12">
      <c r="A17" s="65"/>
      <c r="B17" s="82" t="s">
        <v>102</v>
      </c>
      <c r="C17" s="64"/>
      <c r="D17" s="78"/>
      <c r="E17" s="78"/>
      <c r="F17" s="252"/>
      <c r="G17" s="64"/>
      <c r="H17" s="252"/>
      <c r="I17" s="64"/>
      <c r="J17" s="124">
        <f>+'Adaytum  Detail 2002'!E39</f>
        <v>0</v>
      </c>
      <c r="K17" s="80"/>
      <c r="L17" s="66"/>
    </row>
    <row r="18" spans="1:12">
      <c r="A18" s="65"/>
      <c r="B18" s="82" t="s">
        <v>103</v>
      </c>
      <c r="C18" s="64"/>
      <c r="D18" s="78"/>
      <c r="E18" s="78"/>
      <c r="F18" s="252"/>
      <c r="G18" s="64"/>
      <c r="H18" s="252"/>
      <c r="I18" s="64"/>
      <c r="J18" s="124">
        <f>+'Adaytum  Detail 2002'!E40</f>
        <v>0</v>
      </c>
      <c r="K18" s="80"/>
      <c r="L18" s="66"/>
    </row>
    <row r="19" spans="1:12">
      <c r="A19" s="65"/>
      <c r="B19" s="82" t="s">
        <v>104</v>
      </c>
      <c r="C19" s="64"/>
      <c r="D19" s="78"/>
      <c r="E19" s="78"/>
      <c r="F19" s="252"/>
      <c r="G19" s="64"/>
      <c r="H19" s="252"/>
      <c r="I19" s="64"/>
      <c r="J19" s="124">
        <f>+'Adaytum  Detail 2002'!E41</f>
        <v>0</v>
      </c>
      <c r="K19" s="80"/>
      <c r="L19" s="66"/>
    </row>
    <row r="20" spans="1:12">
      <c r="A20" s="65"/>
      <c r="B20" s="82" t="s">
        <v>105</v>
      </c>
      <c r="C20" s="64"/>
      <c r="D20" s="78"/>
      <c r="E20" s="78"/>
      <c r="F20" s="252"/>
      <c r="G20" s="64"/>
      <c r="H20" s="252"/>
      <c r="I20" s="64"/>
      <c r="J20" s="124">
        <f>+'Adaytum  Detail 2002'!E42</f>
        <v>0</v>
      </c>
      <c r="K20" s="80"/>
      <c r="L20" s="66"/>
    </row>
    <row r="21" spans="1:12">
      <c r="A21" s="65"/>
      <c r="B21" s="82" t="s">
        <v>106</v>
      </c>
      <c r="C21" s="64"/>
      <c r="D21" s="78"/>
      <c r="E21" s="78"/>
      <c r="F21" s="252"/>
      <c r="G21" s="64"/>
      <c r="H21" s="252"/>
      <c r="I21" s="64"/>
      <c r="J21" s="124">
        <f>+'Adaytum  Detail 2002'!E43</f>
        <v>0</v>
      </c>
      <c r="K21" s="80"/>
      <c r="L21" s="66"/>
    </row>
    <row r="22" spans="1:12">
      <c r="A22" s="65"/>
      <c r="B22" s="82" t="s">
        <v>107</v>
      </c>
      <c r="C22" s="64"/>
      <c r="D22" s="78"/>
      <c r="E22" s="78"/>
      <c r="F22" s="252"/>
      <c r="G22" s="64"/>
      <c r="H22" s="252"/>
      <c r="I22" s="64"/>
      <c r="J22" s="124">
        <f>+'Adaytum  Detail 2002'!E44</f>
        <v>0</v>
      </c>
      <c r="K22" s="80"/>
      <c r="L22" s="66"/>
    </row>
    <row r="23" spans="1:12">
      <c r="A23" s="65"/>
      <c r="B23" s="82" t="s">
        <v>227</v>
      </c>
      <c r="C23" s="64"/>
      <c r="D23" s="78"/>
      <c r="E23" s="78"/>
      <c r="F23" s="252"/>
      <c r="G23" s="64"/>
      <c r="H23" s="252"/>
      <c r="I23" s="64"/>
      <c r="J23" s="124">
        <f>+'Adaytum  Detail 2002'!E45</f>
        <v>4481</v>
      </c>
      <c r="K23" s="80" t="s">
        <v>699</v>
      </c>
      <c r="L23" s="66"/>
    </row>
    <row r="24" spans="1:12">
      <c r="A24" s="65"/>
      <c r="B24" s="82"/>
      <c r="C24" s="64"/>
      <c r="D24" s="93"/>
      <c r="E24" s="93"/>
      <c r="F24" s="93"/>
      <c r="G24" s="93"/>
      <c r="H24" s="93"/>
      <c r="I24" s="64"/>
      <c r="J24" s="64"/>
      <c r="K24" s="80"/>
      <c r="L24" s="66"/>
    </row>
    <row r="25" spans="1:12">
      <c r="A25" s="65"/>
      <c r="B25" s="82"/>
      <c r="C25" s="64"/>
      <c r="D25" s="83"/>
      <c r="E25" s="83"/>
      <c r="F25" s="93"/>
      <c r="G25" s="93"/>
      <c r="H25" s="93"/>
      <c r="I25" s="64"/>
      <c r="J25" s="64"/>
      <c r="K25" s="80"/>
      <c r="L25" s="66"/>
    </row>
    <row r="26" spans="1:12" ht="14.4" thickBot="1">
      <c r="A26" s="65"/>
      <c r="B26" s="908" t="s">
        <v>55</v>
      </c>
      <c r="C26" s="64"/>
      <c r="D26" s="83"/>
      <c r="E26" s="83"/>
      <c r="F26" s="98">
        <f>+'Input Data'!F35</f>
        <v>106196</v>
      </c>
      <c r="G26" s="107"/>
      <c r="H26" s="98">
        <v>21138</v>
      </c>
      <c r="I26" s="96"/>
      <c r="J26" s="98">
        <f>SUM(J13:J23)</f>
        <v>4481</v>
      </c>
      <c r="K26" s="80"/>
      <c r="L26" s="66"/>
    </row>
    <row r="27" spans="1:12" ht="12.75" customHeight="1" thickBot="1">
      <c r="A27" s="65"/>
      <c r="B27" s="87"/>
      <c r="C27" s="88"/>
      <c r="D27" s="88"/>
      <c r="E27" s="88"/>
      <c r="F27" s="88"/>
      <c r="G27" s="88"/>
      <c r="H27" s="88"/>
      <c r="I27" s="88"/>
      <c r="J27" s="88"/>
      <c r="K27" s="89"/>
      <c r="L27" s="66"/>
    </row>
    <row r="28" spans="1:12" ht="20.25" customHeight="1" thickTop="1" thickBot="1">
      <c r="A28" s="65"/>
      <c r="B28" s="64"/>
      <c r="C28" s="64"/>
      <c r="D28" s="64"/>
      <c r="E28" s="64"/>
      <c r="F28" s="64"/>
      <c r="G28" s="64"/>
      <c r="H28" s="64"/>
      <c r="I28" s="64"/>
      <c r="J28" s="64"/>
      <c r="K28" s="90"/>
      <c r="L28" s="66"/>
    </row>
    <row r="29" spans="1:12" ht="6" customHeight="1" thickTop="1">
      <c r="A29" s="65"/>
      <c r="B29" s="73"/>
      <c r="C29" s="74"/>
      <c r="D29" s="103"/>
      <c r="E29" s="103"/>
      <c r="F29" s="102"/>
      <c r="G29" s="102"/>
      <c r="H29" s="102"/>
      <c r="I29" s="74"/>
      <c r="J29" s="74"/>
      <c r="K29" s="76"/>
      <c r="L29" s="66"/>
    </row>
    <row r="30" spans="1:12" ht="13.8">
      <c r="A30" s="65"/>
      <c r="B30" s="77" t="s">
        <v>41</v>
      </c>
      <c r="C30" s="64"/>
      <c r="D30" s="78"/>
      <c r="E30" s="78"/>
      <c r="F30" s="93"/>
      <c r="G30" s="93"/>
      <c r="H30" s="93"/>
      <c r="I30" s="64"/>
      <c r="J30" s="64"/>
      <c r="K30" s="80"/>
      <c r="L30" s="66"/>
    </row>
    <row r="31" spans="1:12">
      <c r="A31" s="65"/>
      <c r="B31" s="104"/>
      <c r="C31" s="64"/>
      <c r="D31" s="78"/>
      <c r="E31" s="78"/>
      <c r="F31" s="93"/>
      <c r="G31" s="93"/>
      <c r="H31" s="93"/>
      <c r="I31" s="64"/>
      <c r="J31" s="64"/>
      <c r="K31" s="80"/>
      <c r="L31" s="66"/>
    </row>
    <row r="32" spans="1:12">
      <c r="A32" s="65"/>
      <c r="B32" s="82" t="s">
        <v>109</v>
      </c>
      <c r="C32" s="64"/>
      <c r="D32" s="78"/>
      <c r="E32" s="78"/>
      <c r="F32" s="252"/>
      <c r="G32" s="93"/>
      <c r="H32" s="252"/>
      <c r="I32" s="64"/>
      <c r="J32" s="124">
        <f>+'Adaytum  Detail 2002'!E48</f>
        <v>0</v>
      </c>
      <c r="K32" s="80"/>
      <c r="L32" s="66"/>
    </row>
    <row r="33" spans="1:12">
      <c r="A33" s="65"/>
      <c r="B33" s="82" t="s">
        <v>110</v>
      </c>
      <c r="C33" s="64"/>
      <c r="D33" s="78"/>
      <c r="E33" s="78"/>
      <c r="F33" s="252"/>
      <c r="G33" s="93"/>
      <c r="H33" s="252"/>
      <c r="I33" s="64"/>
      <c r="J33" s="124">
        <f>+'Adaytum  Detail 2002'!E49</f>
        <v>0</v>
      </c>
      <c r="K33" s="80"/>
      <c r="L33" s="66"/>
    </row>
    <row r="34" spans="1:12">
      <c r="A34" s="65"/>
      <c r="B34" s="82" t="s">
        <v>111</v>
      </c>
      <c r="C34" s="64"/>
      <c r="D34" s="78"/>
      <c r="E34" s="78"/>
      <c r="F34" s="252"/>
      <c r="G34" s="93"/>
      <c r="H34" s="252"/>
      <c r="I34" s="64"/>
      <c r="J34" s="124">
        <f>+'Adaytum  Detail 2002'!E50</f>
        <v>0</v>
      </c>
      <c r="K34" s="80"/>
      <c r="L34" s="66"/>
    </row>
    <row r="35" spans="1:12">
      <c r="A35" s="65"/>
      <c r="B35" s="82" t="s">
        <v>112</v>
      </c>
      <c r="C35" s="64"/>
      <c r="D35" s="78"/>
      <c r="E35" s="78"/>
      <c r="F35" s="252"/>
      <c r="G35" s="93"/>
      <c r="H35" s="252"/>
      <c r="I35" s="64"/>
      <c r="J35" s="124">
        <f>+'Adaytum  Detail 2002'!E51</f>
        <v>0</v>
      </c>
      <c r="K35" s="80"/>
      <c r="L35" s="66"/>
    </row>
    <row r="36" spans="1:12">
      <c r="A36" s="65"/>
      <c r="B36" s="82" t="s">
        <v>113</v>
      </c>
      <c r="C36" s="64"/>
      <c r="D36" s="78"/>
      <c r="E36" s="78"/>
      <c r="F36" s="252"/>
      <c r="G36" s="93"/>
      <c r="H36" s="252"/>
      <c r="I36" s="64"/>
      <c r="J36" s="124">
        <f>+'Adaytum  Detail 2002'!E52</f>
        <v>0</v>
      </c>
      <c r="K36" s="80"/>
      <c r="L36" s="66"/>
    </row>
    <row r="37" spans="1:12">
      <c r="A37" s="65"/>
      <c r="B37" s="82" t="s">
        <v>114</v>
      </c>
      <c r="C37" s="64"/>
      <c r="D37" s="64"/>
      <c r="E37" s="64"/>
      <c r="F37" s="252"/>
      <c r="G37" s="93"/>
      <c r="H37" s="252"/>
      <c r="I37" s="64"/>
      <c r="J37" s="124">
        <f>+'Adaytum  Detail 2002'!E53</f>
        <v>0</v>
      </c>
      <c r="K37" s="80"/>
      <c r="L37" s="66"/>
    </row>
    <row r="38" spans="1:12">
      <c r="A38" s="65"/>
      <c r="B38" s="82" t="s">
        <v>115</v>
      </c>
      <c r="C38" s="64"/>
      <c r="D38" s="64"/>
      <c r="E38" s="64"/>
      <c r="F38" s="252"/>
      <c r="G38" s="93"/>
      <c r="H38" s="252"/>
      <c r="I38" s="64"/>
      <c r="J38" s="124">
        <v>527000</v>
      </c>
      <c r="K38" s="948" t="s">
        <v>709</v>
      </c>
      <c r="L38" s="66"/>
    </row>
    <row r="39" spans="1:12">
      <c r="A39" s="65"/>
      <c r="B39" s="82" t="s">
        <v>116</v>
      </c>
      <c r="C39" s="64"/>
      <c r="D39" s="64"/>
      <c r="E39" s="64"/>
      <c r="F39" s="252"/>
      <c r="G39" s="93"/>
      <c r="H39" s="252"/>
      <c r="I39" s="64"/>
      <c r="J39" s="124">
        <f>+'Adaytum  Detail 2002'!E55</f>
        <v>0</v>
      </c>
      <c r="K39" s="80"/>
      <c r="L39" s="66"/>
    </row>
    <row r="40" spans="1:12">
      <c r="A40" s="65"/>
      <c r="B40" s="82" t="s">
        <v>117</v>
      </c>
      <c r="C40" s="64"/>
      <c r="D40" s="64"/>
      <c r="E40" s="64"/>
      <c r="F40" s="252"/>
      <c r="G40" s="93"/>
      <c r="H40" s="252"/>
      <c r="I40" s="64"/>
      <c r="J40" s="124">
        <f>+'Adaytum  Detail 2002'!E56</f>
        <v>0</v>
      </c>
      <c r="K40" s="80"/>
      <c r="L40" s="66"/>
    </row>
    <row r="41" spans="1:12">
      <c r="A41" s="65"/>
      <c r="B41" s="82" t="s">
        <v>118</v>
      </c>
      <c r="C41" s="64"/>
      <c r="D41" s="64"/>
      <c r="E41" s="64"/>
      <c r="F41" s="252"/>
      <c r="G41" s="93"/>
      <c r="H41" s="252"/>
      <c r="I41" s="64"/>
      <c r="J41" s="124">
        <f>+'Adaytum  Detail 2002'!E57</f>
        <v>0</v>
      </c>
      <c r="K41" s="80"/>
      <c r="L41" s="66"/>
    </row>
    <row r="42" spans="1:12">
      <c r="A42" s="65"/>
      <c r="B42" s="82" t="s">
        <v>119</v>
      </c>
      <c r="C42" s="64"/>
      <c r="D42" s="64"/>
      <c r="E42" s="64"/>
      <c r="F42" s="252"/>
      <c r="G42" s="93"/>
      <c r="H42" s="252"/>
      <c r="I42" s="64"/>
      <c r="J42" s="124">
        <f>+'Adaytum  Detail 2002'!E58</f>
        <v>0</v>
      </c>
      <c r="K42" s="80"/>
      <c r="L42" s="66"/>
    </row>
    <row r="43" spans="1:12">
      <c r="A43" s="65"/>
      <c r="B43" s="82" t="s">
        <v>120</v>
      </c>
      <c r="C43" s="64"/>
      <c r="D43" s="64"/>
      <c r="E43" s="64"/>
      <c r="F43" s="252"/>
      <c r="G43" s="93"/>
      <c r="H43" s="252"/>
      <c r="I43" s="64"/>
      <c r="J43" s="124">
        <f>+'Adaytum  Detail 2002'!E59</f>
        <v>0</v>
      </c>
      <c r="K43" s="80"/>
      <c r="L43" s="66"/>
    </row>
    <row r="44" spans="1:12">
      <c r="A44" s="65"/>
      <c r="B44" s="82"/>
      <c r="C44" s="64"/>
      <c r="D44" s="64"/>
      <c r="E44" s="64"/>
      <c r="F44" s="93"/>
      <c r="G44" s="93"/>
      <c r="H44" s="93"/>
      <c r="I44" s="64"/>
      <c r="J44" s="64"/>
      <c r="K44" s="80"/>
      <c r="L44" s="66"/>
    </row>
    <row r="45" spans="1:12">
      <c r="A45" s="65"/>
      <c r="B45" s="82"/>
      <c r="C45" s="64"/>
      <c r="D45" s="83"/>
      <c r="E45" s="83"/>
      <c r="F45" s="93"/>
      <c r="G45" s="93"/>
      <c r="H45" s="93"/>
      <c r="I45" s="64"/>
      <c r="J45" s="64"/>
      <c r="K45" s="80"/>
      <c r="L45" s="66"/>
    </row>
    <row r="46" spans="1:12" ht="14.4" thickBot="1">
      <c r="A46" s="65"/>
      <c r="B46" s="908" t="s">
        <v>83</v>
      </c>
      <c r="C46" s="64"/>
      <c r="D46" s="83"/>
      <c r="E46" s="83"/>
      <c r="F46" s="98">
        <f>+'Input Data'!F37</f>
        <v>697582</v>
      </c>
      <c r="G46" s="107"/>
      <c r="H46" s="98">
        <v>1260999</v>
      </c>
      <c r="I46" s="96"/>
      <c r="J46" s="98">
        <f>SUM(J32:J43)</f>
        <v>527000</v>
      </c>
      <c r="K46" s="80" t="s">
        <v>332</v>
      </c>
      <c r="L46" s="66"/>
    </row>
    <row r="47" spans="1:12" ht="12" customHeight="1" thickBot="1">
      <c r="A47" s="65"/>
      <c r="B47" s="87"/>
      <c r="C47" s="88"/>
      <c r="D47" s="105"/>
      <c r="E47" s="105"/>
      <c r="F47" s="106"/>
      <c r="G47" s="106"/>
      <c r="H47" s="106"/>
      <c r="I47" s="88"/>
      <c r="J47" s="88"/>
      <c r="K47" s="89"/>
      <c r="L47" s="66"/>
    </row>
    <row r="48" spans="1:12" ht="19.5" customHeight="1" thickTop="1" thickBot="1">
      <c r="A48" s="118"/>
      <c r="B48" s="115"/>
      <c r="C48" s="116"/>
      <c r="D48" s="117"/>
      <c r="E48" s="117"/>
      <c r="F48" s="116"/>
      <c r="G48" s="116"/>
      <c r="H48" s="116"/>
      <c r="I48" s="116"/>
      <c r="J48" s="116"/>
      <c r="K48" s="116"/>
      <c r="L48" s="119"/>
    </row>
    <row r="49" spans="2:5">
      <c r="B49" s="120"/>
      <c r="D49" s="122"/>
      <c r="E49" s="122"/>
    </row>
    <row r="50" spans="2:5">
      <c r="B50" s="120"/>
      <c r="D50" s="122"/>
      <c r="E50" s="122"/>
    </row>
    <row r="51" spans="2:5">
      <c r="B51" s="120"/>
      <c r="D51" s="122"/>
      <c r="E51" s="122"/>
    </row>
    <row r="52" spans="2:5">
      <c r="B52" s="120"/>
      <c r="D52" s="122"/>
      <c r="E52" s="122"/>
    </row>
    <row r="53" spans="2:5">
      <c r="D53" s="122"/>
      <c r="E53" s="122"/>
    </row>
    <row r="54" spans="2:5">
      <c r="D54" s="122"/>
      <c r="E54" s="122"/>
    </row>
    <row r="55" spans="2:5">
      <c r="D55" s="122"/>
      <c r="E55" s="122"/>
    </row>
    <row r="56" spans="2:5">
      <c r="D56" s="122"/>
      <c r="E56" s="122"/>
    </row>
    <row r="57" spans="2:5">
      <c r="D57" s="122"/>
      <c r="E57"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79" orientation="landscape" r:id="rId1"/>
  <headerFooter alignWithMargins="0">
    <oddFooter>&amp;L&amp;9Page 12&amp;C&amp;9Source : Financial Planning and Analysis&amp;R&amp;9Printed : &amp;D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L77"/>
  <sheetViews>
    <sheetView tabSelected="1" topLeftCell="B1" zoomScale="75" zoomScaleNormal="100" workbookViewId="0">
      <selection activeCell="C9" sqref="C9"/>
    </sheetView>
  </sheetViews>
  <sheetFormatPr defaultColWidth="9.109375" defaultRowHeight="13.2"/>
  <cols>
    <col min="1" max="1" width="7.33203125" style="64" customWidth="1"/>
    <col min="2" max="2" width="13.88671875" style="121" customWidth="1"/>
    <col min="3" max="3" width="7.6640625" style="121" bestFit="1" customWidth="1"/>
    <col min="4" max="4" width="10.44140625" style="121" bestFit="1" customWidth="1"/>
    <col min="5" max="5" width="7.33203125" style="121" customWidth="1"/>
    <col min="6" max="6" width="14.109375" style="121" bestFit="1" customWidth="1"/>
    <col min="7" max="7" width="2.109375" style="121" customWidth="1"/>
    <col min="8" max="8" width="16.109375" style="121" customWidth="1"/>
    <col min="9" max="9" width="2.109375" style="121" customWidth="1"/>
    <col min="10" max="10" width="17.6640625" style="121" customWidth="1"/>
    <col min="11" max="11" width="85.6640625" style="121" customWidth="1"/>
    <col min="12" max="12" width="6.88671875" style="64" customWidth="1"/>
    <col min="13" max="16384" width="9.10937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9.25" customHeight="1">
      <c r="A4" s="65"/>
      <c r="B4" s="977" t="s">
        <v>711</v>
      </c>
      <c r="C4" s="977"/>
      <c r="D4" s="977"/>
      <c r="E4" s="977"/>
      <c r="F4" s="977"/>
      <c r="G4" s="977"/>
      <c r="H4" s="977"/>
      <c r="I4" s="977"/>
      <c r="J4" s="977"/>
      <c r="K4" s="977"/>
      <c r="L4" s="66"/>
    </row>
    <row r="5" spans="1:12" ht="29.25" customHeight="1">
      <c r="A5" s="65"/>
      <c r="B5" s="154"/>
      <c r="C5" s="154"/>
      <c r="D5" s="154"/>
      <c r="E5" s="154"/>
      <c r="F5" s="154"/>
      <c r="G5" s="154"/>
      <c r="H5" s="154"/>
      <c r="I5" s="154"/>
      <c r="J5" s="154"/>
      <c r="K5" s="154"/>
      <c r="L5" s="66"/>
    </row>
    <row r="6" spans="1:12" ht="15.75" customHeight="1">
      <c r="A6" s="65"/>
      <c r="B6" s="67"/>
      <c r="C6" s="64"/>
      <c r="D6" s="64"/>
      <c r="E6" s="64"/>
      <c r="F6" s="125">
        <v>2000</v>
      </c>
      <c r="G6" s="68"/>
      <c r="H6" s="125">
        <v>2001</v>
      </c>
      <c r="I6" s="125"/>
      <c r="J6" s="125">
        <v>2002</v>
      </c>
      <c r="K6" s="64"/>
      <c r="L6" s="66"/>
    </row>
    <row r="7" spans="1:12" ht="17.25" customHeight="1">
      <c r="A7" s="65"/>
      <c r="B7" s="69" t="s">
        <v>65</v>
      </c>
      <c r="C7" s="70"/>
      <c r="D7" s="70"/>
      <c r="E7" s="70"/>
      <c r="F7" s="255">
        <f>+'Expense Detail'!F6</f>
        <v>21</v>
      </c>
      <c r="G7" s="256"/>
      <c r="H7" s="255">
        <f>+'Expense Detail'!H6</f>
        <v>19</v>
      </c>
      <c r="I7" s="257"/>
      <c r="J7" s="255">
        <f>+'Expense Detail'!J6</f>
        <v>10</v>
      </c>
      <c r="K7" s="71" t="s">
        <v>47</v>
      </c>
      <c r="L7" s="66"/>
    </row>
    <row r="8" spans="1:12">
      <c r="A8" s="65"/>
      <c r="B8" s="72"/>
      <c r="C8" s="64"/>
      <c r="D8" s="64"/>
      <c r="E8" s="64"/>
      <c r="F8" s="64"/>
      <c r="G8" s="64"/>
      <c r="H8" s="79" t="s">
        <v>329</v>
      </c>
      <c r="I8" s="64"/>
      <c r="J8" s="64"/>
      <c r="K8" s="64"/>
      <c r="L8" s="66"/>
    </row>
    <row r="9" spans="1:12" ht="7.5" customHeight="1">
      <c r="A9" s="65"/>
      <c r="B9" s="64"/>
      <c r="C9" s="64"/>
      <c r="D9" s="64"/>
      <c r="E9" s="64"/>
      <c r="F9" s="64"/>
      <c r="G9" s="64"/>
      <c r="H9" s="64"/>
      <c r="I9" s="64"/>
      <c r="J9" s="64"/>
      <c r="K9" s="90"/>
      <c r="L9" s="66"/>
    </row>
    <row r="10" spans="1:12" ht="7.5" customHeight="1" thickBot="1">
      <c r="A10" s="65"/>
      <c r="B10" s="72"/>
      <c r="C10" s="64"/>
      <c r="D10" s="78"/>
      <c r="E10" s="78"/>
      <c r="F10" s="64"/>
      <c r="G10" s="64"/>
      <c r="H10" s="64"/>
      <c r="I10" s="64"/>
      <c r="J10" s="64"/>
      <c r="K10" s="90"/>
      <c r="L10" s="66"/>
    </row>
    <row r="11" spans="1:12" ht="7.5" customHeight="1" thickTop="1">
      <c r="A11" s="65"/>
      <c r="B11" s="100"/>
      <c r="C11" s="74"/>
      <c r="D11" s="74"/>
      <c r="E11" s="74"/>
      <c r="F11" s="74"/>
      <c r="G11" s="74"/>
      <c r="H11" s="74"/>
      <c r="I11" s="74"/>
      <c r="J11" s="74"/>
      <c r="K11" s="76"/>
      <c r="L11" s="66"/>
    </row>
    <row r="12" spans="1:12">
      <c r="A12" s="65"/>
      <c r="B12" s="91"/>
      <c r="C12" s="64"/>
      <c r="D12" s="78"/>
      <c r="E12" s="78"/>
      <c r="F12" s="93"/>
      <c r="G12" s="64"/>
      <c r="H12" s="64"/>
      <c r="I12" s="64"/>
      <c r="J12" s="64"/>
      <c r="K12" s="80"/>
      <c r="L12" s="66"/>
    </row>
    <row r="13" spans="1:12">
      <c r="A13" s="65"/>
      <c r="B13" s="91"/>
      <c r="C13" s="64"/>
      <c r="D13" s="78"/>
      <c r="E13" s="78"/>
      <c r="F13" s="93"/>
      <c r="G13" s="64"/>
      <c r="H13" s="64"/>
      <c r="I13" s="64"/>
      <c r="J13" s="64"/>
      <c r="K13" s="80"/>
      <c r="L13" s="66"/>
    </row>
    <row r="14" spans="1:12">
      <c r="A14" s="65"/>
      <c r="B14" s="82" t="s">
        <v>125</v>
      </c>
      <c r="C14" s="64"/>
      <c r="D14" s="83"/>
      <c r="E14" s="83"/>
      <c r="F14" s="252"/>
      <c r="G14" s="252"/>
      <c r="H14" s="252"/>
      <c r="I14" s="64"/>
      <c r="J14" s="124">
        <f>+'Adaytum  Detail 2002'!E70</f>
        <v>0</v>
      </c>
      <c r="K14" s="80"/>
      <c r="L14" s="66"/>
    </row>
    <row r="15" spans="1:12">
      <c r="A15" s="65"/>
      <c r="B15" s="82" t="s">
        <v>121</v>
      </c>
      <c r="C15" s="64"/>
      <c r="D15" s="83"/>
      <c r="E15" s="83"/>
      <c r="F15" s="252"/>
      <c r="G15" s="252"/>
      <c r="H15" s="252"/>
      <c r="I15" s="64"/>
      <c r="J15" s="124">
        <f>+'Adaytum  Detail 2002'!E71</f>
        <v>0</v>
      </c>
      <c r="K15" s="80"/>
      <c r="L15" s="66"/>
    </row>
    <row r="16" spans="1:12">
      <c r="A16" s="65"/>
      <c r="B16" s="82" t="s">
        <v>122</v>
      </c>
      <c r="C16" s="64"/>
      <c r="D16" s="83"/>
      <c r="E16" s="83"/>
      <c r="F16" s="252"/>
      <c r="G16" s="252"/>
      <c r="H16" s="252"/>
      <c r="I16" s="64"/>
      <c r="J16" s="124">
        <f>+'Adaytum  Detail 2002'!E72</f>
        <v>245000</v>
      </c>
      <c r="K16" s="948" t="s">
        <v>709</v>
      </c>
      <c r="L16" s="66"/>
    </row>
    <row r="17" spans="1:12">
      <c r="A17" s="65"/>
      <c r="B17" s="82" t="s">
        <v>123</v>
      </c>
      <c r="C17" s="64"/>
      <c r="D17" s="83"/>
      <c r="E17" s="83"/>
      <c r="F17" s="252"/>
      <c r="G17" s="252"/>
      <c r="H17" s="252"/>
      <c r="I17" s="64"/>
      <c r="J17" s="124">
        <f>+'Adaytum  Detail 2002'!E73</f>
        <v>0</v>
      </c>
      <c r="K17" s="80"/>
      <c r="L17" s="66"/>
    </row>
    <row r="18" spans="1:12">
      <c r="A18" s="65"/>
      <c r="B18" s="82" t="s">
        <v>124</v>
      </c>
      <c r="C18" s="64"/>
      <c r="D18" s="83"/>
      <c r="E18" s="83"/>
      <c r="F18" s="252"/>
      <c r="G18" s="252"/>
      <c r="H18" s="252"/>
      <c r="I18" s="64"/>
      <c r="J18" s="124">
        <f>+'Adaytum  Detail 2002'!E74</f>
        <v>0</v>
      </c>
      <c r="K18" s="80"/>
      <c r="L18" s="66"/>
    </row>
    <row r="19" spans="1:12">
      <c r="A19" s="65"/>
      <c r="B19" s="82"/>
      <c r="C19" s="64"/>
      <c r="D19" s="83"/>
      <c r="E19" s="83"/>
      <c r="F19" s="64"/>
      <c r="G19" s="64"/>
      <c r="H19" s="64"/>
      <c r="I19" s="64"/>
      <c r="J19" s="64"/>
      <c r="K19" s="80"/>
      <c r="L19" s="66"/>
    </row>
    <row r="20" spans="1:12">
      <c r="A20" s="65"/>
      <c r="B20" s="82"/>
      <c r="C20" s="64"/>
      <c r="D20" s="83"/>
      <c r="E20" s="83"/>
      <c r="F20" s="93"/>
      <c r="G20" s="64"/>
      <c r="H20" s="64"/>
      <c r="I20" s="64"/>
      <c r="J20" s="64"/>
      <c r="K20" s="80"/>
      <c r="L20" s="66"/>
    </row>
    <row r="21" spans="1:12" ht="14.4" thickBot="1">
      <c r="A21" s="65"/>
      <c r="B21" s="95" t="s">
        <v>175</v>
      </c>
      <c r="C21" s="96"/>
      <c r="D21" s="97"/>
      <c r="E21" s="97"/>
      <c r="F21" s="98">
        <f>+'Input Data'!F39</f>
        <v>469577</v>
      </c>
      <c r="G21" s="96"/>
      <c r="H21" s="98">
        <v>383565</v>
      </c>
      <c r="I21" s="107"/>
      <c r="J21" s="98">
        <f>SUM(J14:J18)</f>
        <v>245000</v>
      </c>
      <c r="K21" s="80"/>
      <c r="L21" s="66"/>
    </row>
    <row r="22" spans="1:12" ht="14.25" customHeight="1" thickBot="1">
      <c r="A22" s="65"/>
      <c r="B22" s="87"/>
      <c r="C22" s="88"/>
      <c r="D22" s="88"/>
      <c r="E22" s="88"/>
      <c r="F22" s="88"/>
      <c r="G22" s="88"/>
      <c r="H22" s="88"/>
      <c r="I22" s="88"/>
      <c r="J22" s="88"/>
      <c r="K22" s="162"/>
      <c r="L22" s="66"/>
    </row>
    <row r="23" spans="1:12" ht="15" customHeight="1" thickTop="1" thickBot="1">
      <c r="A23" s="65"/>
      <c r="B23" s="101"/>
      <c r="C23" s="64"/>
      <c r="D23" s="64"/>
      <c r="E23" s="64"/>
      <c r="F23" s="64"/>
      <c r="G23" s="64"/>
      <c r="H23" s="64"/>
      <c r="I23" s="64"/>
      <c r="J23" s="64"/>
      <c r="K23" s="64"/>
      <c r="L23" s="66"/>
    </row>
    <row r="24" spans="1:12" ht="7.5" customHeight="1" thickTop="1">
      <c r="A24" s="65"/>
      <c r="B24" s="100"/>
      <c r="C24" s="74"/>
      <c r="D24" s="74"/>
      <c r="E24" s="74"/>
      <c r="F24" s="74"/>
      <c r="G24" s="74"/>
      <c r="H24" s="74"/>
      <c r="I24" s="74"/>
      <c r="J24" s="74"/>
      <c r="K24" s="163"/>
      <c r="L24" s="66"/>
    </row>
    <row r="25" spans="1:12" ht="13.8">
      <c r="A25" s="65"/>
      <c r="B25" s="77" t="s">
        <v>42</v>
      </c>
      <c r="C25" s="64"/>
      <c r="D25" s="78"/>
      <c r="E25" s="78"/>
      <c r="F25" s="93"/>
      <c r="G25" s="64"/>
      <c r="H25" s="64"/>
      <c r="I25" s="64"/>
      <c r="J25" s="64"/>
      <c r="K25" s="164"/>
      <c r="L25" s="66"/>
    </row>
    <row r="26" spans="1:12">
      <c r="A26" s="65"/>
      <c r="B26" s="91"/>
      <c r="C26" s="64"/>
      <c r="D26" s="78"/>
      <c r="E26" s="78"/>
      <c r="F26" s="93"/>
      <c r="G26" s="64"/>
      <c r="H26" s="64"/>
      <c r="I26" s="64"/>
      <c r="J26" s="64"/>
      <c r="K26" s="164"/>
      <c r="L26" s="66"/>
    </row>
    <row r="27" spans="1:12">
      <c r="A27" s="65"/>
      <c r="B27" s="82" t="s">
        <v>126</v>
      </c>
      <c r="C27" s="64"/>
      <c r="D27" s="78"/>
      <c r="E27" s="78"/>
      <c r="F27" s="252"/>
      <c r="G27" s="252"/>
      <c r="H27" s="252"/>
      <c r="I27" s="64"/>
      <c r="J27" s="124">
        <f>+'Adaytum  Detail 2002'!E62</f>
        <v>100000</v>
      </c>
      <c r="K27" s="164" t="s">
        <v>696</v>
      </c>
      <c r="L27" s="66"/>
    </row>
    <row r="28" spans="1:12">
      <c r="A28" s="65"/>
      <c r="B28" s="82" t="s">
        <v>127</v>
      </c>
      <c r="C28" s="64"/>
      <c r="D28" s="78"/>
      <c r="E28" s="78"/>
      <c r="F28" s="252"/>
      <c r="G28" s="252"/>
      <c r="H28" s="252"/>
      <c r="I28" s="64"/>
      <c r="J28" s="124">
        <f>+'Adaytum  Detail 2002'!E63</f>
        <v>0</v>
      </c>
      <c r="K28" s="164"/>
      <c r="L28" s="66"/>
    </row>
    <row r="29" spans="1:12">
      <c r="A29" s="65"/>
      <c r="B29" s="82" t="s">
        <v>128</v>
      </c>
      <c r="C29" s="64"/>
      <c r="D29" s="78"/>
      <c r="E29" s="78"/>
      <c r="F29" s="252"/>
      <c r="G29" s="252"/>
      <c r="H29" s="252"/>
      <c r="I29" s="64"/>
      <c r="J29" s="124">
        <f>+'Adaytum  Detail 2002'!E64</f>
        <v>0</v>
      </c>
      <c r="K29" s="164"/>
      <c r="L29" s="66"/>
    </row>
    <row r="30" spans="1:12">
      <c r="A30" s="65"/>
      <c r="B30" s="82" t="s">
        <v>129</v>
      </c>
      <c r="C30" s="64"/>
      <c r="D30" s="78"/>
      <c r="E30" s="78"/>
      <c r="F30" s="252"/>
      <c r="G30" s="252"/>
      <c r="H30" s="252"/>
      <c r="I30" s="64"/>
      <c r="J30" s="124">
        <f>+'Adaytum  Detail 2002'!E65</f>
        <v>0</v>
      </c>
      <c r="K30" s="164"/>
      <c r="L30" s="66"/>
    </row>
    <row r="31" spans="1:12">
      <c r="A31" s="65"/>
      <c r="B31" s="82" t="s">
        <v>130</v>
      </c>
      <c r="C31" s="64"/>
      <c r="D31" s="64"/>
      <c r="E31" s="78"/>
      <c r="F31" s="252"/>
      <c r="G31" s="252"/>
      <c r="H31" s="252"/>
      <c r="I31" s="64"/>
      <c r="J31" s="124">
        <f>+'Adaytum  Detail 2002'!E66</f>
        <v>0</v>
      </c>
      <c r="K31" s="164"/>
      <c r="L31" s="66"/>
    </row>
    <row r="32" spans="1:12">
      <c r="A32" s="65"/>
      <c r="B32" s="82" t="s">
        <v>45</v>
      </c>
      <c r="C32" s="64"/>
      <c r="D32" s="64"/>
      <c r="E32" s="78"/>
      <c r="F32" s="252"/>
      <c r="G32" s="252"/>
      <c r="H32" s="252"/>
      <c r="I32" s="64"/>
      <c r="J32" s="124">
        <f>+'Adaytum  Detail 2002'!E67</f>
        <v>0</v>
      </c>
      <c r="K32" s="164"/>
      <c r="L32" s="66"/>
    </row>
    <row r="33" spans="1:12">
      <c r="A33" s="65"/>
      <c r="B33" s="82"/>
      <c r="C33" s="64"/>
      <c r="D33" s="93"/>
      <c r="E33" s="93"/>
      <c r="F33" s="93"/>
      <c r="G33" s="64"/>
      <c r="H33" s="64"/>
      <c r="I33" s="64"/>
      <c r="J33" s="64"/>
      <c r="K33" s="164"/>
      <c r="L33" s="66"/>
    </row>
    <row r="34" spans="1:12">
      <c r="A34" s="65"/>
      <c r="B34" s="82"/>
      <c r="C34" s="64"/>
      <c r="D34" s="83"/>
      <c r="E34" s="83"/>
      <c r="F34" s="93"/>
      <c r="G34" s="64"/>
      <c r="H34" s="64"/>
      <c r="I34" s="64"/>
      <c r="J34" s="64"/>
      <c r="K34" s="164"/>
      <c r="L34" s="66"/>
    </row>
    <row r="35" spans="1:12" ht="14.4" thickBot="1">
      <c r="A35" s="65"/>
      <c r="B35" s="95" t="s">
        <v>56</v>
      </c>
      <c r="C35" s="96"/>
      <c r="D35" s="97"/>
      <c r="E35" s="97"/>
      <c r="F35" s="98">
        <f>+'Input Data'!F41</f>
        <v>14137</v>
      </c>
      <c r="G35" s="96"/>
      <c r="H35" s="98">
        <v>162519</v>
      </c>
      <c r="I35" s="107"/>
      <c r="J35" s="98">
        <f>SUM(J27:J32)</f>
        <v>100000</v>
      </c>
      <c r="K35" s="165"/>
      <c r="L35" s="66"/>
    </row>
    <row r="36" spans="1:12" ht="7.5" customHeight="1" thickBot="1">
      <c r="A36" s="65"/>
      <c r="B36" s="87"/>
      <c r="C36" s="88"/>
      <c r="D36" s="88"/>
      <c r="E36" s="88"/>
      <c r="F36" s="88"/>
      <c r="G36" s="88"/>
      <c r="H36" s="88"/>
      <c r="I36" s="88"/>
      <c r="J36" s="88"/>
      <c r="K36" s="162"/>
      <c r="L36" s="66"/>
    </row>
    <row r="37" spans="1:12" ht="15" customHeight="1" thickTop="1" thickBot="1">
      <c r="A37" s="65"/>
      <c r="B37" s="72"/>
      <c r="C37" s="64"/>
      <c r="D37" s="78"/>
      <c r="E37" s="78"/>
      <c r="F37" s="93"/>
      <c r="G37" s="64"/>
      <c r="H37" s="64"/>
      <c r="I37" s="64"/>
      <c r="J37" s="64"/>
      <c r="K37" s="64"/>
      <c r="L37" s="66"/>
    </row>
    <row r="38" spans="1:12" ht="15" customHeight="1" thickTop="1">
      <c r="A38" s="65"/>
      <c r="B38" s="100"/>
      <c r="C38" s="74"/>
      <c r="D38" s="74"/>
      <c r="E38" s="74"/>
      <c r="F38" s="74"/>
      <c r="G38" s="74"/>
      <c r="H38" s="74"/>
      <c r="I38" s="74"/>
      <c r="J38" s="74"/>
      <c r="K38" s="163"/>
      <c r="L38" s="66"/>
    </row>
    <row r="39" spans="1:12" ht="15" customHeight="1">
      <c r="A39" s="65"/>
      <c r="B39" s="77" t="s">
        <v>57</v>
      </c>
      <c r="C39" s="64"/>
      <c r="D39" s="78"/>
      <c r="E39" s="78"/>
      <c r="F39" s="93"/>
      <c r="G39" s="64"/>
      <c r="H39" s="64"/>
      <c r="I39" s="64"/>
      <c r="J39" s="64"/>
      <c r="K39" s="164"/>
      <c r="L39" s="66"/>
    </row>
    <row r="40" spans="1:12" ht="15" customHeight="1">
      <c r="A40" s="65"/>
      <c r="B40" s="91"/>
      <c r="C40" s="64"/>
      <c r="D40" s="78"/>
      <c r="E40" s="78"/>
      <c r="F40" s="93"/>
      <c r="G40" s="64"/>
      <c r="H40" s="64"/>
      <c r="I40" s="64"/>
      <c r="J40" s="64"/>
      <c r="K40" s="164"/>
      <c r="L40" s="66"/>
    </row>
    <row r="41" spans="1:12" ht="15" customHeight="1">
      <c r="A41" s="65"/>
      <c r="B41" s="82" t="s">
        <v>131</v>
      </c>
      <c r="C41" s="64"/>
      <c r="D41" s="78"/>
      <c r="E41" s="78"/>
      <c r="F41" s="252"/>
      <c r="G41" s="252"/>
      <c r="H41" s="252"/>
      <c r="I41" s="64"/>
      <c r="J41" s="124">
        <f>+'Adaytum  Detail 2002'!E77</f>
        <v>102406</v>
      </c>
      <c r="K41" s="948" t="s">
        <v>709</v>
      </c>
      <c r="L41" s="66"/>
    </row>
    <row r="42" spans="1:12" ht="15" customHeight="1">
      <c r="A42" s="65"/>
      <c r="B42" s="82" t="s">
        <v>132</v>
      </c>
      <c r="C42" s="64"/>
      <c r="D42" s="78"/>
      <c r="E42" s="78"/>
      <c r="F42" s="252"/>
      <c r="G42" s="252"/>
      <c r="H42" s="252"/>
      <c r="I42" s="64"/>
      <c r="J42" s="124">
        <f>+'Adaytum  Detail 2002'!E78</f>
        <v>0</v>
      </c>
      <c r="K42" s="164"/>
      <c r="L42" s="66"/>
    </row>
    <row r="43" spans="1:12" ht="15" customHeight="1">
      <c r="A43" s="65"/>
      <c r="B43" s="82" t="s">
        <v>133</v>
      </c>
      <c r="C43" s="64"/>
      <c r="D43" s="78"/>
      <c r="E43" s="78"/>
      <c r="F43" s="252"/>
      <c r="G43" s="252"/>
      <c r="H43" s="252"/>
      <c r="I43" s="64"/>
      <c r="J43" s="124">
        <f>+'Adaytum  Detail 2002'!E79</f>
        <v>20000</v>
      </c>
      <c r="K43" s="164" t="s">
        <v>698</v>
      </c>
      <c r="L43" s="66"/>
    </row>
    <row r="44" spans="1:12" ht="15" customHeight="1">
      <c r="A44" s="65"/>
      <c r="B44" s="82" t="s">
        <v>134</v>
      </c>
      <c r="C44" s="64"/>
      <c r="D44" s="78"/>
      <c r="E44" s="78"/>
      <c r="F44" s="252"/>
      <c r="G44" s="252"/>
      <c r="H44" s="252"/>
      <c r="I44" s="64"/>
      <c r="J44" s="124">
        <f>+'Adaytum  Detail 2002'!E80</f>
        <v>0</v>
      </c>
      <c r="K44" s="164"/>
      <c r="L44" s="66"/>
    </row>
    <row r="45" spans="1:12" ht="15" customHeight="1">
      <c r="A45" s="65"/>
      <c r="B45" s="82" t="s">
        <v>135</v>
      </c>
      <c r="C45" s="64"/>
      <c r="D45" s="64"/>
      <c r="E45" s="78"/>
      <c r="F45" s="252"/>
      <c r="G45" s="252"/>
      <c r="H45" s="252"/>
      <c r="I45" s="64"/>
      <c r="J45" s="124">
        <f>+'Adaytum  Detail 2002'!E81</f>
        <v>0</v>
      </c>
      <c r="K45" s="164"/>
      <c r="L45" s="66"/>
    </row>
    <row r="46" spans="1:12" ht="15" customHeight="1">
      <c r="A46" s="65"/>
      <c r="B46" s="82" t="s">
        <v>136</v>
      </c>
      <c r="C46" s="64"/>
      <c r="D46" s="64"/>
      <c r="E46" s="78"/>
      <c r="F46" s="252"/>
      <c r="G46" s="252"/>
      <c r="H46" s="252"/>
      <c r="I46" s="64"/>
      <c r="J46" s="124">
        <f>+'Adaytum  Detail 2002'!E82</f>
        <v>0</v>
      </c>
      <c r="K46" s="164"/>
      <c r="L46" s="66"/>
    </row>
    <row r="47" spans="1:12" ht="15" customHeight="1">
      <c r="A47" s="65"/>
      <c r="B47" s="82" t="s">
        <v>137</v>
      </c>
      <c r="C47" s="64"/>
      <c r="D47" s="64"/>
      <c r="E47" s="78"/>
      <c r="F47" s="252"/>
      <c r="G47" s="252"/>
      <c r="H47" s="252"/>
      <c r="I47" s="64"/>
      <c r="J47" s="124">
        <v>0</v>
      </c>
      <c r="K47" s="164"/>
      <c r="L47" s="66"/>
    </row>
    <row r="48" spans="1:12" ht="15" customHeight="1">
      <c r="A48" s="65"/>
      <c r="B48" s="82"/>
      <c r="C48" s="64"/>
      <c r="D48" s="93"/>
      <c r="E48" s="93"/>
      <c r="F48" s="93"/>
      <c r="G48" s="64"/>
      <c r="H48" s="64"/>
      <c r="I48" s="64"/>
      <c r="J48" s="64"/>
      <c r="K48" s="164"/>
      <c r="L48" s="66"/>
    </row>
    <row r="49" spans="1:12" ht="15" customHeight="1">
      <c r="A49" s="65"/>
      <c r="B49" s="82"/>
      <c r="C49" s="64"/>
      <c r="D49" s="83"/>
      <c r="E49" s="83"/>
      <c r="F49" s="93"/>
      <c r="G49" s="64"/>
      <c r="H49" s="64"/>
      <c r="I49" s="64"/>
      <c r="J49" s="64"/>
      <c r="K49" s="164"/>
      <c r="L49" s="66"/>
    </row>
    <row r="50" spans="1:12" ht="15" customHeight="1" thickBot="1">
      <c r="A50" s="65"/>
      <c r="B50" s="95" t="s">
        <v>43</v>
      </c>
      <c r="C50" s="96"/>
      <c r="D50" s="97"/>
      <c r="E50" s="97"/>
      <c r="F50" s="98">
        <v>0</v>
      </c>
      <c r="G50" s="96"/>
      <c r="H50" s="98">
        <v>195750</v>
      </c>
      <c r="I50" s="107"/>
      <c r="J50" s="98">
        <f>SUM(J41:J47)</f>
        <v>122406</v>
      </c>
      <c r="K50" s="165"/>
      <c r="L50" s="66"/>
    </row>
    <row r="51" spans="1:12" ht="15" customHeight="1" thickBot="1">
      <c r="A51" s="65"/>
      <c r="B51" s="87"/>
      <c r="C51" s="88"/>
      <c r="D51" s="88"/>
      <c r="E51" s="88"/>
      <c r="F51" s="88"/>
      <c r="G51" s="88"/>
      <c r="H51" s="88"/>
      <c r="I51" s="88"/>
      <c r="J51" s="88"/>
      <c r="K51" s="162"/>
      <c r="L51" s="66"/>
    </row>
    <row r="52" spans="1:12" ht="15" customHeight="1" thickTop="1" thickBot="1">
      <c r="A52" s="65"/>
      <c r="B52" s="72"/>
      <c r="C52" s="64"/>
      <c r="D52" s="78"/>
      <c r="E52" s="78"/>
      <c r="F52" s="93"/>
      <c r="G52" s="64"/>
      <c r="H52" s="64"/>
      <c r="I52" s="64"/>
      <c r="J52" s="64"/>
      <c r="K52" s="64"/>
      <c r="L52" s="66"/>
    </row>
    <row r="53" spans="1:12" ht="7.5" customHeight="1" thickTop="1">
      <c r="A53" s="65"/>
      <c r="B53" s="73"/>
      <c r="C53" s="74"/>
      <c r="D53" s="75"/>
      <c r="E53" s="75"/>
      <c r="F53" s="102"/>
      <c r="G53" s="74"/>
      <c r="H53" s="74"/>
      <c r="I53" s="74"/>
      <c r="J53" s="74"/>
      <c r="K53" s="163"/>
      <c r="L53" s="66"/>
    </row>
    <row r="54" spans="1:12" ht="13.8">
      <c r="A54" s="65"/>
      <c r="B54" s="77" t="s">
        <v>44</v>
      </c>
      <c r="C54" s="64"/>
      <c r="D54" s="78"/>
      <c r="E54" s="78"/>
      <c r="F54" s="93"/>
      <c r="G54" s="64"/>
      <c r="H54" s="64"/>
      <c r="I54" s="64"/>
      <c r="J54" s="64"/>
      <c r="K54" s="164"/>
      <c r="L54" s="66"/>
    </row>
    <row r="55" spans="1:12" ht="13.8">
      <c r="A55" s="65"/>
      <c r="B55" s="77"/>
      <c r="C55" s="64"/>
      <c r="D55" s="78"/>
      <c r="E55" s="78"/>
      <c r="F55" s="93"/>
      <c r="G55" s="64"/>
      <c r="H55" s="64"/>
      <c r="I55" s="64"/>
      <c r="J55" s="64"/>
      <c r="K55" s="164"/>
      <c r="L55" s="66"/>
    </row>
    <row r="56" spans="1:12">
      <c r="A56" s="65"/>
      <c r="B56" s="82" t="s">
        <v>81</v>
      </c>
      <c r="C56" s="64"/>
      <c r="D56" s="78"/>
      <c r="E56" s="78"/>
      <c r="F56" s="252"/>
      <c r="G56" s="252"/>
      <c r="H56" s="252"/>
      <c r="I56" s="64"/>
      <c r="J56" s="434">
        <f>+'Adaytum  Detail 2002'!E86</f>
        <v>20000</v>
      </c>
      <c r="K56" s="164" t="s">
        <v>697</v>
      </c>
      <c r="L56" s="66"/>
    </row>
    <row r="57" spans="1:12">
      <c r="A57" s="65"/>
      <c r="B57" s="82"/>
      <c r="C57" s="64"/>
      <c r="D57" s="93"/>
      <c r="E57" s="93"/>
      <c r="F57" s="93"/>
      <c r="G57" s="64"/>
      <c r="H57" s="64"/>
      <c r="I57" s="64"/>
      <c r="J57" s="64"/>
      <c r="K57" s="164"/>
      <c r="L57" s="66"/>
    </row>
    <row r="58" spans="1:12">
      <c r="A58" s="65"/>
      <c r="B58" s="82"/>
      <c r="C58" s="64"/>
      <c r="D58" s="93"/>
      <c r="E58" s="93"/>
      <c r="F58" s="93"/>
      <c r="G58" s="64"/>
      <c r="H58" s="64"/>
      <c r="I58" s="64"/>
      <c r="J58" s="64"/>
      <c r="K58" s="164"/>
      <c r="L58" s="66"/>
    </row>
    <row r="59" spans="1:12" ht="14.4" thickBot="1">
      <c r="A59" s="65"/>
      <c r="B59" s="95" t="s">
        <v>71</v>
      </c>
      <c r="C59" s="64"/>
      <c r="D59" s="64"/>
      <c r="E59" s="64"/>
      <c r="F59" s="98">
        <f>+'Input Data'!F45</f>
        <v>41886</v>
      </c>
      <c r="G59" s="96"/>
      <c r="H59" s="98">
        <v>40275</v>
      </c>
      <c r="I59" s="107"/>
      <c r="J59" s="98">
        <f>SUM(J56:J58)</f>
        <v>20000</v>
      </c>
      <c r="K59" s="165"/>
      <c r="L59" s="66"/>
    </row>
    <row r="60" spans="1:12" ht="21.75" customHeight="1" thickBot="1">
      <c r="A60" s="65"/>
      <c r="B60" s="87"/>
      <c r="C60" s="88"/>
      <c r="D60" s="88"/>
      <c r="E60" s="88"/>
      <c r="F60" s="88"/>
      <c r="G60" s="88"/>
      <c r="H60" s="88"/>
      <c r="I60" s="88"/>
      <c r="J60" s="88"/>
      <c r="K60" s="162"/>
      <c r="L60" s="66"/>
    </row>
    <row r="61" spans="1:12" ht="7.5" customHeight="1" thickTop="1">
      <c r="A61" s="65"/>
      <c r="B61" s="64"/>
      <c r="C61" s="64"/>
      <c r="D61" s="64"/>
      <c r="E61" s="64"/>
      <c r="F61" s="64"/>
      <c r="G61" s="64"/>
      <c r="H61" s="64"/>
      <c r="I61" s="64"/>
      <c r="J61" s="64"/>
      <c r="K61" s="64"/>
      <c r="L61" s="66"/>
    </row>
    <row r="62" spans="1:12" ht="16.5" customHeight="1">
      <c r="A62" s="65"/>
      <c r="B62" s="108" t="s">
        <v>176</v>
      </c>
      <c r="C62" s="64"/>
      <c r="D62" s="78"/>
      <c r="E62" s="78"/>
      <c r="F62" s="93">
        <f>+'Input Data'!F47</f>
        <v>0</v>
      </c>
      <c r="G62" s="64"/>
      <c r="H62" s="93">
        <f>+'Adaytum by Month'!Q39</f>
        <v>0</v>
      </c>
      <c r="I62" s="64"/>
      <c r="J62" s="320">
        <f>+'Adaytum  Detail 2002'!F99</f>
        <v>0</v>
      </c>
      <c r="K62" s="64"/>
      <c r="L62" s="66"/>
    </row>
    <row r="63" spans="1:12" ht="14.25" customHeight="1">
      <c r="A63" s="65"/>
      <c r="B63" s="72"/>
      <c r="C63" s="64"/>
      <c r="D63" s="78"/>
      <c r="E63" s="78"/>
      <c r="F63" s="64"/>
      <c r="G63" s="64"/>
      <c r="H63" s="64"/>
      <c r="I63" s="64"/>
      <c r="J63" s="64"/>
      <c r="K63" s="64"/>
      <c r="L63" s="66"/>
    </row>
    <row r="64" spans="1:12" ht="20.25" customHeight="1" thickBot="1">
      <c r="A64" s="65"/>
      <c r="B64" s="108" t="s">
        <v>58</v>
      </c>
      <c r="C64" s="64"/>
      <c r="D64" s="78"/>
      <c r="E64" s="78"/>
      <c r="F64" s="109">
        <f>+'Expense Detail (2)'!F26+'Expense Detail (2)'!F46+'Expense Detail (3)'!F21+'Expense Detail (3)'!F35+'Expense Detail (3)'!F50+'Expense Detail (3)'!F59+F62+'Expense Detail'!F56</f>
        <v>1687656</v>
      </c>
      <c r="G64" s="110"/>
      <c r="H64" s="109">
        <f>+'Expense Detail (2)'!H26+'Expense Detail (2)'!H46+'Expense Detail (3)'!H21+'Expense Detail (3)'!H35+'Expense Detail (3)'!H50+'Expense Detail (3)'!H59+H62+'Expense Detail'!H56</f>
        <v>2450318</v>
      </c>
      <c r="I64" s="107"/>
      <c r="J64" s="109">
        <f>+'Expense Detail (2)'!J26+'Expense Detail (2)'!J46+'Expense Detail (3)'!J21+'Expense Detail (3)'!J35+'Expense Detail (3)'!J50+'Expense Detail (3)'!J59+J62+'Expense Detail'!J56</f>
        <v>1290662</v>
      </c>
      <c r="K64" s="107"/>
      <c r="L64" s="66"/>
    </row>
    <row r="65" spans="1:12" ht="6" customHeight="1">
      <c r="A65" s="65"/>
      <c r="B65" s="72"/>
      <c r="C65" s="64"/>
      <c r="D65" s="78"/>
      <c r="E65" s="78"/>
      <c r="F65" s="64"/>
      <c r="G65" s="64"/>
      <c r="H65" s="64"/>
      <c r="I65" s="64"/>
      <c r="J65" s="64"/>
      <c r="K65" s="64"/>
      <c r="L65" s="66"/>
    </row>
    <row r="66" spans="1:12" ht="18" customHeight="1">
      <c r="A66" s="65"/>
      <c r="B66" s="111" t="s">
        <v>59</v>
      </c>
      <c r="C66" s="112"/>
      <c r="D66" s="113"/>
      <c r="E66" s="113"/>
      <c r="F66" s="114">
        <f>+F64+'Expense Detail'!F10</f>
        <v>5194853</v>
      </c>
      <c r="G66" s="64"/>
      <c r="H66" s="114">
        <f>+H64+'Expense Detail'!H10</f>
        <v>5185610</v>
      </c>
      <c r="I66" s="114"/>
      <c r="J66" s="114">
        <f>+J64+'Expense Detail'!J10</f>
        <v>2674837</v>
      </c>
      <c r="K66" s="114"/>
      <c r="L66" s="66"/>
    </row>
    <row r="67" spans="1:12" ht="5.25" customHeight="1" thickBot="1">
      <c r="A67" s="65"/>
      <c r="B67" s="72"/>
      <c r="C67" s="64"/>
      <c r="D67" s="78"/>
      <c r="E67" s="78"/>
      <c r="F67" s="88"/>
      <c r="G67" s="64"/>
      <c r="H67" s="88"/>
      <c r="I67" s="64"/>
      <c r="J67" s="88"/>
      <c r="K67" s="90"/>
      <c r="L67" s="66"/>
    </row>
    <row r="68" spans="1:12" ht="19.5" customHeight="1" thickTop="1" thickBot="1">
      <c r="A68" s="118"/>
      <c r="B68" s="115"/>
      <c r="C68" s="116"/>
      <c r="D68" s="117"/>
      <c r="E68" s="117"/>
      <c r="F68" s="116"/>
      <c r="G68" s="116"/>
      <c r="H68" s="116"/>
      <c r="I68" s="116"/>
      <c r="J68" s="116"/>
      <c r="K68" s="116"/>
      <c r="L68" s="119"/>
    </row>
    <row r="69" spans="1:12">
      <c r="B69" s="120"/>
      <c r="D69" s="122"/>
      <c r="E69" s="122"/>
    </row>
    <row r="70" spans="1:12">
      <c r="B70" s="120"/>
      <c r="D70" s="122"/>
      <c r="E70" s="122"/>
    </row>
    <row r="71" spans="1:12">
      <c r="B71" s="120"/>
      <c r="D71" s="122"/>
      <c r="E71" s="122"/>
    </row>
    <row r="72" spans="1:12">
      <c r="B72" s="120"/>
      <c r="D72" s="122"/>
      <c r="E72" s="122"/>
    </row>
    <row r="73" spans="1:12">
      <c r="D73" s="122"/>
      <c r="E73" s="122"/>
    </row>
    <row r="74" spans="1:12">
      <c r="D74" s="122"/>
      <c r="E74" s="122"/>
    </row>
    <row r="75" spans="1:12">
      <c r="D75" s="122"/>
      <c r="E75" s="122"/>
    </row>
    <row r="76" spans="1:12">
      <c r="D76" s="122"/>
      <c r="E76" s="122"/>
    </row>
    <row r="77" spans="1:12">
      <c r="D77" s="122"/>
      <c r="E77"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55" orientation="landscape" r:id="rId1"/>
  <headerFooter alignWithMargins="0">
    <oddFooter>&amp;L&amp;9Page 13&amp;C&amp;9 Source : Financial Planning and Analysis&amp;R&amp;9Printed : &amp;D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Y558"/>
  <sheetViews>
    <sheetView topLeftCell="A2" zoomScale="75" zoomScaleNormal="75" workbookViewId="0">
      <selection activeCell="I36" sqref="I36"/>
    </sheetView>
  </sheetViews>
  <sheetFormatPr defaultColWidth="9.109375" defaultRowHeight="13.2"/>
  <cols>
    <col min="1" max="1" width="9.109375" style="7"/>
    <col min="2" max="2" width="15.109375" style="7" customWidth="1"/>
    <col min="3" max="3" width="14.33203125" style="7" customWidth="1"/>
    <col min="4" max="4" width="14.44140625" style="7" customWidth="1"/>
    <col min="5" max="5" width="9.44140625" style="7" hidden="1" customWidth="1"/>
    <col min="6" max="6" width="13.6640625" style="7" customWidth="1"/>
    <col min="7" max="7" width="14.33203125" style="7" customWidth="1"/>
    <col min="8" max="8" width="1.5546875" style="7" customWidth="1"/>
    <col min="9" max="9" width="15.109375" style="7" customWidth="1"/>
    <col min="10" max="10" width="16.33203125" style="7" customWidth="1"/>
    <col min="11" max="11" width="1.88671875" style="7" customWidth="1"/>
    <col min="12" max="12" width="15" style="7" customWidth="1"/>
    <col min="13" max="13" width="14.88671875" style="7" customWidth="1"/>
    <col min="14" max="103" width="9.109375" style="16"/>
    <col min="104" max="16384" width="9.109375" style="7"/>
  </cols>
  <sheetData>
    <row r="1" spans="1:14">
      <c r="A1" s="195"/>
      <c r="B1" s="196"/>
      <c r="C1" s="196"/>
      <c r="D1" s="196"/>
      <c r="E1" s="196"/>
      <c r="F1" s="196"/>
      <c r="G1" s="196"/>
      <c r="H1" s="196"/>
      <c r="I1" s="196"/>
      <c r="J1" s="196"/>
      <c r="K1" s="196"/>
      <c r="L1" s="196"/>
      <c r="M1" s="166"/>
    </row>
    <row r="2" spans="1:14">
      <c r="A2" s="197"/>
      <c r="B2" s="127"/>
      <c r="C2" s="127"/>
      <c r="D2" s="127"/>
      <c r="E2" s="127"/>
      <c r="F2" s="127"/>
      <c r="G2" s="127"/>
      <c r="H2" s="127"/>
      <c r="I2" s="127"/>
      <c r="J2" s="127"/>
      <c r="K2" s="127"/>
      <c r="L2" s="127"/>
      <c r="M2" s="167"/>
    </row>
    <row r="3" spans="1:14">
      <c r="A3" s="197"/>
      <c r="B3" s="127"/>
      <c r="C3" s="127"/>
      <c r="D3" s="127"/>
      <c r="E3" s="127"/>
      <c r="F3" s="127"/>
      <c r="G3" s="127"/>
      <c r="H3" s="127"/>
      <c r="I3" s="127"/>
      <c r="J3" s="127"/>
      <c r="K3" s="127"/>
      <c r="L3" s="127"/>
      <c r="M3" s="167"/>
    </row>
    <row r="4" spans="1:14">
      <c r="A4" s="197"/>
      <c r="B4" s="127"/>
      <c r="C4" s="127"/>
      <c r="D4" s="127"/>
      <c r="E4" s="127"/>
      <c r="F4" s="127"/>
      <c r="G4" s="127"/>
      <c r="H4" s="127"/>
      <c r="I4" s="127"/>
      <c r="J4" s="127"/>
      <c r="K4" s="127"/>
      <c r="L4" s="127"/>
      <c r="M4" s="167"/>
    </row>
    <row r="5" spans="1:14">
      <c r="A5" s="197"/>
      <c r="B5" s="127"/>
      <c r="C5" s="127"/>
      <c r="D5" s="127"/>
      <c r="E5" s="127"/>
      <c r="F5" s="127"/>
      <c r="G5" s="127"/>
      <c r="H5" s="127"/>
      <c r="I5" s="127"/>
      <c r="J5" s="127"/>
      <c r="K5" s="127"/>
      <c r="L5" s="127"/>
      <c r="M5" s="167"/>
    </row>
    <row r="6" spans="1:14">
      <c r="A6" s="197"/>
      <c r="B6" s="127"/>
      <c r="C6" s="127"/>
      <c r="D6" s="127"/>
      <c r="E6" s="127"/>
      <c r="F6" s="127"/>
      <c r="G6" s="127"/>
      <c r="H6" s="127"/>
      <c r="I6" s="127"/>
      <c r="J6" s="127"/>
      <c r="K6" s="127"/>
      <c r="L6" s="127"/>
      <c r="M6" s="167"/>
    </row>
    <row r="7" spans="1:14">
      <c r="A7" s="197"/>
      <c r="B7" s="127"/>
      <c r="C7" s="127"/>
      <c r="D7" s="127"/>
      <c r="E7" s="127"/>
      <c r="F7" s="127"/>
      <c r="G7" s="127"/>
      <c r="H7" s="127"/>
      <c r="I7" s="127"/>
      <c r="J7" s="127"/>
      <c r="K7" s="127"/>
      <c r="L7" s="127"/>
      <c r="M7" s="167"/>
    </row>
    <row r="8" spans="1:14">
      <c r="A8" s="342"/>
      <c r="B8" s="343"/>
      <c r="C8" s="127"/>
      <c r="D8" s="127"/>
      <c r="E8" s="127"/>
      <c r="F8" s="127"/>
      <c r="G8" s="127"/>
      <c r="H8" s="127"/>
      <c r="I8" s="127"/>
      <c r="J8" s="127"/>
      <c r="K8" s="343"/>
      <c r="L8" s="343"/>
      <c r="M8" s="344"/>
      <c r="N8" s="345"/>
    </row>
    <row r="9" spans="1:14">
      <c r="A9" s="342"/>
      <c r="B9" s="343"/>
      <c r="C9" s="127"/>
      <c r="D9" s="127"/>
      <c r="E9" s="127"/>
      <c r="F9" s="127"/>
      <c r="G9" s="343"/>
      <c r="H9" s="343"/>
      <c r="I9" s="343"/>
      <c r="J9" s="343"/>
      <c r="K9" s="343"/>
      <c r="L9" s="343"/>
      <c r="M9" s="344"/>
      <c r="N9" s="345"/>
    </row>
    <row r="10" spans="1:14" ht="13.8" thickBot="1">
      <c r="A10" s="342"/>
      <c r="B10" s="343"/>
      <c r="C10" s="343"/>
      <c r="D10" s="343"/>
      <c r="E10" s="343"/>
      <c r="F10" s="343"/>
      <c r="G10" s="343"/>
      <c r="H10" s="343"/>
      <c r="I10" s="343"/>
      <c r="J10" s="343"/>
      <c r="K10" s="343"/>
      <c r="L10" s="343"/>
      <c r="M10" s="344"/>
      <c r="N10" s="345"/>
    </row>
    <row r="11" spans="1:14">
      <c r="A11" s="395" t="s">
        <v>183</v>
      </c>
      <c r="B11" s="343"/>
      <c r="C11" s="594" t="s">
        <v>184</v>
      </c>
      <c r="D11" s="465" t="s">
        <v>185</v>
      </c>
      <c r="E11" s="465" t="s">
        <v>186</v>
      </c>
      <c r="F11" s="464" t="s">
        <v>187</v>
      </c>
      <c r="G11" s="464" t="s">
        <v>174</v>
      </c>
      <c r="H11" s="464"/>
      <c r="I11" s="464" t="s">
        <v>174</v>
      </c>
      <c r="J11" s="464" t="s">
        <v>188</v>
      </c>
      <c r="K11" s="464"/>
      <c r="L11" s="464" t="s">
        <v>174</v>
      </c>
      <c r="M11" s="466" t="s">
        <v>188</v>
      </c>
      <c r="N11" s="345"/>
    </row>
    <row r="12" spans="1:14" ht="13.8" thickBot="1">
      <c r="A12" s="395" t="s">
        <v>189</v>
      </c>
      <c r="B12" s="652"/>
      <c r="C12" s="595" t="s">
        <v>273</v>
      </c>
      <c r="D12" s="468" t="s">
        <v>190</v>
      </c>
      <c r="E12" s="468" t="s">
        <v>191</v>
      </c>
      <c r="F12" s="467" t="s">
        <v>192</v>
      </c>
      <c r="G12" s="467" t="s">
        <v>193</v>
      </c>
      <c r="H12" s="467"/>
      <c r="I12" s="467" t="s">
        <v>194</v>
      </c>
      <c r="J12" s="467" t="s">
        <v>195</v>
      </c>
      <c r="K12" s="467"/>
      <c r="L12" s="467" t="s">
        <v>196</v>
      </c>
      <c r="M12" s="469" t="s">
        <v>197</v>
      </c>
      <c r="N12" s="345"/>
    </row>
    <row r="13" spans="1:14" hidden="1">
      <c r="A13" s="342"/>
      <c r="B13" s="343"/>
      <c r="C13" s="396" t="s">
        <v>198</v>
      </c>
      <c r="D13" s="397" t="s">
        <v>199</v>
      </c>
      <c r="E13" s="397" t="s">
        <v>200</v>
      </c>
      <c r="F13" s="398" t="s">
        <v>201</v>
      </c>
      <c r="G13" s="399" t="s">
        <v>202</v>
      </c>
      <c r="H13" s="399" t="s">
        <v>203</v>
      </c>
      <c r="I13" s="400" t="s">
        <v>204</v>
      </c>
      <c r="J13" s="399" t="s">
        <v>205</v>
      </c>
      <c r="K13" s="399" t="s">
        <v>206</v>
      </c>
      <c r="L13" s="397" t="s">
        <v>207</v>
      </c>
      <c r="M13" s="401" t="s">
        <v>208</v>
      </c>
      <c r="N13" s="402"/>
    </row>
    <row r="14" spans="1:14">
      <c r="A14" s="342"/>
      <c r="B14" s="343"/>
      <c r="C14" s="403"/>
      <c r="D14" s="402"/>
      <c r="E14" s="402"/>
      <c r="F14" s="301"/>
      <c r="G14" s="598"/>
      <c r="H14" s="403"/>
      <c r="I14" s="302"/>
      <c r="J14" s="403"/>
      <c r="K14" s="403"/>
      <c r="L14" s="402"/>
      <c r="M14" s="404"/>
      <c r="N14" s="345"/>
    </row>
    <row r="15" spans="1:14">
      <c r="A15" s="342" t="s">
        <v>48</v>
      </c>
      <c r="B15" s="343"/>
      <c r="C15" s="406">
        <v>1823528</v>
      </c>
      <c r="D15" s="405">
        <f>+F15-C15</f>
        <v>-553500</v>
      </c>
      <c r="E15" s="405"/>
      <c r="F15" s="414">
        <f>+G15/12*8</f>
        <v>1270028</v>
      </c>
      <c r="G15" s="593">
        <v>1905042</v>
      </c>
      <c r="H15" s="406"/>
      <c r="I15" s="303">
        <f>+'Mnth Appendices 2002 Plan '!O24</f>
        <v>3074294.1866666675</v>
      </c>
      <c r="J15" s="406">
        <f t="shared" ref="J15:J23" si="0">$G15-I15</f>
        <v>-1169252.1866666675</v>
      </c>
      <c r="K15" s="406"/>
      <c r="L15" s="405">
        <f>+'Adaytum by Month'!O47</f>
        <v>5290890.5783582088</v>
      </c>
      <c r="M15" s="407">
        <f t="shared" ref="M15:M23" si="1">$G15-L15</f>
        <v>-3385848.5783582088</v>
      </c>
      <c r="N15" s="345"/>
    </row>
    <row r="16" spans="1:14">
      <c r="A16" s="342" t="s">
        <v>3</v>
      </c>
      <c r="B16" s="343"/>
      <c r="C16" s="406">
        <v>257381</v>
      </c>
      <c r="D16" s="405"/>
      <c r="E16" s="405"/>
      <c r="F16" s="414">
        <f t="shared" ref="F16:F23" si="2">C16-D16-E16</f>
        <v>257381</v>
      </c>
      <c r="G16" s="593">
        <f t="shared" ref="G16:G23" si="3">+F16/8*12</f>
        <v>386071.5</v>
      </c>
      <c r="H16" s="406"/>
      <c r="I16" s="303">
        <f>+'Mnth Appendices 2002 Plan '!O25</f>
        <v>1052440.31</v>
      </c>
      <c r="J16" s="406">
        <f t="shared" si="0"/>
        <v>-666368.81000000006</v>
      </c>
      <c r="K16" s="406"/>
      <c r="L16" s="405">
        <f>+'Adaytum by Month'!O48</f>
        <v>1994029.8507462661</v>
      </c>
      <c r="M16" s="407">
        <f t="shared" si="1"/>
        <v>-1607958.3507462661</v>
      </c>
      <c r="N16" s="345"/>
    </row>
    <row r="17" spans="1:14">
      <c r="A17" s="342" t="s">
        <v>40</v>
      </c>
      <c r="B17" s="343"/>
      <c r="C17" s="406">
        <v>14092</v>
      </c>
      <c r="D17" s="405"/>
      <c r="E17" s="405"/>
      <c r="F17" s="414">
        <f t="shared" si="2"/>
        <v>14092</v>
      </c>
      <c r="G17" s="593">
        <v>21138</v>
      </c>
      <c r="H17" s="406"/>
      <c r="I17" s="303">
        <f>+'Mnth Appendices 2002 Plan '!O26</f>
        <v>55114.75</v>
      </c>
      <c r="J17" s="406">
        <f t="shared" si="0"/>
        <v>-33976.75</v>
      </c>
      <c r="K17" s="406"/>
      <c r="L17" s="405">
        <f>+'Adaytum by Month'!O49</f>
        <v>44776.119402985081</v>
      </c>
      <c r="M17" s="407">
        <f t="shared" si="1"/>
        <v>-23638.119402985081</v>
      </c>
      <c r="N17" s="345"/>
    </row>
    <row r="18" spans="1:14">
      <c r="A18" s="342" t="s">
        <v>41</v>
      </c>
      <c r="B18" s="343"/>
      <c r="C18" s="406">
        <v>840666</v>
      </c>
      <c r="D18" s="405"/>
      <c r="E18" s="405"/>
      <c r="F18" s="414">
        <f t="shared" si="2"/>
        <v>840666</v>
      </c>
      <c r="G18" s="593">
        <f t="shared" si="3"/>
        <v>1260999</v>
      </c>
      <c r="H18" s="406"/>
      <c r="I18" s="303">
        <f>+'Mnth Appendices 2002 Plan '!O27</f>
        <v>1340213.4899999998</v>
      </c>
      <c r="J18" s="406">
        <f t="shared" si="0"/>
        <v>-79214.489999999758</v>
      </c>
      <c r="K18" s="406"/>
      <c r="L18" s="405">
        <f>+'Adaytum by Month'!O50</f>
        <v>1275922.3880597018</v>
      </c>
      <c r="M18" s="407">
        <f t="shared" si="1"/>
        <v>-14923.388059701771</v>
      </c>
      <c r="N18" s="345"/>
    </row>
    <row r="19" spans="1:14">
      <c r="A19" s="342" t="s">
        <v>209</v>
      </c>
      <c r="B19" s="343"/>
      <c r="C19" s="406">
        <v>255710</v>
      </c>
      <c r="D19" s="405"/>
      <c r="E19" s="405"/>
      <c r="F19" s="414">
        <f t="shared" si="2"/>
        <v>255710</v>
      </c>
      <c r="G19" s="593">
        <f t="shared" si="3"/>
        <v>383565</v>
      </c>
      <c r="H19" s="406"/>
      <c r="I19" s="303">
        <f>+'Mnth Appendices 2002 Plan '!O28</f>
        <v>3074196.5700000003</v>
      </c>
      <c r="J19" s="406">
        <f t="shared" si="0"/>
        <v>-2690631.5700000003</v>
      </c>
      <c r="K19" s="406"/>
      <c r="L19" s="405">
        <f>+'Adaytum by Month'!O51</f>
        <v>4455331.343283576</v>
      </c>
      <c r="M19" s="407">
        <f t="shared" si="1"/>
        <v>-4071766.343283576</v>
      </c>
      <c r="N19" s="345"/>
    </row>
    <row r="20" spans="1:14">
      <c r="A20" s="342" t="s">
        <v>210</v>
      </c>
      <c r="B20" s="343"/>
      <c r="C20" s="406">
        <v>108346</v>
      </c>
      <c r="D20" s="405"/>
      <c r="E20" s="405"/>
      <c r="F20" s="414">
        <f t="shared" si="2"/>
        <v>108346</v>
      </c>
      <c r="G20" s="593">
        <f t="shared" si="3"/>
        <v>162519</v>
      </c>
      <c r="H20" s="406"/>
      <c r="I20" s="303">
        <f>+'Mnth Appendices 2002 Plan '!O29</f>
        <v>128415.76</v>
      </c>
      <c r="J20" s="406">
        <f t="shared" si="0"/>
        <v>34103.240000000005</v>
      </c>
      <c r="K20" s="406"/>
      <c r="L20" s="405">
        <f>+'Adaytum by Month'!O52</f>
        <v>0</v>
      </c>
      <c r="M20" s="407">
        <f t="shared" si="1"/>
        <v>162519</v>
      </c>
      <c r="N20" s="345"/>
    </row>
    <row r="21" spans="1:14">
      <c r="A21" s="342" t="s">
        <v>57</v>
      </c>
      <c r="B21" s="343"/>
      <c r="C21" s="406">
        <v>156303</v>
      </c>
      <c r="D21" s="405"/>
      <c r="E21" s="405"/>
      <c r="F21" s="414">
        <f t="shared" si="2"/>
        <v>156303</v>
      </c>
      <c r="G21" s="593">
        <v>195750</v>
      </c>
      <c r="H21" s="406"/>
      <c r="I21" s="303">
        <f>+'Mnth Appendices 2002 Plan '!O30</f>
        <v>220578.87000000002</v>
      </c>
      <c r="J21" s="406">
        <f t="shared" si="0"/>
        <v>-24828.870000000024</v>
      </c>
      <c r="K21" s="406"/>
      <c r="L21" s="405">
        <f>+'Adaytum by Month'!O53</f>
        <v>305970.14925373165</v>
      </c>
      <c r="M21" s="407">
        <f t="shared" si="1"/>
        <v>-110220.14925373165</v>
      </c>
      <c r="N21" s="345"/>
    </row>
    <row r="22" spans="1:14">
      <c r="A22" s="342" t="s">
        <v>211</v>
      </c>
      <c r="B22" s="343"/>
      <c r="C22" s="406">
        <v>26850</v>
      </c>
      <c r="D22" s="405"/>
      <c r="E22" s="405"/>
      <c r="F22" s="414">
        <f t="shared" si="2"/>
        <v>26850</v>
      </c>
      <c r="G22" s="593">
        <f t="shared" si="3"/>
        <v>40275</v>
      </c>
      <c r="H22" s="406"/>
      <c r="I22" s="303">
        <f>+'Mnth Appendices 2002 Plan '!O31</f>
        <v>67193.47</v>
      </c>
      <c r="J22" s="406">
        <f t="shared" si="0"/>
        <v>-26918.47</v>
      </c>
      <c r="K22" s="406"/>
      <c r="L22" s="405">
        <f>+'Adaytum by Month'!O54</f>
        <v>134328.35820895559</v>
      </c>
      <c r="M22" s="407">
        <f t="shared" si="1"/>
        <v>-94053.358208955586</v>
      </c>
      <c r="N22" s="345"/>
    </row>
    <row r="23" spans="1:14">
      <c r="A23" s="342" t="s">
        <v>212</v>
      </c>
      <c r="B23" s="343"/>
      <c r="C23" s="409">
        <v>0</v>
      </c>
      <c r="D23" s="408"/>
      <c r="E23" s="408"/>
      <c r="F23" s="299">
        <f t="shared" si="2"/>
        <v>0</v>
      </c>
      <c r="G23" s="596">
        <f t="shared" si="3"/>
        <v>0</v>
      </c>
      <c r="H23" s="409"/>
      <c r="I23" s="299">
        <f>+'Mnth Appendices 2002 Plan '!O32</f>
        <v>0</v>
      </c>
      <c r="J23" s="409">
        <f t="shared" si="0"/>
        <v>0</v>
      </c>
      <c r="K23" s="409"/>
      <c r="L23" s="409">
        <f>+'Adaytum by Month'!O55</f>
        <v>0</v>
      </c>
      <c r="M23" s="410">
        <f t="shared" si="1"/>
        <v>0</v>
      </c>
      <c r="N23" s="345"/>
    </row>
    <row r="24" spans="1:14">
      <c r="A24" s="342"/>
      <c r="B24" s="343"/>
      <c r="C24" s="406"/>
      <c r="D24" s="405"/>
      <c r="E24" s="405"/>
      <c r="F24" s="414"/>
      <c r="G24" s="593"/>
      <c r="H24" s="406"/>
      <c r="I24" s="303"/>
      <c r="J24" s="406"/>
      <c r="K24" s="406"/>
      <c r="L24" s="405"/>
      <c r="M24" s="407"/>
      <c r="N24" s="345"/>
    </row>
    <row r="25" spans="1:14">
      <c r="A25" s="342" t="s">
        <v>213</v>
      </c>
      <c r="B25" s="343"/>
      <c r="C25" s="406">
        <f>SUM(C15:C23)</f>
        <v>3482876</v>
      </c>
      <c r="D25" s="405">
        <f>SUM(D15:D23)</f>
        <v>-553500</v>
      </c>
      <c r="E25" s="405">
        <f>SUM(E15:E23)</f>
        <v>0</v>
      </c>
      <c r="F25" s="414">
        <f>SUM(F15:F23)</f>
        <v>2929376</v>
      </c>
      <c r="G25" s="597">
        <f>+SUM(G15:G24)</f>
        <v>4355359.5</v>
      </c>
      <c r="H25" s="406"/>
      <c r="I25" s="303">
        <f>SUM(I15:I23)</f>
        <v>9012447.4066666681</v>
      </c>
      <c r="J25" s="406">
        <f>SUM(J15:J23)</f>
        <v>-4657087.9066666672</v>
      </c>
      <c r="K25" s="406"/>
      <c r="L25" s="405">
        <f>SUM(L15:L23)</f>
        <v>13501248.787313424</v>
      </c>
      <c r="M25" s="407">
        <f>SUM(M15:M23)</f>
        <v>-9145889.2873134259</v>
      </c>
      <c r="N25" s="345"/>
    </row>
    <row r="26" spans="1:14">
      <c r="A26" s="342"/>
      <c r="B26" s="343"/>
      <c r="C26" s="406"/>
      <c r="D26" s="405"/>
      <c r="E26" s="405"/>
      <c r="F26" s="414"/>
      <c r="G26" s="593"/>
      <c r="H26" s="406"/>
      <c r="I26" s="303"/>
      <c r="J26" s="406"/>
      <c r="K26" s="406"/>
      <c r="L26" s="405"/>
      <c r="M26" s="407"/>
      <c r="N26" s="345"/>
    </row>
    <row r="27" spans="1:14">
      <c r="A27" s="342" t="s">
        <v>214</v>
      </c>
      <c r="B27" s="343"/>
      <c r="C27" s="406">
        <v>0</v>
      </c>
      <c r="D27" s="405"/>
      <c r="E27" s="405"/>
      <c r="F27" s="414">
        <f>C27-D27-E27</f>
        <v>0</v>
      </c>
      <c r="G27" s="593">
        <v>0</v>
      </c>
      <c r="H27" s="406"/>
      <c r="I27" s="303"/>
      <c r="J27" s="406">
        <f>$G27-I27</f>
        <v>0</v>
      </c>
      <c r="K27" s="406"/>
      <c r="L27" s="405"/>
      <c r="M27" s="407">
        <f>$G27-L27</f>
        <v>0</v>
      </c>
      <c r="N27" s="345"/>
    </row>
    <row r="28" spans="1:14">
      <c r="A28" s="342" t="s">
        <v>27</v>
      </c>
      <c r="B28" s="343"/>
      <c r="C28" s="409">
        <v>0</v>
      </c>
      <c r="D28" s="408"/>
      <c r="E28" s="408"/>
      <c r="F28" s="299">
        <f>C28-D28-E28</f>
        <v>0</v>
      </c>
      <c r="G28" s="596">
        <v>0</v>
      </c>
      <c r="H28" s="409"/>
      <c r="I28" s="300"/>
      <c r="J28" s="409">
        <f>$G28-I28</f>
        <v>0</v>
      </c>
      <c r="K28" s="409"/>
      <c r="L28" s="408"/>
      <c r="M28" s="410">
        <f>$G28-L28</f>
        <v>0</v>
      </c>
      <c r="N28" s="345"/>
    </row>
    <row r="29" spans="1:14">
      <c r="A29" s="342"/>
      <c r="B29" s="343"/>
      <c r="C29" s="406"/>
      <c r="D29" s="405"/>
      <c r="E29" s="405"/>
      <c r="F29" s="414"/>
      <c r="G29" s="593"/>
      <c r="H29" s="406"/>
      <c r="I29" s="303"/>
      <c r="J29" s="406"/>
      <c r="K29" s="406"/>
      <c r="L29" s="405"/>
      <c r="M29" s="407"/>
      <c r="N29" s="345"/>
    </row>
    <row r="30" spans="1:14">
      <c r="A30" s="342" t="s">
        <v>215</v>
      </c>
      <c r="B30" s="343"/>
      <c r="C30" s="409">
        <f>SUM(C25:C28)</f>
        <v>3482876</v>
      </c>
      <c r="D30" s="408">
        <f>SUM(D25:D28)</f>
        <v>-553500</v>
      </c>
      <c r="E30" s="408">
        <f>SUM(E25:E28)</f>
        <v>0</v>
      </c>
      <c r="F30" s="299">
        <f>SUM(F25:F28)</f>
        <v>2929376</v>
      </c>
      <c r="G30" s="599">
        <f>SUM(G25:G28)</f>
        <v>4355359.5</v>
      </c>
      <c r="H30" s="409"/>
      <c r="I30" s="300">
        <f>SUM(I25:I28)</f>
        <v>9012447.4066666681</v>
      </c>
      <c r="J30" s="409">
        <f>SUM(J25:J28)</f>
        <v>-4657087.9066666672</v>
      </c>
      <c r="K30" s="409"/>
      <c r="L30" s="408">
        <f>SUM(L25:L28)</f>
        <v>13501248.787313424</v>
      </c>
      <c r="M30" s="410">
        <f>SUM(M25:M28)</f>
        <v>-9145889.2873134259</v>
      </c>
      <c r="N30" s="345"/>
    </row>
    <row r="31" spans="1:14" ht="13.8" thickBot="1">
      <c r="A31" s="411"/>
      <c r="B31" s="412"/>
      <c r="C31" s="412"/>
      <c r="D31" s="412"/>
      <c r="E31" s="412"/>
      <c r="F31" s="412"/>
      <c r="G31" s="412"/>
      <c r="H31" s="412"/>
      <c r="I31" s="412"/>
      <c r="J31" s="412"/>
      <c r="K31" s="412"/>
      <c r="L31" s="412"/>
      <c r="M31" s="413"/>
      <c r="N31" s="345"/>
    </row>
    <row r="32" spans="1:14">
      <c r="A32" s="16"/>
      <c r="B32" s="16"/>
      <c r="C32" s="16"/>
      <c r="D32" s="16"/>
      <c r="E32" s="16"/>
      <c r="F32" s="16"/>
      <c r="G32" s="16"/>
      <c r="H32" s="16"/>
      <c r="I32" s="127"/>
      <c r="J32" s="16"/>
      <c r="K32" s="16"/>
      <c r="L32" s="16"/>
      <c r="M32" s="16"/>
    </row>
    <row r="33" s="16" customFormat="1"/>
    <row r="34" s="16" customFormat="1"/>
    <row r="35" s="16" customFormat="1"/>
    <row r="36" s="16" customFormat="1"/>
    <row r="37" s="16" customFormat="1"/>
    <row r="38" s="16" customFormat="1"/>
    <row r="39" s="16" customFormat="1"/>
    <row r="40" s="16" customFormat="1"/>
    <row r="41" s="16" customFormat="1"/>
    <row r="42" s="16" customFormat="1"/>
    <row r="43" s="16" customFormat="1"/>
    <row r="44" s="16" customFormat="1"/>
    <row r="45" s="16" customFormat="1"/>
    <row r="46" s="16" customFormat="1"/>
    <row r="47" s="16" customFormat="1"/>
    <row r="48"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row r="206" s="16" customFormat="1"/>
    <row r="207" s="16" customFormat="1"/>
    <row r="208" s="16" customFormat="1"/>
    <row r="209" s="16" customFormat="1"/>
    <row r="210" s="16" customFormat="1"/>
    <row r="211" s="16" customFormat="1"/>
    <row r="212" s="16" customFormat="1"/>
    <row r="213" s="16" customFormat="1"/>
    <row r="214" s="16" customFormat="1"/>
    <row r="215" s="16" customFormat="1"/>
    <row r="216" s="16" customFormat="1"/>
    <row r="217" s="16" customFormat="1"/>
    <row r="218" s="16" customFormat="1"/>
    <row r="219" s="16" customFormat="1"/>
    <row r="220" s="16" customFormat="1"/>
    <row r="221" s="16" customFormat="1"/>
    <row r="222" s="16" customFormat="1"/>
    <row r="223" s="16" customFormat="1"/>
    <row r="224" s="16" customFormat="1"/>
    <row r="225" s="16" customFormat="1"/>
    <row r="226" s="16" customFormat="1"/>
    <row r="227" s="16" customFormat="1"/>
    <row r="228" s="16" customFormat="1"/>
    <row r="229" s="16" customFormat="1"/>
    <row r="230" s="16" customFormat="1"/>
    <row r="231" s="16" customFormat="1"/>
    <row r="232" s="16" customFormat="1"/>
    <row r="233" s="16" customFormat="1"/>
    <row r="234" s="16" customFormat="1"/>
    <row r="235" s="16" customFormat="1"/>
    <row r="236" s="16" customFormat="1"/>
    <row r="237" s="16" customFormat="1"/>
    <row r="238" s="16" customFormat="1"/>
    <row r="239" s="16" customFormat="1"/>
    <row r="240" s="16" customFormat="1"/>
    <row r="241" s="16" customFormat="1"/>
    <row r="242" s="16" customFormat="1"/>
    <row r="243" s="16" customFormat="1"/>
    <row r="244" s="16" customFormat="1"/>
    <row r="245" s="16" customFormat="1"/>
    <row r="246" s="16" customFormat="1"/>
    <row r="247" s="16" customFormat="1"/>
    <row r="248" s="16" customFormat="1"/>
    <row r="249" s="16" customFormat="1"/>
    <row r="250" s="16" customFormat="1"/>
    <row r="251" s="16" customFormat="1"/>
    <row r="252" s="16" customFormat="1"/>
    <row r="253" s="16" customFormat="1"/>
    <row r="254" s="16" customFormat="1"/>
    <row r="255" s="16" customFormat="1"/>
    <row r="256" s="16" customFormat="1"/>
    <row r="257" s="16" customFormat="1"/>
    <row r="258" s="16" customFormat="1"/>
    <row r="259" s="16" customFormat="1"/>
    <row r="260" s="16" customFormat="1"/>
    <row r="261" s="16" customFormat="1"/>
    <row r="262" s="16" customFormat="1"/>
    <row r="263" s="16" customFormat="1"/>
    <row r="264" s="16" customFormat="1"/>
    <row r="265" s="16" customFormat="1"/>
    <row r="266" s="16" customFormat="1"/>
    <row r="267" s="16" customFormat="1"/>
    <row r="268" s="16" customFormat="1"/>
    <row r="269" s="16" customFormat="1"/>
    <row r="270" s="16" customFormat="1"/>
    <row r="271" s="16" customFormat="1"/>
    <row r="272" s="16" customFormat="1"/>
    <row r="273" s="16" customFormat="1"/>
    <row r="274" s="16" customFormat="1"/>
    <row r="275" s="16" customFormat="1"/>
    <row r="276" s="16" customFormat="1"/>
    <row r="277" s="16" customFormat="1"/>
    <row r="278" s="16" customFormat="1"/>
    <row r="279" s="16" customFormat="1"/>
    <row r="280" s="16" customFormat="1"/>
    <row r="281" s="16" customFormat="1"/>
    <row r="282" s="16" customFormat="1"/>
    <row r="283" s="16" customFormat="1"/>
    <row r="284" s="16" customFormat="1"/>
    <row r="285" s="16" customFormat="1"/>
    <row r="286" s="16" customFormat="1"/>
    <row r="287" s="16" customFormat="1"/>
    <row r="288" s="16" customFormat="1"/>
    <row r="289" s="16" customFormat="1"/>
    <row r="290" s="16" customFormat="1"/>
    <row r="291" s="16" customFormat="1"/>
    <row r="292" s="16" customFormat="1"/>
    <row r="293" s="16" customFormat="1"/>
    <row r="294" s="16" customFormat="1"/>
    <row r="295" s="16" customFormat="1"/>
    <row r="296" s="16" customFormat="1"/>
    <row r="297" s="16" customFormat="1"/>
    <row r="298" s="16" customFormat="1"/>
    <row r="299" s="16" customFormat="1"/>
    <row r="300" s="16" customFormat="1"/>
    <row r="301" s="16" customFormat="1"/>
    <row r="302" s="16" customFormat="1"/>
    <row r="303" s="16" customFormat="1"/>
    <row r="304" s="16" customFormat="1"/>
    <row r="305" s="16" customFormat="1"/>
    <row r="306" s="16" customFormat="1"/>
    <row r="307" s="16" customFormat="1"/>
    <row r="308" s="16" customFormat="1"/>
    <row r="309" s="16" customFormat="1"/>
    <row r="310" s="16" customFormat="1"/>
    <row r="311" s="16" customFormat="1"/>
    <row r="312" s="16" customFormat="1"/>
    <row r="313" s="16" customFormat="1"/>
    <row r="314" s="16" customFormat="1"/>
    <row r="315" s="16" customFormat="1"/>
    <row r="316" s="16" customFormat="1"/>
    <row r="317" s="16" customFormat="1"/>
    <row r="318" s="16" customFormat="1"/>
    <row r="319" s="16" customFormat="1"/>
    <row r="320" s="16" customFormat="1"/>
    <row r="321" s="16" customFormat="1"/>
    <row r="322" s="16" customFormat="1"/>
    <row r="323" s="16" customFormat="1"/>
    <row r="324" s="16" customFormat="1"/>
    <row r="325" s="16" customFormat="1"/>
    <row r="326" s="16" customFormat="1"/>
    <row r="327" s="16" customFormat="1"/>
    <row r="328" s="16" customFormat="1"/>
    <row r="329" s="16" customFormat="1"/>
    <row r="330" s="16" customFormat="1"/>
    <row r="331" s="16" customFormat="1"/>
    <row r="332" s="16" customFormat="1"/>
    <row r="333" s="16" customFormat="1"/>
    <row r="334" s="16" customFormat="1"/>
    <row r="335" s="16" customFormat="1"/>
    <row r="336" s="16" customFormat="1"/>
    <row r="337" s="16" customFormat="1"/>
    <row r="338" s="16" customFormat="1"/>
    <row r="339" s="16" customFormat="1"/>
    <row r="340" s="16" customFormat="1"/>
    <row r="341" s="16" customFormat="1"/>
    <row r="342" s="16" customFormat="1"/>
    <row r="343" s="16" customFormat="1"/>
    <row r="344" s="16" customFormat="1"/>
    <row r="345" s="16" customFormat="1"/>
    <row r="346" s="16" customFormat="1"/>
    <row r="347" s="16" customFormat="1"/>
    <row r="348" s="16" customFormat="1"/>
    <row r="349" s="16" customFormat="1"/>
    <row r="350" s="16" customFormat="1"/>
    <row r="351" s="16" customFormat="1"/>
    <row r="352" s="16" customFormat="1"/>
    <row r="353" s="16" customFormat="1"/>
    <row r="354" s="16" customFormat="1"/>
    <row r="355" s="16" customFormat="1"/>
    <row r="356" s="16" customFormat="1"/>
    <row r="357" s="16" customFormat="1"/>
    <row r="358" s="16" customFormat="1"/>
    <row r="359" s="16" customFormat="1"/>
    <row r="360" s="16" customFormat="1"/>
    <row r="361" s="16" customFormat="1"/>
    <row r="362" s="16" customFormat="1"/>
    <row r="363" s="16" customFormat="1"/>
    <row r="364" s="16" customFormat="1"/>
    <row r="365" s="16" customFormat="1"/>
    <row r="366" s="16" customFormat="1"/>
    <row r="367" s="16" customFormat="1"/>
    <row r="368" s="16" customFormat="1"/>
    <row r="369" s="16" customFormat="1"/>
    <row r="370" s="16" customFormat="1"/>
    <row r="371" s="16" customFormat="1"/>
    <row r="372" s="16" customFormat="1"/>
    <row r="373" s="16" customFormat="1"/>
    <row r="374" s="16" customFormat="1"/>
    <row r="375" s="16" customFormat="1"/>
    <row r="376" s="16" customFormat="1"/>
    <row r="377" s="16" customFormat="1"/>
    <row r="378" s="16" customFormat="1"/>
    <row r="379" s="16" customFormat="1"/>
    <row r="380" s="16" customFormat="1"/>
    <row r="381" s="16" customFormat="1"/>
    <row r="382" s="16" customFormat="1"/>
    <row r="383" s="16" customFormat="1"/>
    <row r="384" s="16" customFormat="1"/>
    <row r="385" s="16" customFormat="1"/>
    <row r="386" s="16" customFormat="1"/>
    <row r="387" s="16" customFormat="1"/>
    <row r="388" s="16" customFormat="1"/>
    <row r="389" s="16" customFormat="1"/>
    <row r="390" s="16" customFormat="1"/>
    <row r="391" s="16" customFormat="1"/>
    <row r="392" s="16" customFormat="1"/>
    <row r="393" s="16" customFormat="1"/>
    <row r="394" s="16" customFormat="1"/>
    <row r="395" s="16" customFormat="1"/>
    <row r="396" s="16" customFormat="1"/>
    <row r="397" s="16" customFormat="1"/>
    <row r="398" s="16" customFormat="1"/>
    <row r="399" s="16" customFormat="1"/>
    <row r="400" s="16" customFormat="1"/>
    <row r="401" s="16" customFormat="1"/>
    <row r="402" s="16" customFormat="1"/>
    <row r="403" s="16" customFormat="1"/>
    <row r="404" s="16" customFormat="1"/>
    <row r="405" s="16" customFormat="1"/>
    <row r="406" s="16" customFormat="1"/>
    <row r="407" s="16" customFormat="1"/>
    <row r="408" s="16" customFormat="1"/>
    <row r="409" s="16" customFormat="1"/>
    <row r="410" s="16" customFormat="1"/>
    <row r="411" s="16" customFormat="1"/>
    <row r="412" s="16" customFormat="1"/>
    <row r="413" s="16" customFormat="1"/>
    <row r="414" s="16" customFormat="1"/>
    <row r="415" s="16" customFormat="1"/>
    <row r="416" s="16" customFormat="1"/>
    <row r="417" s="16" customFormat="1"/>
    <row r="418" s="16" customFormat="1"/>
    <row r="419" s="16" customFormat="1"/>
    <row r="420" s="16" customFormat="1"/>
    <row r="421" s="16" customFormat="1"/>
    <row r="422" s="16" customFormat="1"/>
    <row r="423" s="16" customFormat="1"/>
    <row r="424" s="16" customFormat="1"/>
    <row r="425" s="16" customFormat="1"/>
    <row r="426" s="16" customFormat="1"/>
    <row r="427" s="16" customFormat="1"/>
    <row r="428" s="16" customFormat="1"/>
    <row r="429" s="16" customFormat="1"/>
    <row r="430" s="16" customFormat="1"/>
    <row r="431" s="16" customFormat="1"/>
    <row r="432" s="16" customFormat="1"/>
    <row r="433" s="16" customFormat="1"/>
    <row r="434" s="16" customFormat="1"/>
    <row r="435" s="16" customFormat="1"/>
    <row r="436" s="16" customFormat="1"/>
    <row r="437" s="16" customFormat="1"/>
    <row r="438" s="16" customFormat="1"/>
    <row r="439" s="16" customFormat="1"/>
    <row r="440" s="16" customFormat="1"/>
    <row r="441" s="16" customFormat="1"/>
    <row r="442" s="16" customFormat="1"/>
    <row r="443" s="16" customFormat="1"/>
    <row r="444" s="16" customFormat="1"/>
    <row r="445" s="16" customFormat="1"/>
    <row r="446" s="16" customFormat="1"/>
    <row r="447" s="16" customFormat="1"/>
    <row r="448" s="16" customFormat="1"/>
    <row r="449" s="16" customFormat="1"/>
    <row r="450" s="16" customFormat="1"/>
    <row r="451" s="16" customFormat="1"/>
    <row r="452" s="16" customFormat="1"/>
    <row r="453" s="16" customFormat="1"/>
    <row r="454" s="16" customFormat="1"/>
    <row r="455" s="16" customFormat="1"/>
    <row r="456" s="16" customFormat="1"/>
    <row r="457" s="16" customFormat="1"/>
    <row r="458" s="16" customFormat="1"/>
    <row r="459" s="16" customFormat="1"/>
    <row r="460" s="16" customFormat="1"/>
    <row r="461" s="16" customFormat="1"/>
    <row r="462" s="16" customFormat="1"/>
    <row r="463" s="16" customFormat="1"/>
    <row r="464" s="16" customFormat="1"/>
    <row r="465" s="16" customFormat="1"/>
    <row r="466" s="16" customFormat="1"/>
    <row r="467" s="16" customFormat="1"/>
    <row r="468" s="16" customFormat="1"/>
    <row r="469" s="16" customFormat="1"/>
    <row r="470" s="16" customFormat="1"/>
    <row r="471" s="16" customFormat="1"/>
    <row r="472" s="16" customFormat="1"/>
    <row r="473" s="16" customFormat="1"/>
    <row r="474" s="16" customFormat="1"/>
    <row r="475" s="16" customFormat="1"/>
    <row r="476" s="16" customFormat="1"/>
    <row r="477" s="16" customFormat="1"/>
    <row r="478" s="16" customFormat="1"/>
    <row r="479" s="16" customFormat="1"/>
    <row r="480" s="16" customFormat="1"/>
    <row r="481" s="16" customFormat="1"/>
    <row r="482" s="16" customFormat="1"/>
    <row r="483" s="16" customFormat="1"/>
    <row r="484" s="16" customFormat="1"/>
    <row r="485" s="16" customFormat="1"/>
    <row r="486" s="16" customFormat="1"/>
    <row r="487" s="16" customFormat="1"/>
    <row r="488" s="16" customFormat="1"/>
    <row r="489" s="16" customFormat="1"/>
    <row r="490" s="16" customFormat="1"/>
    <row r="491" s="16" customFormat="1"/>
    <row r="492" s="16" customFormat="1"/>
    <row r="493" s="16" customFormat="1"/>
    <row r="494" s="16" customFormat="1"/>
    <row r="495" s="16" customFormat="1"/>
    <row r="496" s="16" customFormat="1"/>
    <row r="497" s="16" customFormat="1"/>
    <row r="498" s="16" customFormat="1"/>
    <row r="499" s="16" customFormat="1"/>
    <row r="500" s="16" customFormat="1"/>
    <row r="501" s="16" customFormat="1"/>
    <row r="502" s="16" customFormat="1"/>
    <row r="503" s="16" customFormat="1"/>
    <row r="504" s="16" customFormat="1"/>
    <row r="505" s="16" customFormat="1"/>
    <row r="506" s="16" customFormat="1"/>
    <row r="507" s="16" customFormat="1"/>
    <row r="508" s="16" customFormat="1"/>
    <row r="509" s="16" customFormat="1"/>
    <row r="510" s="16" customFormat="1"/>
    <row r="511" s="16" customFormat="1"/>
    <row r="512" s="16" customFormat="1"/>
    <row r="513" s="16" customFormat="1"/>
    <row r="514" s="16" customFormat="1"/>
    <row r="515" s="16" customFormat="1"/>
    <row r="516" s="16" customFormat="1"/>
    <row r="517" s="16" customFormat="1"/>
    <row r="518" s="16" customFormat="1"/>
    <row r="519" s="16" customFormat="1"/>
    <row r="520" s="16" customFormat="1"/>
    <row r="521" s="16" customFormat="1"/>
    <row r="522" s="16" customFormat="1"/>
    <row r="523" s="16" customFormat="1"/>
    <row r="524" s="16" customFormat="1"/>
    <row r="525" s="16" customFormat="1"/>
    <row r="526" s="16" customFormat="1"/>
    <row r="527" s="16" customFormat="1"/>
    <row r="528" s="16" customFormat="1"/>
    <row r="529" s="16" customFormat="1"/>
    <row r="530" s="16" customFormat="1"/>
    <row r="531" s="16" customFormat="1"/>
    <row r="532" s="16" customFormat="1"/>
    <row r="533" s="16" customFormat="1"/>
    <row r="534" s="16" customFormat="1"/>
    <row r="535" s="16" customFormat="1"/>
    <row r="536" s="16" customFormat="1"/>
    <row r="537" s="16" customFormat="1"/>
    <row r="538" s="16" customFormat="1"/>
    <row r="539" s="16" customFormat="1"/>
    <row r="540" s="16" customFormat="1"/>
    <row r="541" s="16" customFormat="1"/>
    <row r="542" s="16" customFormat="1"/>
    <row r="543" s="16" customFormat="1"/>
    <row r="544" s="16" customFormat="1"/>
    <row r="545" s="16" customFormat="1"/>
    <row r="546" s="16" customFormat="1"/>
    <row r="547" s="16" customFormat="1"/>
    <row r="548" s="16" customFormat="1"/>
    <row r="549" s="16" customFormat="1"/>
    <row r="550" s="16" customFormat="1"/>
    <row r="551" s="16" customFormat="1"/>
    <row r="552" s="16" customFormat="1"/>
    <row r="553" s="16" customFormat="1"/>
    <row r="554" s="16" customFormat="1"/>
    <row r="555" s="16" customFormat="1"/>
    <row r="556" s="16" customFormat="1"/>
    <row r="557" s="16" customFormat="1"/>
    <row r="558" s="16" customFormat="1"/>
  </sheetData>
  <phoneticPr fontId="0" type="noConversion"/>
  <pageMargins left="0.75" right="0.33" top="0.6" bottom="0.83" header="0.5" footer="0.5"/>
  <pageSetup paperSize="9" scale="86" orientation="landscape" r:id="rId1"/>
  <headerFooter alignWithMargins="0">
    <oddFooter>&amp;L&amp;9Page 14&amp;C&amp;9Source: Financial Planning and Analysis&amp;R&amp;9Printed : &amp;D&amp;T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P38"/>
  <sheetViews>
    <sheetView tabSelected="1" zoomScale="75" workbookViewId="0">
      <selection activeCell="C9" sqref="C9"/>
    </sheetView>
  </sheetViews>
  <sheetFormatPr defaultColWidth="9.109375" defaultRowHeight="13.2"/>
  <cols>
    <col min="1" max="1" width="9.109375" style="16"/>
    <col min="2" max="2" width="13.88671875" style="16" customWidth="1"/>
    <col min="3" max="16384" width="9.109375" style="16"/>
  </cols>
  <sheetData>
    <row r="1" spans="1:16">
      <c r="A1" s="195"/>
      <c r="B1" s="196"/>
      <c r="C1" s="196"/>
      <c r="D1" s="196"/>
      <c r="E1" s="196"/>
      <c r="F1" s="196"/>
      <c r="G1" s="196"/>
      <c r="H1" s="196"/>
      <c r="I1" s="196"/>
      <c r="J1" s="196"/>
      <c r="K1" s="196"/>
      <c r="L1" s="196"/>
      <c r="M1" s="196"/>
      <c r="N1" s="196"/>
      <c r="O1" s="196"/>
      <c r="P1" s="166"/>
    </row>
    <row r="2" spans="1:16">
      <c r="A2" s="197"/>
      <c r="B2" s="127"/>
      <c r="C2" s="127"/>
      <c r="D2" s="127"/>
      <c r="E2" s="127"/>
      <c r="F2" s="127"/>
      <c r="G2" s="127"/>
      <c r="H2" s="127"/>
      <c r="I2" s="127"/>
      <c r="J2" s="127"/>
      <c r="K2" s="127"/>
      <c r="L2" s="127"/>
      <c r="M2" s="127"/>
      <c r="N2" s="127"/>
      <c r="O2" s="127"/>
      <c r="P2" s="167"/>
    </row>
    <row r="3" spans="1:16">
      <c r="A3" s="197"/>
      <c r="B3" s="127"/>
      <c r="C3" s="127"/>
      <c r="D3" s="127"/>
      <c r="E3" s="127"/>
      <c r="F3" s="127"/>
      <c r="G3" s="127"/>
      <c r="H3" s="127"/>
      <c r="I3" s="127"/>
      <c r="J3" s="127"/>
      <c r="K3" s="127"/>
      <c r="L3" s="127"/>
      <c r="M3" s="127"/>
      <c r="N3" s="127"/>
      <c r="O3" s="127"/>
      <c r="P3" s="167"/>
    </row>
    <row r="4" spans="1:16">
      <c r="A4" s="197"/>
      <c r="B4" s="127"/>
      <c r="C4" s="127"/>
      <c r="D4" s="127"/>
      <c r="E4" s="127"/>
      <c r="F4" s="127"/>
      <c r="G4" s="127"/>
      <c r="H4" s="127"/>
      <c r="I4" s="127"/>
      <c r="J4" s="127"/>
      <c r="K4" s="127"/>
      <c r="L4" s="127"/>
      <c r="M4" s="127"/>
      <c r="N4" s="127"/>
      <c r="O4" s="127"/>
      <c r="P4" s="167"/>
    </row>
    <row r="5" spans="1:16">
      <c r="A5" s="197"/>
      <c r="B5" s="127"/>
      <c r="C5" s="127"/>
      <c r="D5" s="127"/>
      <c r="E5" s="127"/>
      <c r="F5" s="127"/>
      <c r="G5" s="127"/>
      <c r="H5" s="127"/>
      <c r="I5" s="127"/>
      <c r="J5" s="127"/>
      <c r="K5" s="127"/>
      <c r="L5" s="127"/>
      <c r="M5" s="127"/>
      <c r="N5" s="127"/>
      <c r="O5" s="127"/>
      <c r="P5" s="167"/>
    </row>
    <row r="6" spans="1:16">
      <c r="A6" s="197"/>
      <c r="B6" s="127"/>
      <c r="C6" s="127"/>
      <c r="D6" s="127"/>
      <c r="E6" s="127"/>
      <c r="F6" s="127"/>
      <c r="G6" s="127"/>
      <c r="H6" s="127"/>
      <c r="I6" s="127"/>
      <c r="J6" s="127"/>
      <c r="K6" s="127"/>
      <c r="L6" s="127"/>
      <c r="M6" s="127"/>
      <c r="N6" s="127"/>
      <c r="O6" s="127"/>
      <c r="P6" s="167"/>
    </row>
    <row r="7" spans="1:16">
      <c r="A7" s="197"/>
      <c r="B7" s="127"/>
      <c r="C7" s="127"/>
      <c r="D7" s="127"/>
      <c r="E7" s="127"/>
      <c r="F7" s="127"/>
      <c r="G7" s="127"/>
      <c r="H7" s="127"/>
      <c r="I7" s="127"/>
      <c r="J7" s="127"/>
      <c r="K7" s="127"/>
      <c r="L7" s="127"/>
      <c r="M7" s="127"/>
      <c r="N7" s="127"/>
      <c r="O7" s="127"/>
      <c r="P7" s="167"/>
    </row>
    <row r="8" spans="1:16">
      <c r="A8" s="197"/>
      <c r="B8" s="127"/>
      <c r="C8" s="127"/>
      <c r="D8" s="127"/>
      <c r="E8" s="127"/>
      <c r="F8" s="127"/>
      <c r="G8" s="127"/>
      <c r="H8" s="127"/>
      <c r="I8" s="127"/>
      <c r="J8" s="127"/>
      <c r="K8" s="127"/>
      <c r="L8" s="127"/>
      <c r="M8" s="127"/>
      <c r="N8" s="127"/>
      <c r="O8" s="127"/>
      <c r="P8" s="167"/>
    </row>
    <row r="9" spans="1:16">
      <c r="A9" s="197"/>
      <c r="B9" s="127"/>
      <c r="C9" s="127"/>
      <c r="D9" s="127"/>
      <c r="E9" s="127"/>
      <c r="F9" s="127"/>
      <c r="G9" s="127"/>
      <c r="H9" s="127"/>
      <c r="I9" s="127"/>
      <c r="J9" s="127"/>
      <c r="K9" s="127"/>
      <c r="L9" s="127"/>
      <c r="M9" s="127"/>
      <c r="N9" s="127"/>
      <c r="O9" s="127"/>
      <c r="P9" s="167"/>
    </row>
    <row r="10" spans="1:16">
      <c r="A10" s="197"/>
      <c r="B10" s="127"/>
      <c r="C10" s="127"/>
      <c r="D10" s="127"/>
      <c r="E10" s="127"/>
      <c r="F10" s="127"/>
      <c r="G10" s="127"/>
      <c r="H10" s="127"/>
      <c r="I10" s="127"/>
      <c r="J10" s="127"/>
      <c r="K10" s="127"/>
      <c r="L10" s="127"/>
      <c r="M10" s="127"/>
      <c r="N10" s="127"/>
      <c r="O10" s="127"/>
      <c r="P10" s="167"/>
    </row>
    <row r="11" spans="1:16">
      <c r="A11" s="197"/>
      <c r="B11" s="127"/>
      <c r="C11" s="127"/>
      <c r="D11" s="127"/>
      <c r="E11" s="127"/>
      <c r="F11" s="127"/>
      <c r="G11" s="127"/>
      <c r="H11" s="127"/>
      <c r="I11" s="127"/>
      <c r="J11" s="127"/>
      <c r="K11" s="127"/>
      <c r="L11" s="127"/>
      <c r="M11" s="127"/>
      <c r="N11" s="127"/>
      <c r="O11" s="127"/>
      <c r="P11" s="167"/>
    </row>
    <row r="12" spans="1:16">
      <c r="A12" s="197"/>
      <c r="B12" s="127"/>
      <c r="C12" s="127"/>
      <c r="D12" s="127"/>
      <c r="E12" s="127"/>
      <c r="F12" s="127"/>
      <c r="G12" s="127"/>
      <c r="H12" s="127"/>
      <c r="I12" s="127"/>
      <c r="J12" s="127"/>
      <c r="K12" s="127"/>
      <c r="L12" s="127"/>
      <c r="M12" s="127"/>
      <c r="N12" s="127"/>
      <c r="O12" s="127"/>
      <c r="P12" s="167"/>
    </row>
    <row r="13" spans="1:16">
      <c r="A13" s="197"/>
      <c r="B13" s="127"/>
      <c r="C13" s="127"/>
      <c r="D13" s="127"/>
      <c r="E13" s="127"/>
      <c r="F13" s="127"/>
      <c r="G13" s="127"/>
      <c r="H13" s="127"/>
      <c r="I13" s="127"/>
      <c r="J13" s="127"/>
      <c r="K13" s="127"/>
      <c r="L13" s="127"/>
      <c r="M13" s="127"/>
      <c r="N13" s="127"/>
      <c r="O13" s="127"/>
      <c r="P13" s="167"/>
    </row>
    <row r="14" spans="1:16">
      <c r="A14" s="197"/>
      <c r="B14" s="127"/>
      <c r="C14" s="127"/>
      <c r="D14" s="127"/>
      <c r="E14" s="127"/>
      <c r="F14" s="127"/>
      <c r="G14" s="127"/>
      <c r="H14" s="127"/>
      <c r="I14" s="127"/>
      <c r="J14" s="127"/>
      <c r="K14" s="127"/>
      <c r="L14" s="127"/>
      <c r="M14" s="127"/>
      <c r="N14" s="127"/>
      <c r="O14" s="127"/>
      <c r="P14" s="167"/>
    </row>
    <row r="15" spans="1:16" ht="60">
      <c r="A15" s="971" t="s">
        <v>539</v>
      </c>
      <c r="B15" s="978"/>
      <c r="C15" s="978"/>
      <c r="D15" s="978"/>
      <c r="E15" s="978"/>
      <c r="F15" s="978"/>
      <c r="G15" s="978"/>
      <c r="H15" s="978"/>
      <c r="I15" s="978"/>
      <c r="J15" s="978"/>
      <c r="K15" s="978"/>
      <c r="L15" s="978"/>
      <c r="M15" s="978"/>
      <c r="N15" s="978"/>
      <c r="O15" s="978"/>
      <c r="P15" s="979"/>
    </row>
    <row r="16" spans="1:16">
      <c r="A16" s="197"/>
      <c r="B16" s="127"/>
      <c r="C16" s="127"/>
      <c r="D16" s="127"/>
      <c r="E16" s="127"/>
      <c r="F16" s="127"/>
      <c r="G16" s="127"/>
      <c r="H16" s="127"/>
      <c r="I16" s="127"/>
      <c r="J16" s="127"/>
      <c r="K16" s="127"/>
      <c r="L16" s="127"/>
      <c r="M16" s="127"/>
      <c r="N16" s="127"/>
      <c r="O16" s="127"/>
      <c r="P16" s="167"/>
    </row>
    <row r="17" spans="1:16">
      <c r="A17" s="197"/>
      <c r="B17" s="127"/>
      <c r="C17" s="127"/>
      <c r="D17" s="127"/>
      <c r="E17" s="127"/>
      <c r="F17" s="127"/>
      <c r="G17" s="127"/>
      <c r="H17" s="127"/>
      <c r="I17" s="127"/>
      <c r="J17" s="127"/>
      <c r="K17" s="127"/>
      <c r="L17" s="127"/>
      <c r="M17" s="127"/>
      <c r="N17" s="127"/>
      <c r="O17" s="127"/>
      <c r="P17" s="167"/>
    </row>
    <row r="18" spans="1:16">
      <c r="A18" s="197"/>
      <c r="B18" s="127"/>
      <c r="C18" s="127"/>
      <c r="D18" s="127"/>
      <c r="E18" s="127"/>
      <c r="F18" s="127"/>
      <c r="G18" s="127"/>
      <c r="H18" s="127"/>
      <c r="I18" s="127"/>
      <c r="J18" s="127"/>
      <c r="K18" s="127"/>
      <c r="L18" s="127"/>
      <c r="M18" s="127"/>
      <c r="N18" s="127"/>
      <c r="O18" s="127"/>
      <c r="P18" s="167"/>
    </row>
    <row r="19" spans="1:16">
      <c r="A19" s="197"/>
      <c r="B19" s="127"/>
      <c r="C19" s="127"/>
      <c r="D19" s="127"/>
      <c r="E19" s="127"/>
      <c r="F19" s="127"/>
      <c r="G19" s="127"/>
      <c r="H19" s="127"/>
      <c r="I19" s="127"/>
      <c r="J19" s="127"/>
      <c r="K19" s="127"/>
      <c r="L19" s="127"/>
      <c r="M19" s="127"/>
      <c r="N19" s="127"/>
      <c r="O19" s="127"/>
      <c r="P19" s="167"/>
    </row>
    <row r="20" spans="1:16">
      <c r="A20" s="197"/>
      <c r="B20" s="127"/>
      <c r="C20" s="127"/>
      <c r="D20" s="127"/>
      <c r="E20" s="127"/>
      <c r="F20" s="127"/>
      <c r="G20" s="127"/>
      <c r="H20" s="127"/>
      <c r="I20" s="127"/>
      <c r="J20" s="127"/>
      <c r="K20" s="127"/>
      <c r="L20" s="127"/>
      <c r="M20" s="127"/>
      <c r="N20" s="127"/>
      <c r="O20" s="127"/>
      <c r="P20" s="167"/>
    </row>
    <row r="21" spans="1:16">
      <c r="A21" s="197"/>
      <c r="B21" s="127"/>
      <c r="C21" s="127"/>
      <c r="D21" s="127"/>
      <c r="E21" s="127"/>
      <c r="F21" s="127"/>
      <c r="G21" s="127"/>
      <c r="H21" s="127"/>
      <c r="I21" s="127"/>
      <c r="J21" s="127"/>
      <c r="K21" s="127"/>
      <c r="L21" s="127"/>
      <c r="M21" s="127"/>
      <c r="N21" s="127"/>
      <c r="O21" s="127"/>
      <c r="P21" s="167"/>
    </row>
    <row r="22" spans="1:16">
      <c r="A22" s="197"/>
      <c r="B22" s="127"/>
      <c r="C22" s="127"/>
      <c r="D22" s="127"/>
      <c r="E22" s="127"/>
      <c r="F22" s="127"/>
      <c r="G22" s="127"/>
      <c r="H22" s="127"/>
      <c r="I22" s="127"/>
      <c r="J22" s="127"/>
      <c r="K22" s="127"/>
      <c r="L22" s="127"/>
      <c r="M22" s="127"/>
      <c r="N22" s="127"/>
      <c r="O22" s="127"/>
      <c r="P22" s="167"/>
    </row>
    <row r="23" spans="1:16">
      <c r="A23" s="197"/>
      <c r="B23" s="127"/>
      <c r="C23" s="127"/>
      <c r="D23" s="127"/>
      <c r="E23" s="127"/>
      <c r="F23" s="127"/>
      <c r="G23" s="127"/>
      <c r="H23" s="127"/>
      <c r="I23" s="127"/>
      <c r="J23" s="127"/>
      <c r="K23" s="127"/>
      <c r="L23" s="127"/>
      <c r="M23" s="127"/>
      <c r="N23" s="127"/>
      <c r="O23" s="127"/>
      <c r="P23" s="167"/>
    </row>
    <row r="24" spans="1:16">
      <c r="A24" s="197"/>
      <c r="B24" s="127"/>
      <c r="C24" s="127"/>
      <c r="D24" s="127"/>
      <c r="E24" s="127"/>
      <c r="F24" s="127"/>
      <c r="G24" s="127"/>
      <c r="H24" s="127"/>
      <c r="I24" s="127"/>
      <c r="J24" s="227"/>
      <c r="K24" s="127"/>
      <c r="L24" s="127"/>
      <c r="M24" s="127"/>
      <c r="N24" s="127"/>
      <c r="O24" s="127"/>
      <c r="P24" s="167"/>
    </row>
    <row r="25" spans="1:16">
      <c r="A25" s="197"/>
      <c r="B25" s="127"/>
      <c r="C25" s="127"/>
      <c r="D25" s="127"/>
      <c r="E25" s="127"/>
      <c r="F25" s="127"/>
      <c r="G25" s="127"/>
      <c r="H25" s="127"/>
      <c r="I25" s="127"/>
      <c r="J25" s="127"/>
      <c r="K25" s="127"/>
      <c r="L25" s="127"/>
      <c r="M25" s="127"/>
      <c r="N25" s="127"/>
      <c r="O25" s="127"/>
      <c r="P25" s="167"/>
    </row>
    <row r="26" spans="1:16">
      <c r="A26" s="197"/>
      <c r="B26" s="127"/>
      <c r="C26" s="127"/>
      <c r="D26" s="127"/>
      <c r="E26" s="127"/>
      <c r="F26" s="127"/>
      <c r="G26" s="127"/>
      <c r="H26" s="127"/>
      <c r="I26" s="127"/>
      <c r="J26" s="127"/>
      <c r="K26" s="127"/>
      <c r="L26" s="127"/>
      <c r="M26" s="127"/>
      <c r="N26" s="127"/>
      <c r="O26" s="127"/>
      <c r="P26" s="167"/>
    </row>
    <row r="27" spans="1:16">
      <c r="A27" s="197"/>
      <c r="B27" s="127"/>
      <c r="C27" s="127"/>
      <c r="D27" s="127"/>
      <c r="E27" s="127"/>
      <c r="F27" s="127"/>
      <c r="G27" s="127"/>
      <c r="H27" s="127"/>
      <c r="I27" s="127"/>
      <c r="J27" s="127"/>
      <c r="K27" s="127"/>
      <c r="L27" s="127"/>
      <c r="M27" s="127"/>
      <c r="N27" s="127"/>
      <c r="O27" s="127"/>
      <c r="P27" s="167"/>
    </row>
    <row r="28" spans="1:16">
      <c r="A28" s="197"/>
      <c r="B28" s="127"/>
      <c r="C28" s="127"/>
      <c r="D28" s="127"/>
      <c r="E28" s="127"/>
      <c r="F28" s="127"/>
      <c r="G28" s="127"/>
      <c r="H28" s="127"/>
      <c r="I28" s="127"/>
      <c r="J28" s="127"/>
      <c r="K28" s="127"/>
      <c r="L28" s="127"/>
      <c r="M28" s="127"/>
      <c r="N28" s="127"/>
      <c r="O28" s="127"/>
      <c r="P28" s="167"/>
    </row>
    <row r="29" spans="1:16">
      <c r="A29" s="197"/>
      <c r="B29" s="127"/>
      <c r="C29" s="127"/>
      <c r="D29" s="127"/>
      <c r="E29" s="127"/>
      <c r="F29" s="127"/>
      <c r="G29" s="127"/>
      <c r="H29" s="127"/>
      <c r="I29" s="127"/>
      <c r="J29" s="127"/>
      <c r="K29" s="127"/>
      <c r="L29" s="127"/>
      <c r="M29" s="127"/>
      <c r="N29" s="127"/>
      <c r="O29" s="127"/>
      <c r="P29" s="167"/>
    </row>
    <row r="30" spans="1:16">
      <c r="A30" s="197"/>
      <c r="B30" s="127"/>
      <c r="C30" s="127"/>
      <c r="D30" s="127"/>
      <c r="E30" s="127"/>
      <c r="F30" s="127"/>
      <c r="G30" s="127"/>
      <c r="H30" s="127"/>
      <c r="I30" s="127"/>
      <c r="J30" s="127"/>
      <c r="K30" s="127"/>
      <c r="L30" s="127"/>
      <c r="M30" s="127"/>
      <c r="N30" s="127"/>
      <c r="O30" s="127"/>
      <c r="P30" s="167"/>
    </row>
    <row r="31" spans="1:16">
      <c r="A31" s="197"/>
      <c r="B31" s="127"/>
      <c r="C31" s="127"/>
      <c r="D31" s="127"/>
      <c r="E31" s="127"/>
      <c r="F31" s="127"/>
      <c r="G31" s="127"/>
      <c r="H31" s="127"/>
      <c r="I31" s="127"/>
      <c r="J31" s="127"/>
      <c r="K31" s="127"/>
      <c r="L31" s="127"/>
      <c r="M31" s="127"/>
      <c r="N31" s="127"/>
      <c r="O31" s="127"/>
      <c r="P31" s="167"/>
    </row>
    <row r="32" spans="1:16">
      <c r="A32" s="197"/>
      <c r="B32" s="127"/>
      <c r="C32" s="127"/>
      <c r="D32" s="127"/>
      <c r="E32" s="127"/>
      <c r="F32" s="127"/>
      <c r="G32" s="127"/>
      <c r="H32" s="127"/>
      <c r="I32" s="127"/>
      <c r="J32" s="127"/>
      <c r="K32" s="127"/>
      <c r="L32" s="127"/>
      <c r="M32" s="127"/>
      <c r="N32" s="127"/>
      <c r="O32" s="127"/>
      <c r="P32" s="167"/>
    </row>
    <row r="33" spans="1:16">
      <c r="A33" s="197"/>
      <c r="B33" s="127"/>
      <c r="C33" s="127"/>
      <c r="D33" s="127"/>
      <c r="E33" s="127"/>
      <c r="F33" s="127"/>
      <c r="G33" s="127"/>
      <c r="H33" s="127"/>
      <c r="I33" s="127"/>
      <c r="J33" s="127"/>
      <c r="K33" s="127"/>
      <c r="L33" s="127"/>
      <c r="M33" s="127"/>
      <c r="N33" s="127"/>
      <c r="O33" s="127"/>
      <c r="P33" s="167"/>
    </row>
    <row r="34" spans="1:16">
      <c r="A34" s="197"/>
      <c r="B34" s="127"/>
      <c r="C34" s="127"/>
      <c r="D34" s="127"/>
      <c r="E34" s="127"/>
      <c r="F34" s="127"/>
      <c r="G34" s="127"/>
      <c r="H34" s="127"/>
      <c r="I34" s="127"/>
      <c r="J34" s="127"/>
      <c r="K34" s="127"/>
      <c r="L34" s="127"/>
      <c r="M34" s="127"/>
      <c r="N34" s="127"/>
      <c r="O34" s="127"/>
      <c r="P34" s="167"/>
    </row>
    <row r="35" spans="1:16">
      <c r="A35" s="197"/>
      <c r="B35" s="127"/>
      <c r="C35" s="127"/>
      <c r="D35" s="127"/>
      <c r="E35" s="127"/>
      <c r="F35" s="127"/>
      <c r="G35" s="127"/>
      <c r="H35" s="127"/>
      <c r="I35" s="127"/>
      <c r="J35" s="127"/>
      <c r="K35" s="127"/>
      <c r="L35" s="127"/>
      <c r="M35" s="127"/>
      <c r="N35" s="127"/>
      <c r="O35" s="127"/>
      <c r="P35" s="167"/>
    </row>
    <row r="36" spans="1:16">
      <c r="A36" s="197"/>
      <c r="B36" s="127"/>
      <c r="C36" s="127"/>
      <c r="D36" s="127"/>
      <c r="E36" s="127"/>
      <c r="F36" s="127"/>
      <c r="G36" s="127"/>
      <c r="H36" s="127"/>
      <c r="I36" s="127"/>
      <c r="J36" s="127"/>
      <c r="K36" s="127"/>
      <c r="L36" s="127"/>
      <c r="M36" s="127"/>
      <c r="N36" s="127"/>
      <c r="O36" s="127"/>
      <c r="P36" s="167"/>
    </row>
    <row r="37" spans="1:16">
      <c r="A37" s="197"/>
      <c r="B37" s="127"/>
      <c r="C37" s="127"/>
      <c r="D37" s="127"/>
      <c r="E37" s="127"/>
      <c r="F37" s="127"/>
      <c r="G37" s="127"/>
      <c r="H37" s="127"/>
      <c r="I37" s="127"/>
      <c r="J37" s="127"/>
      <c r="K37" s="127"/>
      <c r="L37" s="127"/>
      <c r="M37" s="127"/>
      <c r="N37" s="127"/>
      <c r="O37" s="127"/>
      <c r="P37" s="167"/>
    </row>
    <row r="38" spans="1:16" ht="13.8" thickBot="1">
      <c r="A38" s="198"/>
      <c r="B38" s="199"/>
      <c r="C38" s="199"/>
      <c r="D38" s="199"/>
      <c r="E38" s="199"/>
      <c r="F38" s="199"/>
      <c r="G38" s="199"/>
      <c r="H38" s="199"/>
      <c r="I38" s="199"/>
      <c r="J38" s="199"/>
      <c r="K38" s="199"/>
      <c r="L38" s="199"/>
      <c r="M38" s="199"/>
      <c r="N38" s="199"/>
      <c r="O38" s="199"/>
      <c r="P38" s="168"/>
    </row>
  </sheetData>
  <mergeCells count="1">
    <mergeCell ref="A15:P15"/>
  </mergeCells>
  <phoneticPr fontId="0" type="noConversion"/>
  <pageMargins left="0.75" right="0.75" top="0.54" bottom="0.53" header="0.5" footer="0.5"/>
  <pageSetup paperSize="9" scale="87" orientation="landscape" r:id="rId1"/>
  <headerFooter alignWithMargins="0">
    <oddFooter>&amp;L&amp;9Enron Europe Confidential&amp;C&amp;9Source: Financial Planning and Analysis&amp;R&amp;9Printed :&amp;D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J53"/>
  <sheetViews>
    <sheetView tabSelected="1" topLeftCell="A10" zoomScale="75" workbookViewId="0">
      <selection activeCell="C9" sqref="C9"/>
    </sheetView>
  </sheetViews>
  <sheetFormatPr defaultRowHeight="13.2"/>
  <cols>
    <col min="2" max="2" width="39.109375" customWidth="1"/>
    <col min="3" max="3" width="25" customWidth="1"/>
    <col min="4" max="4" width="16.5546875" customWidth="1"/>
    <col min="5" max="5" width="12.5546875" customWidth="1"/>
    <col min="6" max="6" width="14.88671875" customWidth="1"/>
    <col min="7" max="7" width="13.44140625" customWidth="1"/>
    <col min="8" max="8" width="15.109375" customWidth="1"/>
    <col min="9" max="9" width="12.88671875" customWidth="1"/>
    <col min="10" max="10" width="13.44140625" customWidth="1"/>
  </cols>
  <sheetData>
    <row r="1" spans="1:10">
      <c r="A1" s="157"/>
      <c r="B1" s="157"/>
      <c r="C1" s="157"/>
      <c r="D1" s="157"/>
      <c r="E1" s="157"/>
      <c r="F1" s="157"/>
      <c r="G1" s="157"/>
      <c r="H1" s="157"/>
      <c r="I1" s="157"/>
      <c r="J1" s="157"/>
    </row>
    <row r="2" spans="1:10">
      <c r="A2" s="157"/>
      <c r="B2" s="157"/>
      <c r="C2" s="157"/>
      <c r="D2" s="157"/>
      <c r="E2" s="157"/>
      <c r="F2" s="157"/>
      <c r="G2" s="157"/>
      <c r="H2" s="157"/>
      <c r="I2" s="157"/>
      <c r="J2" s="157"/>
    </row>
    <row r="3" spans="1:10">
      <c r="A3" s="157"/>
      <c r="B3" s="157"/>
      <c r="C3" s="157"/>
      <c r="D3" s="157"/>
      <c r="E3" s="157"/>
      <c r="F3" s="157"/>
      <c r="G3" s="157"/>
      <c r="H3" s="157"/>
      <c r="I3" s="157"/>
      <c r="J3" s="157"/>
    </row>
    <row r="4" spans="1:10">
      <c r="A4" s="157"/>
      <c r="B4" s="157"/>
      <c r="C4" s="157"/>
      <c r="D4" s="157"/>
      <c r="E4" s="157"/>
      <c r="F4" s="157"/>
      <c r="G4" s="157"/>
      <c r="H4" s="157"/>
      <c r="I4" s="157"/>
      <c r="J4" s="157"/>
    </row>
    <row r="5" spans="1:10">
      <c r="A5" s="157"/>
      <c r="B5" s="157"/>
      <c r="C5" s="157"/>
      <c r="D5" s="157"/>
      <c r="E5" s="157"/>
      <c r="F5" s="157"/>
      <c r="G5" s="157"/>
      <c r="H5" s="157"/>
      <c r="I5" s="157"/>
      <c r="J5" s="157"/>
    </row>
    <row r="6" spans="1:10">
      <c r="A6" s="157"/>
      <c r="B6" s="157"/>
      <c r="C6" s="157"/>
      <c r="D6" s="157"/>
      <c r="E6" s="157"/>
      <c r="F6" s="157"/>
      <c r="G6" s="157"/>
      <c r="H6" s="157"/>
      <c r="I6" s="157"/>
      <c r="J6" s="157"/>
    </row>
    <row r="7" spans="1:10" ht="21">
      <c r="A7" s="157"/>
      <c r="B7" s="187"/>
      <c r="C7" s="157"/>
      <c r="D7" s="157"/>
      <c r="E7" s="251"/>
      <c r="F7" s="157"/>
      <c r="G7" s="157"/>
      <c r="H7" s="157"/>
      <c r="I7" s="157"/>
      <c r="J7" s="157"/>
    </row>
    <row r="8" spans="1:10" ht="6" customHeight="1">
      <c r="A8" s="505"/>
      <c r="B8" s="504"/>
      <c r="C8" s="505"/>
      <c r="D8" s="185"/>
      <c r="E8" s="185"/>
      <c r="F8" s="185"/>
      <c r="G8" s="185"/>
      <c r="H8" s="185"/>
      <c r="I8" s="185"/>
      <c r="J8" s="185"/>
    </row>
    <row r="9" spans="1:10">
      <c r="A9" s="505"/>
      <c r="B9" s="505"/>
      <c r="C9" s="506" t="str">
        <f>+'Adaytum by CC'!C14</f>
        <v>EEL European Govt Affairs</v>
      </c>
      <c r="D9" s="568"/>
      <c r="E9" s="568"/>
      <c r="F9" s="568"/>
      <c r="G9" s="568"/>
      <c r="H9" s="568"/>
      <c r="I9" s="568"/>
      <c r="J9" s="568"/>
    </row>
    <row r="10" spans="1:10" ht="3" customHeight="1">
      <c r="A10" s="505"/>
      <c r="B10" s="505"/>
      <c r="C10" s="506"/>
      <c r="D10" s="568"/>
      <c r="E10" s="568"/>
      <c r="F10" s="568"/>
      <c r="G10" s="568"/>
      <c r="H10" s="568"/>
      <c r="I10" s="568"/>
      <c r="J10" s="568"/>
    </row>
    <row r="11" spans="1:10" ht="12" customHeight="1">
      <c r="A11" s="980" t="s">
        <v>36</v>
      </c>
      <c r="B11" s="185" t="s">
        <v>2</v>
      </c>
      <c r="C11" s="507">
        <f>+'Adaytum by CC'!C15</f>
        <v>1384175</v>
      </c>
      <c r="D11" s="569"/>
      <c r="E11" s="569"/>
      <c r="F11" s="569"/>
      <c r="G11" s="569"/>
      <c r="H11" s="569"/>
      <c r="I11" s="569"/>
      <c r="J11" s="569"/>
    </row>
    <row r="12" spans="1:10" ht="12" customHeight="1">
      <c r="A12" s="980"/>
      <c r="B12" s="185" t="s">
        <v>4</v>
      </c>
      <c r="C12" s="507">
        <f>+'Adaytum by CC'!C16</f>
        <v>271775</v>
      </c>
      <c r="D12" s="569"/>
      <c r="E12" s="569"/>
      <c r="F12" s="569"/>
      <c r="G12" s="569"/>
      <c r="H12" s="569"/>
      <c r="I12" s="569"/>
      <c r="J12" s="569"/>
    </row>
    <row r="13" spans="1:10" ht="12" customHeight="1">
      <c r="A13" s="980"/>
      <c r="B13" s="185" t="s">
        <v>5</v>
      </c>
      <c r="C13" s="507">
        <f>+'Adaytum by CC'!C17</f>
        <v>4481</v>
      </c>
      <c r="D13" s="569"/>
      <c r="E13" s="569"/>
      <c r="F13" s="569"/>
      <c r="G13" s="569"/>
      <c r="H13" s="569"/>
      <c r="I13" s="569"/>
      <c r="J13" s="569"/>
    </row>
    <row r="14" spans="1:10" ht="12" customHeight="1">
      <c r="A14" s="980"/>
      <c r="B14" s="185" t="s">
        <v>6</v>
      </c>
      <c r="C14" s="507">
        <f>+'Adaytum by CC'!C18</f>
        <v>502000</v>
      </c>
      <c r="D14" s="569"/>
      <c r="E14" s="569"/>
      <c r="F14" s="569"/>
      <c r="G14" s="569"/>
      <c r="H14" s="569"/>
      <c r="I14" s="569"/>
      <c r="J14" s="569"/>
    </row>
    <row r="15" spans="1:10" ht="12" customHeight="1">
      <c r="A15" s="980"/>
      <c r="B15" s="185" t="s">
        <v>7</v>
      </c>
      <c r="C15" s="507">
        <f>+'Adaytum by CC'!C19</f>
        <v>245000</v>
      </c>
      <c r="D15" s="569"/>
      <c r="E15" s="569"/>
      <c r="F15" s="569"/>
      <c r="G15" s="569"/>
      <c r="H15" s="569"/>
      <c r="I15" s="569"/>
      <c r="J15" s="569"/>
    </row>
    <row r="16" spans="1:10" ht="12" customHeight="1">
      <c r="A16" s="980"/>
      <c r="B16" s="185" t="s">
        <v>8</v>
      </c>
      <c r="C16" s="507">
        <f>+'Adaytum by CC'!C20</f>
        <v>100000</v>
      </c>
      <c r="D16" s="569"/>
      <c r="E16" s="569"/>
      <c r="F16" s="569"/>
      <c r="G16" s="569"/>
      <c r="H16" s="569"/>
      <c r="I16" s="569"/>
      <c r="J16" s="569"/>
    </row>
    <row r="17" spans="1:10" ht="12" customHeight="1">
      <c r="A17" s="980"/>
      <c r="B17" s="185" t="s">
        <v>9</v>
      </c>
      <c r="C17" s="507">
        <f>+'Adaytum by CC'!C21</f>
        <v>122406</v>
      </c>
      <c r="D17" s="569"/>
      <c r="E17" s="569"/>
      <c r="F17" s="569"/>
      <c r="G17" s="569"/>
      <c r="H17" s="569"/>
      <c r="I17" s="569"/>
      <c r="J17" s="569"/>
    </row>
    <row r="18" spans="1:10" ht="12" customHeight="1">
      <c r="A18" s="980"/>
      <c r="B18" s="185" t="s">
        <v>10</v>
      </c>
      <c r="C18" s="507">
        <f>+'Adaytum by CC'!C22</f>
        <v>20000</v>
      </c>
      <c r="D18" s="569"/>
      <c r="E18" s="569"/>
      <c r="F18" s="569"/>
      <c r="G18" s="569"/>
      <c r="H18" s="569"/>
      <c r="I18" s="569"/>
      <c r="J18" s="569"/>
    </row>
    <row r="19" spans="1:10" ht="12" customHeight="1">
      <c r="A19" s="980"/>
      <c r="B19" s="185" t="s">
        <v>11</v>
      </c>
      <c r="C19" s="507">
        <f>+'Adaytum by CC'!C23</f>
        <v>0</v>
      </c>
      <c r="D19" s="569"/>
      <c r="E19" s="569"/>
      <c r="F19" s="569"/>
      <c r="G19" s="569"/>
      <c r="H19" s="569"/>
      <c r="I19" s="569"/>
      <c r="J19" s="569"/>
    </row>
    <row r="20" spans="1:10" ht="12" customHeight="1" thickBot="1">
      <c r="A20" s="980"/>
      <c r="B20" s="11"/>
      <c r="C20" s="14"/>
      <c r="D20" s="569"/>
      <c r="E20" s="569"/>
      <c r="F20" s="569"/>
      <c r="G20" s="569"/>
      <c r="H20" s="569"/>
      <c r="I20" s="569"/>
      <c r="J20" s="569"/>
    </row>
    <row r="21" spans="1:10" ht="12" customHeight="1">
      <c r="A21" s="980"/>
      <c r="B21" s="508" t="s">
        <v>12</v>
      </c>
      <c r="C21" s="510">
        <f>SUM(C11:C19)</f>
        <v>2649837</v>
      </c>
      <c r="D21" s="570"/>
      <c r="E21" s="570"/>
      <c r="F21" s="570"/>
      <c r="G21" s="570"/>
      <c r="H21" s="570"/>
      <c r="I21" s="570"/>
      <c r="J21" s="570"/>
    </row>
    <row r="22" spans="1:10">
      <c r="A22" s="505"/>
      <c r="B22" s="157"/>
      <c r="C22" s="507"/>
      <c r="D22" s="569"/>
      <c r="E22" s="569"/>
      <c r="F22" s="569"/>
      <c r="G22" s="569"/>
      <c r="H22" s="569"/>
      <c r="I22" s="569"/>
      <c r="J22" s="569"/>
    </row>
    <row r="23" spans="1:10">
      <c r="A23" s="505"/>
      <c r="B23" s="509" t="s">
        <v>233</v>
      </c>
      <c r="C23" s="510">
        <f>+'Adaytum Headcount'!C16</f>
        <v>10</v>
      </c>
      <c r="D23" s="570"/>
      <c r="E23" s="570"/>
      <c r="F23" s="570"/>
      <c r="G23" s="570"/>
      <c r="H23" s="570"/>
      <c r="I23" s="570"/>
      <c r="J23" s="570"/>
    </row>
    <row r="24" spans="1:10">
      <c r="A24" s="505"/>
      <c r="B24" s="157"/>
      <c r="C24" s="507"/>
      <c r="D24" s="569"/>
      <c r="E24" s="569"/>
      <c r="F24" s="569"/>
      <c r="G24" s="569"/>
      <c r="H24" s="569"/>
      <c r="I24" s="569"/>
      <c r="J24" s="569"/>
    </row>
    <row r="25" spans="1:10">
      <c r="A25" s="980" t="s">
        <v>700</v>
      </c>
      <c r="B25" s="185" t="s">
        <v>2</v>
      </c>
      <c r="C25" s="507">
        <f>+'Adaytum by CC'!C33</f>
        <v>3074294.1866666665</v>
      </c>
      <c r="D25" s="569"/>
      <c r="E25" s="569"/>
      <c r="F25" s="569"/>
      <c r="G25" s="569"/>
      <c r="H25" s="569"/>
      <c r="I25" s="569"/>
      <c r="J25" s="569"/>
    </row>
    <row r="26" spans="1:10">
      <c r="A26" s="980"/>
      <c r="B26" s="185" t="s">
        <v>4</v>
      </c>
      <c r="C26" s="507">
        <f>+'Adaytum by CC'!C34</f>
        <v>1052440.31</v>
      </c>
      <c r="D26" s="569"/>
      <c r="E26" s="569"/>
      <c r="F26" s="569"/>
      <c r="G26" s="569"/>
      <c r="H26" s="569"/>
      <c r="I26" s="569"/>
      <c r="J26" s="569"/>
    </row>
    <row r="27" spans="1:10">
      <c r="A27" s="980"/>
      <c r="B27" s="185" t="s">
        <v>5</v>
      </c>
      <c r="C27" s="507">
        <f>+'Adaytum by CC'!C35</f>
        <v>55114.75</v>
      </c>
      <c r="D27" s="569"/>
      <c r="E27" s="569"/>
      <c r="F27" s="569"/>
      <c r="G27" s="569"/>
      <c r="H27" s="569"/>
      <c r="I27" s="569"/>
      <c r="J27" s="569"/>
    </row>
    <row r="28" spans="1:10">
      <c r="A28" s="980"/>
      <c r="B28" s="185" t="s">
        <v>6</v>
      </c>
      <c r="C28" s="507">
        <f>+'Adaytum by CC'!C36</f>
        <v>1340213.49</v>
      </c>
      <c r="D28" s="569"/>
      <c r="E28" s="569"/>
      <c r="F28" s="569"/>
      <c r="G28" s="569"/>
      <c r="H28" s="569"/>
      <c r="I28" s="569"/>
      <c r="J28" s="569"/>
    </row>
    <row r="29" spans="1:10">
      <c r="A29" s="980"/>
      <c r="B29" s="185" t="s">
        <v>7</v>
      </c>
      <c r="C29" s="507">
        <f>+'Adaytum by CC'!C37</f>
        <v>3074196.57</v>
      </c>
      <c r="D29" s="569"/>
      <c r="E29" s="569"/>
      <c r="F29" s="569"/>
      <c r="G29" s="569"/>
      <c r="H29" s="569"/>
      <c r="I29" s="569"/>
      <c r="J29" s="569"/>
    </row>
    <row r="30" spans="1:10">
      <c r="A30" s="980"/>
      <c r="B30" s="185" t="s">
        <v>8</v>
      </c>
      <c r="C30" s="507">
        <f>+'Adaytum by CC'!C38</f>
        <v>128415.76</v>
      </c>
      <c r="D30" s="569"/>
      <c r="E30" s="569"/>
      <c r="F30" s="569"/>
      <c r="G30" s="569"/>
      <c r="H30" s="569"/>
      <c r="I30" s="569"/>
      <c r="J30" s="569"/>
    </row>
    <row r="31" spans="1:10">
      <c r="A31" s="980"/>
      <c r="B31" s="185" t="s">
        <v>9</v>
      </c>
      <c r="C31" s="507">
        <f>+'Adaytum by CC'!C39</f>
        <v>220578.87</v>
      </c>
      <c r="D31" s="569"/>
      <c r="E31" s="569"/>
      <c r="F31" s="569"/>
      <c r="G31" s="569"/>
      <c r="H31" s="569"/>
      <c r="I31" s="569"/>
      <c r="J31" s="569"/>
    </row>
    <row r="32" spans="1:10">
      <c r="A32" s="980"/>
      <c r="B32" s="185" t="s">
        <v>10</v>
      </c>
      <c r="C32" s="507">
        <f>+'Adaytum by CC'!C40</f>
        <v>67193.47</v>
      </c>
      <c r="D32" s="569"/>
      <c r="E32" s="569"/>
      <c r="F32" s="569"/>
      <c r="G32" s="569"/>
      <c r="H32" s="569"/>
      <c r="I32" s="569"/>
      <c r="J32" s="569"/>
    </row>
    <row r="33" spans="1:10">
      <c r="A33" s="980"/>
      <c r="B33" s="185" t="s">
        <v>11</v>
      </c>
      <c r="C33" s="507">
        <f>+'Adaytum by CC'!C41</f>
        <v>0</v>
      </c>
      <c r="D33" s="569"/>
      <c r="E33" s="569"/>
      <c r="F33" s="569"/>
      <c r="G33" s="569"/>
      <c r="H33" s="569"/>
      <c r="I33" s="569"/>
      <c r="J33" s="569"/>
    </row>
    <row r="34" spans="1:10" ht="13.8" thickBot="1">
      <c r="A34" s="980"/>
      <c r="B34" s="11"/>
      <c r="C34" s="14"/>
      <c r="D34" s="569"/>
      <c r="E34" s="569"/>
      <c r="F34" s="569"/>
      <c r="G34" s="569"/>
      <c r="H34" s="569"/>
      <c r="I34" s="569"/>
      <c r="J34" s="569"/>
    </row>
    <row r="35" spans="1:10">
      <c r="A35" s="980"/>
      <c r="B35" s="508" t="s">
        <v>12</v>
      </c>
      <c r="C35" s="510">
        <f>SUM(C25:C33)</f>
        <v>9012447.4066666663</v>
      </c>
      <c r="D35" s="570"/>
      <c r="E35" s="570"/>
      <c r="F35" s="570"/>
      <c r="G35" s="570"/>
      <c r="H35" s="570"/>
      <c r="I35" s="570"/>
      <c r="J35" s="570"/>
    </row>
    <row r="36" spans="1:10">
      <c r="A36" s="505"/>
      <c r="B36" s="157"/>
      <c r="C36" s="507"/>
      <c r="D36" s="569"/>
      <c r="E36" s="569"/>
      <c r="F36" s="569"/>
      <c r="G36" s="569"/>
      <c r="H36" s="569"/>
      <c r="I36" s="569"/>
      <c r="J36" s="569"/>
    </row>
    <row r="37" spans="1:10">
      <c r="A37" s="505"/>
      <c r="B37" s="509" t="s">
        <v>233</v>
      </c>
      <c r="C37" s="510">
        <v>19</v>
      </c>
      <c r="D37" s="570"/>
      <c r="E37" s="570"/>
      <c r="F37" s="570"/>
      <c r="G37" s="570"/>
      <c r="H37" s="570"/>
      <c r="I37" s="570"/>
      <c r="J37" s="570"/>
    </row>
    <row r="38" spans="1:10">
      <c r="A38" s="505"/>
      <c r="B38" s="157"/>
      <c r="C38" s="507"/>
      <c r="D38" s="569"/>
      <c r="E38" s="569"/>
      <c r="F38" s="569"/>
      <c r="G38" s="569"/>
      <c r="H38" s="569"/>
      <c r="I38" s="569"/>
      <c r="J38" s="569"/>
    </row>
    <row r="39" spans="1:10">
      <c r="A39" s="980" t="s">
        <v>23</v>
      </c>
      <c r="B39" s="185" t="s">
        <v>2</v>
      </c>
      <c r="C39" s="507">
        <f t="shared" ref="C39:C45" si="0">-C25+C11</f>
        <v>-1690119.1866666665</v>
      </c>
      <c r="D39" s="569"/>
      <c r="E39" s="569"/>
      <c r="F39" s="569"/>
      <c r="G39" s="569"/>
      <c r="H39" s="569"/>
      <c r="I39" s="569"/>
      <c r="J39" s="569"/>
    </row>
    <row r="40" spans="1:10">
      <c r="A40" s="980"/>
      <c r="B40" s="185" t="s">
        <v>4</v>
      </c>
      <c r="C40" s="507">
        <f t="shared" si="0"/>
        <v>-780665.31</v>
      </c>
      <c r="D40" s="569"/>
      <c r="E40" s="569"/>
      <c r="F40" s="569"/>
      <c r="G40" s="569"/>
      <c r="H40" s="569"/>
      <c r="I40" s="569"/>
      <c r="J40" s="569"/>
    </row>
    <row r="41" spans="1:10">
      <c r="A41" s="980"/>
      <c r="B41" s="185" t="s">
        <v>5</v>
      </c>
      <c r="C41" s="507">
        <f t="shared" si="0"/>
        <v>-50633.75</v>
      </c>
      <c r="D41" s="569"/>
      <c r="E41" s="569"/>
      <c r="F41" s="569"/>
      <c r="G41" s="569"/>
      <c r="H41" s="569"/>
      <c r="I41" s="569"/>
      <c r="J41" s="569"/>
    </row>
    <row r="42" spans="1:10">
      <c r="A42" s="980"/>
      <c r="B42" s="185" t="s">
        <v>6</v>
      </c>
      <c r="C42" s="507">
        <f t="shared" si="0"/>
        <v>-838213.49</v>
      </c>
      <c r="D42" s="569"/>
      <c r="E42" s="569"/>
      <c r="F42" s="569"/>
      <c r="G42" s="569"/>
      <c r="H42" s="569"/>
      <c r="I42" s="569"/>
      <c r="J42" s="569"/>
    </row>
    <row r="43" spans="1:10">
      <c r="A43" s="980"/>
      <c r="B43" s="185" t="s">
        <v>7</v>
      </c>
      <c r="C43" s="507">
        <f t="shared" si="0"/>
        <v>-2829196.57</v>
      </c>
      <c r="D43" s="569"/>
      <c r="E43" s="569"/>
      <c r="F43" s="569"/>
      <c r="G43" s="569"/>
      <c r="H43" s="569"/>
      <c r="I43" s="569"/>
      <c r="J43" s="569"/>
    </row>
    <row r="44" spans="1:10">
      <c r="A44" s="980"/>
      <c r="B44" s="185" t="s">
        <v>8</v>
      </c>
      <c r="C44" s="507">
        <f t="shared" si="0"/>
        <v>-28415.759999999995</v>
      </c>
      <c r="D44" s="569"/>
      <c r="E44" s="569"/>
      <c r="F44" s="569"/>
      <c r="G44" s="569"/>
      <c r="H44" s="569"/>
      <c r="I44" s="569"/>
      <c r="J44" s="569"/>
    </row>
    <row r="45" spans="1:10">
      <c r="A45" s="980"/>
      <c r="B45" s="185" t="s">
        <v>9</v>
      </c>
      <c r="C45" s="507">
        <f t="shared" si="0"/>
        <v>-98172.87</v>
      </c>
      <c r="D45" s="569"/>
      <c r="E45" s="569"/>
      <c r="F45" s="569"/>
      <c r="G45" s="569"/>
      <c r="H45" s="569"/>
      <c r="I45" s="569"/>
      <c r="J45" s="569"/>
    </row>
    <row r="46" spans="1:10">
      <c r="A46" s="980"/>
      <c r="B46" s="185" t="s">
        <v>10</v>
      </c>
      <c r="C46" s="507">
        <f>-C32+C18</f>
        <v>-47193.47</v>
      </c>
      <c r="D46" s="569"/>
      <c r="E46" s="569"/>
      <c r="F46" s="569"/>
      <c r="G46" s="569"/>
      <c r="H46" s="569"/>
      <c r="I46" s="569"/>
      <c r="J46" s="569"/>
    </row>
    <row r="47" spans="1:10">
      <c r="A47" s="980"/>
      <c r="B47" s="185" t="s">
        <v>11</v>
      </c>
      <c r="C47" s="507">
        <f>-C33+C19</f>
        <v>0</v>
      </c>
      <c r="D47" s="569"/>
      <c r="E47" s="569"/>
      <c r="F47" s="569"/>
      <c r="G47" s="569"/>
      <c r="H47" s="569"/>
      <c r="I47" s="569"/>
      <c r="J47" s="569"/>
    </row>
    <row r="48" spans="1:10" ht="13.8" thickBot="1">
      <c r="A48" s="980"/>
      <c r="B48" s="11"/>
      <c r="C48" s="14"/>
      <c r="D48" s="569"/>
      <c r="E48" s="569"/>
      <c r="F48" s="569"/>
      <c r="G48" s="569"/>
      <c r="H48" s="569"/>
      <c r="I48" s="569"/>
      <c r="J48" s="569"/>
    </row>
    <row r="49" spans="1:10">
      <c r="A49" s="980"/>
      <c r="B49" s="508" t="s">
        <v>12</v>
      </c>
      <c r="C49" s="510">
        <f>SUM(C39:C48)</f>
        <v>-6362610.4066666663</v>
      </c>
      <c r="D49" s="570"/>
      <c r="E49" s="570"/>
      <c r="F49" s="570"/>
      <c r="G49" s="570"/>
      <c r="H49" s="570"/>
      <c r="I49" s="570"/>
      <c r="J49" s="570"/>
    </row>
    <row r="50" spans="1:10">
      <c r="A50" s="505"/>
      <c r="B50" s="157"/>
      <c r="C50" s="507"/>
      <c r="D50" s="569"/>
      <c r="E50" s="569"/>
      <c r="F50" s="569"/>
      <c r="G50" s="569"/>
      <c r="H50" s="569"/>
      <c r="I50" s="569"/>
      <c r="J50" s="569"/>
    </row>
    <row r="51" spans="1:10">
      <c r="A51" s="505"/>
      <c r="B51" s="187" t="s">
        <v>30</v>
      </c>
      <c r="C51" s="510">
        <f>+C37-C23</f>
        <v>9</v>
      </c>
      <c r="D51" s="570"/>
      <c r="E51" s="570"/>
      <c r="F51" s="570"/>
      <c r="G51" s="570"/>
      <c r="H51" s="570"/>
      <c r="I51" s="570"/>
      <c r="J51" s="570"/>
    </row>
    <row r="52" spans="1:10">
      <c r="A52" s="505"/>
      <c r="B52" s="157"/>
      <c r="C52" s="507"/>
      <c r="D52" s="569"/>
      <c r="E52" s="569"/>
      <c r="F52" s="569"/>
      <c r="G52" s="569"/>
      <c r="H52" s="569"/>
      <c r="I52" s="569"/>
      <c r="J52" s="569"/>
    </row>
    <row r="53" spans="1:10">
      <c r="D53" s="185"/>
      <c r="E53" s="185"/>
      <c r="F53" s="185"/>
      <c r="G53" s="185"/>
      <c r="H53" s="185"/>
      <c r="I53" s="185"/>
      <c r="J53" s="185"/>
    </row>
  </sheetData>
  <mergeCells count="3">
    <mergeCell ref="A11:A21"/>
    <mergeCell ref="A25:A35"/>
    <mergeCell ref="A39:A49"/>
  </mergeCells>
  <phoneticPr fontId="0" type="noConversion"/>
  <pageMargins left="0.75" right="0.75" top="0.51" bottom="0.52" header="0.5" footer="0.5"/>
  <pageSetup paperSize="9" scale="77" orientation="landscape" r:id="rId1"/>
  <headerFooter alignWithMargins="0">
    <oddFooter>&amp;L&amp;9Enron Europe Confidential&amp;C&amp;9Source: Financial Planning and Analysis&amp;R&amp;9Printed : &amp;D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7:O49"/>
  <sheetViews>
    <sheetView tabSelected="1" topLeftCell="D1" zoomScale="75" workbookViewId="0">
      <selection activeCell="C9" sqref="C9"/>
    </sheetView>
  </sheetViews>
  <sheetFormatPr defaultRowHeight="13.2"/>
  <cols>
    <col min="2" max="2" width="25.6640625" customWidth="1"/>
    <col min="3" max="15" width="13.6640625" customWidth="1"/>
  </cols>
  <sheetData>
    <row r="7" spans="1:15" ht="21">
      <c r="B7" s="2"/>
      <c r="F7" s="251"/>
    </row>
    <row r="8" spans="1:15">
      <c r="A8" s="9"/>
      <c r="B8" s="15"/>
      <c r="C8" s="9"/>
      <c r="D8" s="9"/>
      <c r="E8" s="9"/>
      <c r="F8" s="9"/>
      <c r="G8" s="9"/>
      <c r="H8" s="9"/>
      <c r="I8" s="9"/>
      <c r="J8" s="9"/>
      <c r="K8" s="9"/>
      <c r="L8" s="9"/>
      <c r="M8" s="9"/>
      <c r="N8" s="9"/>
      <c r="O8" s="9"/>
    </row>
    <row r="9" spans="1:15">
      <c r="A9" s="9"/>
      <c r="B9" s="9"/>
      <c r="C9" s="10" t="str">
        <f>+'Adaytum by Month'!C14</f>
        <v>Jan</v>
      </c>
      <c r="D9" s="10" t="str">
        <f>+'Adaytum by Month'!D14</f>
        <v>Feb</v>
      </c>
      <c r="E9" s="10" t="str">
        <f>+'Adaytum by Month'!E14</f>
        <v>Mar</v>
      </c>
      <c r="F9" s="10" t="str">
        <f>+'Adaytum by Month'!F14</f>
        <v>Apr</v>
      </c>
      <c r="G9" s="10" t="str">
        <f>+'Adaytum by Month'!G14</f>
        <v>May</v>
      </c>
      <c r="H9" s="10" t="str">
        <f>+'Adaytum by Month'!H14</f>
        <v>Jun</v>
      </c>
      <c r="I9" s="10" t="str">
        <f>+'Adaytum by Month'!I14</f>
        <v>Jul</v>
      </c>
      <c r="J9" s="10" t="str">
        <f>+'Adaytum by Month'!J14</f>
        <v>Aug</v>
      </c>
      <c r="K9" s="10" t="str">
        <f>+'Adaytum by Month'!K14</f>
        <v>Sep</v>
      </c>
      <c r="L9" s="10" t="str">
        <f>+'Adaytum by Month'!L14</f>
        <v>Oct</v>
      </c>
      <c r="M9" s="10" t="str">
        <f>+'Adaytum by Month'!M14</f>
        <v>Nov</v>
      </c>
      <c r="N9" s="10" t="str">
        <f>+'Adaytum by Month'!N14</f>
        <v>Dec</v>
      </c>
      <c r="O9" s="10">
        <f>+'Adaytum by Month'!P14</f>
        <v>0</v>
      </c>
    </row>
    <row r="10" spans="1:15">
      <c r="A10" s="9"/>
      <c r="B10" s="9"/>
      <c r="C10" s="10"/>
      <c r="D10" s="10"/>
      <c r="E10" s="10"/>
      <c r="F10" s="10"/>
      <c r="G10" s="10"/>
      <c r="H10" s="10"/>
      <c r="I10" s="10"/>
      <c r="J10" s="10"/>
      <c r="K10" s="10"/>
      <c r="L10" s="10"/>
      <c r="M10" s="10"/>
      <c r="N10" s="10"/>
      <c r="O10" s="10"/>
    </row>
    <row r="11" spans="1:15" ht="12" customHeight="1">
      <c r="A11" s="981" t="s">
        <v>36</v>
      </c>
      <c r="B11" s="7" t="s">
        <v>2</v>
      </c>
      <c r="C11" s="13">
        <f>1384175/12</f>
        <v>115347.91666666667</v>
      </c>
      <c r="D11" s="13">
        <f t="shared" ref="D11:N11" si="0">1384175/12</f>
        <v>115347.91666666667</v>
      </c>
      <c r="E11" s="13">
        <f t="shared" si="0"/>
        <v>115347.91666666667</v>
      </c>
      <c r="F11" s="13">
        <f t="shared" si="0"/>
        <v>115347.91666666667</v>
      </c>
      <c r="G11" s="13">
        <f t="shared" si="0"/>
        <v>115347.91666666667</v>
      </c>
      <c r="H11" s="13">
        <f t="shared" si="0"/>
        <v>115347.91666666667</v>
      </c>
      <c r="I11" s="13">
        <f t="shared" si="0"/>
        <v>115347.91666666667</v>
      </c>
      <c r="J11" s="13">
        <f t="shared" si="0"/>
        <v>115347.91666666667</v>
      </c>
      <c r="K11" s="13">
        <f t="shared" si="0"/>
        <v>115347.91666666667</v>
      </c>
      <c r="L11" s="13">
        <f t="shared" si="0"/>
        <v>115347.91666666667</v>
      </c>
      <c r="M11" s="13">
        <f t="shared" si="0"/>
        <v>115347.91666666667</v>
      </c>
      <c r="N11" s="13">
        <f t="shared" si="0"/>
        <v>115347.91666666667</v>
      </c>
      <c r="O11" s="13">
        <f>SUM(C11:N11)</f>
        <v>1384175</v>
      </c>
    </row>
    <row r="12" spans="1:15" ht="12" customHeight="1">
      <c r="A12" s="981"/>
      <c r="B12" s="7" t="s">
        <v>4</v>
      </c>
      <c r="C12" s="13">
        <f>271775/12</f>
        <v>22647.916666666668</v>
      </c>
      <c r="D12" s="13">
        <f t="shared" ref="D12:N12" si="1">271775/12</f>
        <v>22647.916666666668</v>
      </c>
      <c r="E12" s="13">
        <f t="shared" si="1"/>
        <v>22647.916666666668</v>
      </c>
      <c r="F12" s="13">
        <f t="shared" si="1"/>
        <v>22647.916666666668</v>
      </c>
      <c r="G12" s="13">
        <f t="shared" si="1"/>
        <v>22647.916666666668</v>
      </c>
      <c r="H12" s="13">
        <f t="shared" si="1"/>
        <v>22647.916666666668</v>
      </c>
      <c r="I12" s="13">
        <f t="shared" si="1"/>
        <v>22647.916666666668</v>
      </c>
      <c r="J12" s="13">
        <f t="shared" si="1"/>
        <v>22647.916666666668</v>
      </c>
      <c r="K12" s="13">
        <f t="shared" si="1"/>
        <v>22647.916666666668</v>
      </c>
      <c r="L12" s="13">
        <f t="shared" si="1"/>
        <v>22647.916666666668</v>
      </c>
      <c r="M12" s="13">
        <f t="shared" si="1"/>
        <v>22647.916666666668</v>
      </c>
      <c r="N12" s="13">
        <f t="shared" si="1"/>
        <v>22647.916666666668</v>
      </c>
      <c r="O12" s="13">
        <f t="shared" ref="O12:O19" si="2">SUM(C12:N12)</f>
        <v>271774.99999999994</v>
      </c>
    </row>
    <row r="13" spans="1:15" ht="12" customHeight="1">
      <c r="A13" s="981"/>
      <c r="B13" s="7" t="s">
        <v>5</v>
      </c>
      <c r="C13" s="13">
        <f>+(4481)/12</f>
        <v>373.41666666666669</v>
      </c>
      <c r="D13" s="13">
        <f>+(4481)/12</f>
        <v>373.41666666666669</v>
      </c>
      <c r="E13" s="13">
        <f t="shared" ref="E13:N13" si="3">+(4481)/12</f>
        <v>373.41666666666669</v>
      </c>
      <c r="F13" s="13">
        <f t="shared" si="3"/>
        <v>373.41666666666669</v>
      </c>
      <c r="G13" s="13">
        <f t="shared" si="3"/>
        <v>373.41666666666669</v>
      </c>
      <c r="H13" s="13">
        <f t="shared" si="3"/>
        <v>373.41666666666669</v>
      </c>
      <c r="I13" s="13">
        <f t="shared" si="3"/>
        <v>373.41666666666669</v>
      </c>
      <c r="J13" s="13">
        <f t="shared" si="3"/>
        <v>373.41666666666669</v>
      </c>
      <c r="K13" s="13">
        <f t="shared" si="3"/>
        <v>373.41666666666669</v>
      </c>
      <c r="L13" s="13">
        <f t="shared" si="3"/>
        <v>373.41666666666669</v>
      </c>
      <c r="M13" s="13">
        <f t="shared" si="3"/>
        <v>373.41666666666669</v>
      </c>
      <c r="N13" s="13">
        <f t="shared" si="3"/>
        <v>373.41666666666669</v>
      </c>
      <c r="O13" s="13">
        <f t="shared" si="2"/>
        <v>4481</v>
      </c>
    </row>
    <row r="14" spans="1:15" ht="12" customHeight="1">
      <c r="A14" s="981"/>
      <c r="B14" s="7" t="s">
        <v>6</v>
      </c>
      <c r="C14" s="13">
        <f t="shared" ref="C14:M14" si="4">527000/12</f>
        <v>43916.666666666664</v>
      </c>
      <c r="D14" s="13">
        <f t="shared" si="4"/>
        <v>43916.666666666664</v>
      </c>
      <c r="E14" s="13">
        <f t="shared" si="4"/>
        <v>43916.666666666664</v>
      </c>
      <c r="F14" s="13">
        <f t="shared" si="4"/>
        <v>43916.666666666664</v>
      </c>
      <c r="G14" s="13">
        <f t="shared" si="4"/>
        <v>43916.666666666664</v>
      </c>
      <c r="H14" s="13">
        <f t="shared" si="4"/>
        <v>43916.666666666664</v>
      </c>
      <c r="I14" s="13">
        <f t="shared" si="4"/>
        <v>43916.666666666664</v>
      </c>
      <c r="J14" s="13">
        <f t="shared" si="4"/>
        <v>43916.666666666664</v>
      </c>
      <c r="K14" s="13">
        <f t="shared" si="4"/>
        <v>43916.666666666664</v>
      </c>
      <c r="L14" s="13">
        <f t="shared" si="4"/>
        <v>43916.666666666664</v>
      </c>
      <c r="M14" s="13">
        <f t="shared" si="4"/>
        <v>43916.666666666664</v>
      </c>
      <c r="N14" s="13">
        <f>527000/12</f>
        <v>43916.666666666664</v>
      </c>
      <c r="O14" s="13">
        <f t="shared" si="2"/>
        <v>527000.00000000012</v>
      </c>
    </row>
    <row r="15" spans="1:15" ht="12" customHeight="1">
      <c r="A15" s="981"/>
      <c r="B15" s="7" t="s">
        <v>7</v>
      </c>
      <c r="C15" s="13">
        <f>245000/12</f>
        <v>20416.666666666668</v>
      </c>
      <c r="D15" s="13">
        <f t="shared" ref="D15:N15" si="5">245000/12</f>
        <v>20416.666666666668</v>
      </c>
      <c r="E15" s="13">
        <f t="shared" si="5"/>
        <v>20416.666666666668</v>
      </c>
      <c r="F15" s="13">
        <f t="shared" si="5"/>
        <v>20416.666666666668</v>
      </c>
      <c r="G15" s="13">
        <f t="shared" si="5"/>
        <v>20416.666666666668</v>
      </c>
      <c r="H15" s="13">
        <f t="shared" si="5"/>
        <v>20416.666666666668</v>
      </c>
      <c r="I15" s="13">
        <f t="shared" si="5"/>
        <v>20416.666666666668</v>
      </c>
      <c r="J15" s="13">
        <f t="shared" si="5"/>
        <v>20416.666666666668</v>
      </c>
      <c r="K15" s="13">
        <f t="shared" si="5"/>
        <v>20416.666666666668</v>
      </c>
      <c r="L15" s="13">
        <f t="shared" si="5"/>
        <v>20416.666666666668</v>
      </c>
      <c r="M15" s="13">
        <f t="shared" si="5"/>
        <v>20416.666666666668</v>
      </c>
      <c r="N15" s="13">
        <f t="shared" si="5"/>
        <v>20416.666666666668</v>
      </c>
      <c r="O15" s="13">
        <f t="shared" si="2"/>
        <v>244999.99999999997</v>
      </c>
    </row>
    <row r="16" spans="1:15" ht="12" customHeight="1">
      <c r="A16" s="981"/>
      <c r="B16" s="7" t="s">
        <v>8</v>
      </c>
      <c r="C16" s="13">
        <f>100000/12</f>
        <v>8333.3333333333339</v>
      </c>
      <c r="D16" s="13">
        <f t="shared" ref="D16:N16" si="6">100000/12</f>
        <v>8333.3333333333339</v>
      </c>
      <c r="E16" s="13">
        <f t="shared" si="6"/>
        <v>8333.3333333333339</v>
      </c>
      <c r="F16" s="13">
        <f t="shared" si="6"/>
        <v>8333.3333333333339</v>
      </c>
      <c r="G16" s="13">
        <f t="shared" si="6"/>
        <v>8333.3333333333339</v>
      </c>
      <c r="H16" s="13">
        <f t="shared" si="6"/>
        <v>8333.3333333333339</v>
      </c>
      <c r="I16" s="13">
        <f t="shared" si="6"/>
        <v>8333.3333333333339</v>
      </c>
      <c r="J16" s="13">
        <f t="shared" si="6"/>
        <v>8333.3333333333339</v>
      </c>
      <c r="K16" s="13">
        <f t="shared" si="6"/>
        <v>8333.3333333333339</v>
      </c>
      <c r="L16" s="13">
        <f t="shared" si="6"/>
        <v>8333.3333333333339</v>
      </c>
      <c r="M16" s="13">
        <f t="shared" si="6"/>
        <v>8333.3333333333339</v>
      </c>
      <c r="N16" s="13">
        <f t="shared" si="6"/>
        <v>8333.3333333333339</v>
      </c>
      <c r="O16" s="13">
        <f t="shared" si="2"/>
        <v>99999.999999999985</v>
      </c>
    </row>
    <row r="17" spans="1:15" ht="12" customHeight="1">
      <c r="A17" s="981"/>
      <c r="B17" s="7" t="s">
        <v>9</v>
      </c>
      <c r="C17" s="13">
        <f>122406/12</f>
        <v>10200.5</v>
      </c>
      <c r="D17" s="13">
        <f t="shared" ref="D17:N17" si="7">122406/12</f>
        <v>10200.5</v>
      </c>
      <c r="E17" s="13">
        <f t="shared" si="7"/>
        <v>10200.5</v>
      </c>
      <c r="F17" s="13">
        <f t="shared" si="7"/>
        <v>10200.5</v>
      </c>
      <c r="G17" s="13">
        <f t="shared" si="7"/>
        <v>10200.5</v>
      </c>
      <c r="H17" s="13">
        <f t="shared" si="7"/>
        <v>10200.5</v>
      </c>
      <c r="I17" s="13">
        <f t="shared" si="7"/>
        <v>10200.5</v>
      </c>
      <c r="J17" s="13">
        <f t="shared" si="7"/>
        <v>10200.5</v>
      </c>
      <c r="K17" s="13">
        <f t="shared" si="7"/>
        <v>10200.5</v>
      </c>
      <c r="L17" s="13">
        <f t="shared" si="7"/>
        <v>10200.5</v>
      </c>
      <c r="M17" s="13">
        <f t="shared" si="7"/>
        <v>10200.5</v>
      </c>
      <c r="N17" s="13">
        <f t="shared" si="7"/>
        <v>10200.5</v>
      </c>
      <c r="O17" s="13">
        <f t="shared" si="2"/>
        <v>122406</v>
      </c>
    </row>
    <row r="18" spans="1:15" ht="12" customHeight="1">
      <c r="A18" s="981"/>
      <c r="B18" s="7" t="s">
        <v>10</v>
      </c>
      <c r="C18" s="13">
        <f>+(20000)/12</f>
        <v>1666.6666666666667</v>
      </c>
      <c r="D18" s="13">
        <f>+(20000)/12</f>
        <v>1666.6666666666667</v>
      </c>
      <c r="E18" s="13">
        <f t="shared" ref="E18:N18" si="8">+(20000)/12</f>
        <v>1666.6666666666667</v>
      </c>
      <c r="F18" s="13">
        <f t="shared" si="8"/>
        <v>1666.6666666666667</v>
      </c>
      <c r="G18" s="13">
        <f t="shared" si="8"/>
        <v>1666.6666666666667</v>
      </c>
      <c r="H18" s="13">
        <f t="shared" si="8"/>
        <v>1666.6666666666667</v>
      </c>
      <c r="I18" s="13">
        <f t="shared" si="8"/>
        <v>1666.6666666666667</v>
      </c>
      <c r="J18" s="13">
        <f t="shared" si="8"/>
        <v>1666.6666666666667</v>
      </c>
      <c r="K18" s="13">
        <f t="shared" si="8"/>
        <v>1666.6666666666667</v>
      </c>
      <c r="L18" s="13">
        <f t="shared" si="8"/>
        <v>1666.6666666666667</v>
      </c>
      <c r="M18" s="13">
        <f t="shared" si="8"/>
        <v>1666.6666666666667</v>
      </c>
      <c r="N18" s="13">
        <f t="shared" si="8"/>
        <v>1666.6666666666667</v>
      </c>
      <c r="O18" s="13">
        <f t="shared" si="2"/>
        <v>20000</v>
      </c>
    </row>
    <row r="19" spans="1:15" ht="12" customHeight="1">
      <c r="A19" s="981"/>
      <c r="B19" s="7" t="s">
        <v>11</v>
      </c>
      <c r="C19" s="13">
        <f>'Adaytum by Month'!C23</f>
        <v>0</v>
      </c>
      <c r="D19" s="13">
        <f>'Adaytum by Month'!D23</f>
        <v>0</v>
      </c>
      <c r="E19" s="13">
        <f>'Adaytum by Month'!E23</f>
        <v>0</v>
      </c>
      <c r="F19" s="13">
        <f>'Adaytum by Month'!F23</f>
        <v>0</v>
      </c>
      <c r="G19" s="13">
        <f>'Adaytum by Month'!G23</f>
        <v>0</v>
      </c>
      <c r="H19" s="13">
        <f>'Adaytum by Month'!H23</f>
        <v>0</v>
      </c>
      <c r="I19" s="13">
        <f>'Adaytum by Month'!I23</f>
        <v>0</v>
      </c>
      <c r="J19" s="13">
        <f>'Adaytum by Month'!J23</f>
        <v>0</v>
      </c>
      <c r="K19" s="13">
        <f>'Adaytum by Month'!K23</f>
        <v>0</v>
      </c>
      <c r="L19" s="13">
        <f>'Adaytum by Month'!L23</f>
        <v>0</v>
      </c>
      <c r="M19" s="13">
        <f>'Adaytum by Month'!M23</f>
        <v>0</v>
      </c>
      <c r="N19" s="13">
        <f>'Adaytum by Month'!N23</f>
        <v>0</v>
      </c>
      <c r="O19" s="13">
        <f t="shared" si="2"/>
        <v>0</v>
      </c>
    </row>
    <row r="20" spans="1:15" ht="12" customHeight="1" thickBot="1">
      <c r="A20" s="981"/>
      <c r="B20" s="11"/>
      <c r="C20" s="14"/>
      <c r="D20" s="14"/>
      <c r="E20" s="14"/>
      <c r="F20" s="14"/>
      <c r="G20" s="14"/>
      <c r="H20" s="14"/>
      <c r="I20" s="14"/>
      <c r="J20" s="14"/>
      <c r="K20" s="14"/>
      <c r="L20" s="14"/>
      <c r="M20" s="14"/>
      <c r="N20" s="14"/>
      <c r="O20" s="14"/>
    </row>
    <row r="21" spans="1:15" ht="12" customHeight="1">
      <c r="A21" s="981"/>
      <c r="B21" s="12" t="s">
        <v>12</v>
      </c>
      <c r="C21" s="23">
        <f t="shared" ref="C21:O21" si="9">SUM(C11:C19)</f>
        <v>222903.08333333331</v>
      </c>
      <c r="D21" s="23">
        <f t="shared" si="9"/>
        <v>222903.08333333331</v>
      </c>
      <c r="E21" s="23">
        <f t="shared" si="9"/>
        <v>222903.08333333331</v>
      </c>
      <c r="F21" s="23">
        <f t="shared" si="9"/>
        <v>222903.08333333331</v>
      </c>
      <c r="G21" s="23">
        <f t="shared" si="9"/>
        <v>222903.08333333331</v>
      </c>
      <c r="H21" s="23">
        <f t="shared" si="9"/>
        <v>222903.08333333331</v>
      </c>
      <c r="I21" s="23">
        <f t="shared" si="9"/>
        <v>222903.08333333331</v>
      </c>
      <c r="J21" s="23">
        <f t="shared" si="9"/>
        <v>222903.08333333331</v>
      </c>
      <c r="K21" s="23">
        <f t="shared" si="9"/>
        <v>222903.08333333331</v>
      </c>
      <c r="L21" s="23">
        <f t="shared" si="9"/>
        <v>222903.08333333331</v>
      </c>
      <c r="M21" s="23">
        <f t="shared" si="9"/>
        <v>222903.08333333331</v>
      </c>
      <c r="N21" s="23">
        <f t="shared" si="9"/>
        <v>222903.08333333331</v>
      </c>
      <c r="O21" s="23">
        <f t="shared" si="9"/>
        <v>2674837</v>
      </c>
    </row>
    <row r="22" spans="1:15">
      <c r="A22" s="9"/>
      <c r="C22" s="13"/>
      <c r="D22" s="13"/>
      <c r="E22" s="13"/>
      <c r="F22" s="13"/>
      <c r="G22" s="13"/>
      <c r="H22" s="13"/>
      <c r="I22" s="13"/>
      <c r="J22" s="13"/>
      <c r="K22" s="13"/>
      <c r="L22" s="13"/>
      <c r="M22" s="13"/>
      <c r="N22" s="13"/>
      <c r="O22" s="13"/>
    </row>
    <row r="23" spans="1:15">
      <c r="A23" s="9"/>
      <c r="C23" s="13"/>
      <c r="D23" s="13"/>
      <c r="E23" s="13"/>
      <c r="F23" s="13"/>
      <c r="G23" s="13"/>
      <c r="H23" s="13"/>
      <c r="I23" s="13"/>
      <c r="J23" s="13"/>
      <c r="K23" s="13"/>
      <c r="L23" s="13"/>
      <c r="M23" s="13"/>
      <c r="N23" s="13"/>
      <c r="O23" s="13"/>
    </row>
    <row r="24" spans="1:15">
      <c r="A24" s="981" t="s">
        <v>89</v>
      </c>
      <c r="B24" s="7" t="s">
        <v>2</v>
      </c>
      <c r="C24" s="13">
        <f>'Adaytum by Month'!C31</f>
        <v>273488.65000000002</v>
      </c>
      <c r="D24" s="13">
        <f>'Adaytum by Month'!D31</f>
        <v>192916.37</v>
      </c>
      <c r="E24" s="13">
        <f>'Adaytum by Month'!E31</f>
        <v>245887.86</v>
      </c>
      <c r="F24" s="13">
        <f>'Adaytum by Month'!F31</f>
        <v>393754.8</v>
      </c>
      <c r="G24" s="13">
        <f>'Adaytum by Month'!G31</f>
        <v>200296.5</v>
      </c>
      <c r="H24" s="13">
        <f>'Adaytum by Month'!H31</f>
        <v>141506.57999999999</v>
      </c>
      <c r="I24" s="13">
        <f>'Adaytum by Month'!I31</f>
        <v>186815</v>
      </c>
      <c r="J24" s="13">
        <f>'Adaytum by Month'!J31</f>
        <v>196041.46</v>
      </c>
      <c r="K24" s="13">
        <f>'Adaytum by Month'!K31</f>
        <v>296101.64166666666</v>
      </c>
      <c r="L24" s="13">
        <f>'Adaytum by Month'!L31</f>
        <v>315828.44166666671</v>
      </c>
      <c r="M24" s="13">
        <f>'Adaytum by Month'!M31</f>
        <v>315828.44166666671</v>
      </c>
      <c r="N24" s="13">
        <f>'Adaytum by Month'!N31</f>
        <v>315828.44166666671</v>
      </c>
      <c r="O24" s="13">
        <f t="shared" ref="O24:O32" si="10">SUM(C24:N24)</f>
        <v>3074294.1866666675</v>
      </c>
    </row>
    <row r="25" spans="1:15">
      <c r="A25" s="981"/>
      <c r="B25" s="7" t="s">
        <v>4</v>
      </c>
      <c r="C25" s="13">
        <f>'Adaytum by Month'!C32</f>
        <v>9454.2000000000007</v>
      </c>
      <c r="D25" s="13">
        <f>'Adaytum by Month'!D32</f>
        <v>27605.9</v>
      </c>
      <c r="E25" s="13">
        <f>'Adaytum by Month'!E32</f>
        <v>45642.43</v>
      </c>
      <c r="F25" s="13">
        <f>'Adaytum by Month'!F32</f>
        <v>43687.839999999997</v>
      </c>
      <c r="G25" s="13">
        <f>'Adaytum by Month'!G32</f>
        <v>26480.92</v>
      </c>
      <c r="H25" s="13">
        <f>'Adaytum by Month'!H32</f>
        <v>36771.96</v>
      </c>
      <c r="I25" s="13">
        <f>'Adaytum by Month'!I32</f>
        <v>50547.97</v>
      </c>
      <c r="J25" s="13">
        <f>'Adaytum by Month'!J32</f>
        <v>17189.09</v>
      </c>
      <c r="K25" s="13">
        <f>'Adaytum by Month'!K32</f>
        <v>198765</v>
      </c>
      <c r="L25" s="13">
        <f>'Adaytum by Month'!L32</f>
        <v>198765</v>
      </c>
      <c r="M25" s="13">
        <f>'Adaytum by Month'!M32</f>
        <v>198765</v>
      </c>
      <c r="N25" s="13">
        <f>'Adaytum by Month'!N32</f>
        <v>198765</v>
      </c>
      <c r="O25" s="13">
        <f t="shared" si="10"/>
        <v>1052440.31</v>
      </c>
    </row>
    <row r="26" spans="1:15">
      <c r="A26" s="981"/>
      <c r="B26" s="7" t="s">
        <v>5</v>
      </c>
      <c r="C26" s="13">
        <f>'Adaytum by Month'!C33</f>
        <v>8038.87</v>
      </c>
      <c r="D26" s="13">
        <f>'Adaytum by Month'!D33</f>
        <v>1827.13</v>
      </c>
      <c r="E26" s="13">
        <f>'Adaytum by Month'!E33</f>
        <v>7785.33</v>
      </c>
      <c r="F26" s="13">
        <f>'Adaytum by Month'!F33</f>
        <v>1301.98</v>
      </c>
      <c r="G26" s="13">
        <f>'Adaytum by Month'!G33</f>
        <v>832.91</v>
      </c>
      <c r="H26" s="13">
        <f>'Adaytum by Month'!H33</f>
        <v>930.78</v>
      </c>
      <c r="I26" s="13">
        <f>'Adaytum by Month'!I33</f>
        <v>4894.4799999999996</v>
      </c>
      <c r="J26" s="13">
        <f>'Adaytum by Month'!J33</f>
        <v>9519.27</v>
      </c>
      <c r="K26" s="13">
        <f>'Adaytum by Month'!K33</f>
        <v>4996</v>
      </c>
      <c r="L26" s="13">
        <f>'Adaytum by Month'!L33</f>
        <v>4996</v>
      </c>
      <c r="M26" s="13">
        <f>'Adaytum by Month'!M33</f>
        <v>4996</v>
      </c>
      <c r="N26" s="13">
        <f>'Adaytum by Month'!N33</f>
        <v>4996</v>
      </c>
      <c r="O26" s="13">
        <f t="shared" si="10"/>
        <v>55114.75</v>
      </c>
    </row>
    <row r="27" spans="1:15">
      <c r="A27" s="981"/>
      <c r="B27" s="7" t="s">
        <v>6</v>
      </c>
      <c r="C27" s="13">
        <f>'Adaytum by Month'!C34</f>
        <v>78986.149999999994</v>
      </c>
      <c r="D27" s="13">
        <f>'Adaytum by Month'!D34</f>
        <v>133337.01999999999</v>
      </c>
      <c r="E27" s="13">
        <f>'Adaytum by Month'!E34</f>
        <v>78023.710000000006</v>
      </c>
      <c r="F27" s="13">
        <f>'Adaytum by Month'!F34</f>
        <v>152519.09</v>
      </c>
      <c r="G27" s="13">
        <f>'Adaytum by Month'!G34</f>
        <v>34053.129999999997</v>
      </c>
      <c r="H27" s="13">
        <f>'Adaytum by Month'!H34</f>
        <v>40057.25</v>
      </c>
      <c r="I27" s="13">
        <f>'Adaytum by Month'!I34</f>
        <v>197684.55</v>
      </c>
      <c r="J27" s="13">
        <f>'Adaytum by Month'!J34</f>
        <v>123224.59</v>
      </c>
      <c r="K27" s="13">
        <f>'Adaytum by Month'!K34</f>
        <v>125582</v>
      </c>
      <c r="L27" s="13">
        <f>'Adaytum by Month'!L34</f>
        <v>125582</v>
      </c>
      <c r="M27" s="13">
        <f>'Adaytum by Month'!M34</f>
        <v>125582</v>
      </c>
      <c r="N27" s="13">
        <f>'Adaytum by Month'!N34</f>
        <v>125582</v>
      </c>
      <c r="O27" s="13">
        <f t="shared" si="10"/>
        <v>1340213.4899999998</v>
      </c>
    </row>
    <row r="28" spans="1:15">
      <c r="A28" s="981"/>
      <c r="B28" s="7" t="s">
        <v>7</v>
      </c>
      <c r="C28" s="13">
        <f>'Adaytum by Month'!C35</f>
        <v>22098.37</v>
      </c>
      <c r="D28" s="13">
        <f>'Adaytum by Month'!D35</f>
        <v>11431.29</v>
      </c>
      <c r="E28" s="13">
        <f>'Adaytum by Month'!E35</f>
        <v>181549.67</v>
      </c>
      <c r="F28" s="13">
        <f>'Adaytum by Month'!F35</f>
        <v>7912.5</v>
      </c>
      <c r="G28" s="13">
        <f>'Adaytum by Month'!G35</f>
        <v>3700.14</v>
      </c>
      <c r="H28" s="13">
        <f>'Adaytum by Month'!H35</f>
        <v>41142.71</v>
      </c>
      <c r="I28" s="13">
        <f>'Adaytum by Month'!I35</f>
        <v>15036.74</v>
      </c>
      <c r="J28" s="13">
        <f>'Adaytum by Month'!J35</f>
        <v>328993.15000000002</v>
      </c>
      <c r="K28" s="13">
        <f>'Adaytum by Month'!K35</f>
        <v>615583</v>
      </c>
      <c r="L28" s="13">
        <f>'Adaytum by Month'!L35</f>
        <v>615583</v>
      </c>
      <c r="M28" s="13">
        <f>'Adaytum by Month'!M35</f>
        <v>615583</v>
      </c>
      <c r="N28" s="13">
        <f>'Adaytum by Month'!N35</f>
        <v>615583</v>
      </c>
      <c r="O28" s="13">
        <f t="shared" si="10"/>
        <v>3074196.5700000003</v>
      </c>
    </row>
    <row r="29" spans="1:15">
      <c r="A29" s="981"/>
      <c r="B29" s="7" t="s">
        <v>8</v>
      </c>
      <c r="C29" s="13">
        <f>'Adaytum by Month'!C36</f>
        <v>17385.79</v>
      </c>
      <c r="D29" s="13">
        <f>'Adaytum by Month'!D36</f>
        <v>-20806.34</v>
      </c>
      <c r="E29" s="13">
        <f>'Adaytum by Month'!E36</f>
        <v>28152.91</v>
      </c>
      <c r="F29" s="13">
        <f>'Adaytum by Month'!F36</f>
        <v>23128.98</v>
      </c>
      <c r="G29" s="13">
        <f>'Adaytum by Month'!G36</f>
        <v>11680.23</v>
      </c>
      <c r="H29" s="13">
        <f>'Adaytum by Month'!H36</f>
        <v>27933.11</v>
      </c>
      <c r="I29" s="13">
        <f>'Adaytum by Month'!I36</f>
        <v>20941.080000000002</v>
      </c>
      <c r="J29" s="13">
        <f>'Adaytum by Month'!J36</f>
        <v>0</v>
      </c>
      <c r="K29" s="13">
        <f>'Adaytum by Month'!K36</f>
        <v>5000</v>
      </c>
      <c r="L29" s="13">
        <f>'Adaytum by Month'!L36</f>
        <v>5000</v>
      </c>
      <c r="M29" s="13">
        <f>'Adaytum by Month'!M36</f>
        <v>5000</v>
      </c>
      <c r="N29" s="13">
        <f>'Adaytum by Month'!N36</f>
        <v>5000</v>
      </c>
      <c r="O29" s="13">
        <f t="shared" si="10"/>
        <v>128415.76</v>
      </c>
    </row>
    <row r="30" spans="1:15">
      <c r="A30" s="981"/>
      <c r="B30" s="7" t="s">
        <v>9</v>
      </c>
      <c r="C30" s="13">
        <f>'Adaytum by Month'!C37</f>
        <v>5361.69</v>
      </c>
      <c r="D30" s="13">
        <f>'Adaytum by Month'!D37</f>
        <v>12875.81</v>
      </c>
      <c r="E30" s="13">
        <f>'Adaytum by Month'!E37</f>
        <v>6736.32</v>
      </c>
      <c r="F30" s="13">
        <f>'Adaytum by Month'!F37</f>
        <v>84356.66</v>
      </c>
      <c r="G30" s="13">
        <f>'Adaytum by Month'!G37</f>
        <v>7075.33</v>
      </c>
      <c r="H30" s="13">
        <f>'Adaytum by Month'!H37</f>
        <v>-1111.92</v>
      </c>
      <c r="I30" s="13">
        <f>'Adaytum by Month'!I37</f>
        <v>26177</v>
      </c>
      <c r="J30" s="13">
        <f>'Adaytum by Month'!J37</f>
        <v>14867.98</v>
      </c>
      <c r="K30" s="13">
        <f>'Adaytum by Month'!K37</f>
        <v>16060</v>
      </c>
      <c r="L30" s="13">
        <f>'Adaytum by Month'!L37</f>
        <v>16060</v>
      </c>
      <c r="M30" s="13">
        <f>'Adaytum by Month'!M37</f>
        <v>16060</v>
      </c>
      <c r="N30" s="13">
        <f>'Adaytum by Month'!N37</f>
        <v>16060</v>
      </c>
      <c r="O30" s="13">
        <f t="shared" si="10"/>
        <v>220578.87000000002</v>
      </c>
    </row>
    <row r="31" spans="1:15">
      <c r="A31" s="981"/>
      <c r="B31" s="7" t="s">
        <v>10</v>
      </c>
      <c r="C31" s="13">
        <f>'Adaytum by Month'!C38</f>
        <v>2649.07</v>
      </c>
      <c r="D31" s="13">
        <f>'Adaytum by Month'!D38</f>
        <v>2145.1799999999998</v>
      </c>
      <c r="E31" s="13">
        <f>'Adaytum by Month'!E38</f>
        <v>2792.03</v>
      </c>
      <c r="F31" s="13">
        <f>'Adaytum by Month'!F38</f>
        <v>281.10000000000002</v>
      </c>
      <c r="G31" s="13">
        <f>'Adaytum by Month'!G38</f>
        <v>5017.08</v>
      </c>
      <c r="H31" s="13">
        <f>'Adaytum by Month'!H38</f>
        <v>2704.37</v>
      </c>
      <c r="I31" s="13">
        <f>'Adaytum by Month'!I38</f>
        <v>5398.28</v>
      </c>
      <c r="J31" s="13">
        <f>'Adaytum by Month'!J38</f>
        <v>5834.36</v>
      </c>
      <c r="K31" s="13">
        <f>'Adaytum by Month'!K38</f>
        <v>10093</v>
      </c>
      <c r="L31" s="13">
        <f>'Adaytum by Month'!L38</f>
        <v>10093</v>
      </c>
      <c r="M31" s="13">
        <f>'Adaytum by Month'!M38</f>
        <v>10093</v>
      </c>
      <c r="N31" s="13">
        <f>'Adaytum by Month'!N38</f>
        <v>10093</v>
      </c>
      <c r="O31" s="13">
        <f t="shared" si="10"/>
        <v>67193.47</v>
      </c>
    </row>
    <row r="32" spans="1:15">
      <c r="A32" s="981"/>
      <c r="B32" s="7" t="s">
        <v>11</v>
      </c>
      <c r="C32" s="13">
        <f>'Adaytum by Month'!C39</f>
        <v>0</v>
      </c>
      <c r="D32" s="13">
        <f>'Adaytum by Month'!D39</f>
        <v>0</v>
      </c>
      <c r="E32" s="13">
        <f>'Adaytum by Month'!E39</f>
        <v>0</v>
      </c>
      <c r="F32" s="13">
        <f>'Adaytum by Month'!F39</f>
        <v>0</v>
      </c>
      <c r="G32" s="13">
        <f>'Adaytum by Month'!G39</f>
        <v>0</v>
      </c>
      <c r="H32" s="13">
        <f>'Adaytum by Month'!H39</f>
        <v>0</v>
      </c>
      <c r="I32" s="13">
        <f>'Adaytum by Month'!I39</f>
        <v>0</v>
      </c>
      <c r="J32" s="13">
        <f>'Adaytum by Month'!J39</f>
        <v>0</v>
      </c>
      <c r="K32" s="13">
        <f>'Adaytum by Month'!K39</f>
        <v>0</v>
      </c>
      <c r="L32" s="13">
        <f>'Adaytum by Month'!L39</f>
        <v>0</v>
      </c>
      <c r="M32" s="13">
        <f>'Adaytum by Month'!M39</f>
        <v>0</v>
      </c>
      <c r="N32" s="13">
        <f>'Adaytum by Month'!N39</f>
        <v>0</v>
      </c>
      <c r="O32" s="13">
        <f t="shared" si="10"/>
        <v>0</v>
      </c>
    </row>
    <row r="33" spans="1:15" ht="13.8" thickBot="1">
      <c r="A33" s="981"/>
      <c r="B33" s="11"/>
      <c r="C33" s="14"/>
      <c r="D33" s="14"/>
      <c r="E33" s="14"/>
      <c r="F33" s="14"/>
      <c r="G33" s="14"/>
      <c r="H33" s="14"/>
      <c r="I33" s="14"/>
      <c r="J33" s="14"/>
      <c r="K33" s="14"/>
      <c r="L33" s="14"/>
      <c r="M33" s="14"/>
      <c r="N33" s="14"/>
      <c r="O33" s="14"/>
    </row>
    <row r="34" spans="1:15">
      <c r="A34" s="981"/>
      <c r="B34" s="12" t="s">
        <v>12</v>
      </c>
      <c r="C34" s="23">
        <f t="shared" ref="C34:O34" si="11">SUM(C24:C32)</f>
        <v>417462.79</v>
      </c>
      <c r="D34" s="23">
        <f t="shared" si="11"/>
        <v>361332.35999999993</v>
      </c>
      <c r="E34" s="23">
        <f t="shared" si="11"/>
        <v>596570.26</v>
      </c>
      <c r="F34" s="23">
        <f t="shared" si="11"/>
        <v>706942.95</v>
      </c>
      <c r="G34" s="23">
        <f t="shared" si="11"/>
        <v>289136.24</v>
      </c>
      <c r="H34" s="23">
        <f t="shared" si="11"/>
        <v>289934.83999999997</v>
      </c>
      <c r="I34" s="23">
        <f t="shared" si="11"/>
        <v>507495.10000000003</v>
      </c>
      <c r="J34" s="23">
        <f t="shared" si="11"/>
        <v>695669.9</v>
      </c>
      <c r="K34" s="23">
        <f t="shared" si="11"/>
        <v>1272180.6416666666</v>
      </c>
      <c r="L34" s="23">
        <f t="shared" si="11"/>
        <v>1291907.4416666667</v>
      </c>
      <c r="M34" s="23">
        <f t="shared" si="11"/>
        <v>1291907.4416666667</v>
      </c>
      <c r="N34" s="23">
        <f t="shared" si="11"/>
        <v>1291907.4416666667</v>
      </c>
      <c r="O34" s="23">
        <f t="shared" si="11"/>
        <v>9012447.4066666681</v>
      </c>
    </row>
    <row r="35" spans="1:15">
      <c r="A35" s="9"/>
      <c r="C35" s="13"/>
      <c r="D35" s="13"/>
      <c r="E35" s="13"/>
      <c r="F35" s="13"/>
      <c r="G35" s="13"/>
      <c r="H35" s="13"/>
      <c r="I35" s="13"/>
      <c r="J35" s="13"/>
      <c r="K35" s="13"/>
      <c r="L35" s="13"/>
      <c r="M35" s="13"/>
      <c r="N35" s="13"/>
      <c r="O35" s="13"/>
    </row>
    <row r="36" spans="1:15">
      <c r="A36" s="9"/>
      <c r="C36" s="13"/>
      <c r="D36" s="13"/>
      <c r="E36" s="13"/>
      <c r="F36" s="13"/>
      <c r="G36" s="13"/>
      <c r="H36" s="13"/>
      <c r="I36" s="13"/>
      <c r="J36" s="13"/>
      <c r="K36" s="13"/>
      <c r="L36" s="13"/>
      <c r="M36" s="13"/>
      <c r="N36" s="13"/>
      <c r="O36" s="13"/>
    </row>
    <row r="37" spans="1:15">
      <c r="A37" s="981" t="s">
        <v>23</v>
      </c>
      <c r="B37" s="7" t="s">
        <v>2</v>
      </c>
      <c r="C37" s="13">
        <f t="shared" ref="C37:O37" si="12">-C24+C11</f>
        <v>-158140.73333333334</v>
      </c>
      <c r="D37" s="13">
        <f t="shared" si="12"/>
        <v>-77568.453333333324</v>
      </c>
      <c r="E37" s="13">
        <f t="shared" si="12"/>
        <v>-130539.94333333331</v>
      </c>
      <c r="F37" s="13">
        <f t="shared" si="12"/>
        <v>-278406.8833333333</v>
      </c>
      <c r="G37" s="13">
        <f t="shared" si="12"/>
        <v>-84948.583333333328</v>
      </c>
      <c r="H37" s="13">
        <f t="shared" si="12"/>
        <v>-26158.663333333316</v>
      </c>
      <c r="I37" s="13">
        <f t="shared" si="12"/>
        <v>-71467.083333333328</v>
      </c>
      <c r="J37" s="13">
        <f t="shared" si="12"/>
        <v>-80693.54333333332</v>
      </c>
      <c r="K37" s="13">
        <f t="shared" si="12"/>
        <v>-180753.72499999998</v>
      </c>
      <c r="L37" s="13">
        <f t="shared" si="12"/>
        <v>-200480.52500000002</v>
      </c>
      <c r="M37" s="13">
        <f t="shared" si="12"/>
        <v>-200480.52500000002</v>
      </c>
      <c r="N37" s="13">
        <f t="shared" si="12"/>
        <v>-200480.52500000002</v>
      </c>
      <c r="O37" s="13">
        <f t="shared" si="12"/>
        <v>-1690119.1866666675</v>
      </c>
    </row>
    <row r="38" spans="1:15">
      <c r="A38" s="981"/>
      <c r="B38" s="7" t="s">
        <v>4</v>
      </c>
      <c r="C38" s="13">
        <f t="shared" ref="C38:O38" si="13">-C25+C12</f>
        <v>13193.716666666667</v>
      </c>
      <c r="D38" s="13">
        <f t="shared" si="13"/>
        <v>-4957.9833333333336</v>
      </c>
      <c r="E38" s="13">
        <f t="shared" si="13"/>
        <v>-22994.513333333332</v>
      </c>
      <c r="F38" s="13">
        <f t="shared" si="13"/>
        <v>-21039.923333333329</v>
      </c>
      <c r="G38" s="13">
        <f t="shared" si="13"/>
        <v>-3833.0033333333304</v>
      </c>
      <c r="H38" s="13">
        <f t="shared" si="13"/>
        <v>-14124.043333333331</v>
      </c>
      <c r="I38" s="13">
        <f t="shared" si="13"/>
        <v>-27900.053333333333</v>
      </c>
      <c r="J38" s="13">
        <f t="shared" si="13"/>
        <v>5458.8266666666677</v>
      </c>
      <c r="K38" s="13">
        <f t="shared" si="13"/>
        <v>-176117.08333333334</v>
      </c>
      <c r="L38" s="13">
        <f t="shared" si="13"/>
        <v>-176117.08333333334</v>
      </c>
      <c r="M38" s="13">
        <f t="shared" si="13"/>
        <v>-176117.08333333334</v>
      </c>
      <c r="N38" s="13">
        <f t="shared" si="13"/>
        <v>-176117.08333333334</v>
      </c>
      <c r="O38" s="13">
        <f t="shared" si="13"/>
        <v>-780665.31</v>
      </c>
    </row>
    <row r="39" spans="1:15">
      <c r="A39" s="981"/>
      <c r="B39" s="7" t="s">
        <v>5</v>
      </c>
      <c r="C39" s="13">
        <f t="shared" ref="C39:O39" si="14">-C26+C13</f>
        <v>-7665.4533333333329</v>
      </c>
      <c r="D39" s="13">
        <f t="shared" si="14"/>
        <v>-1453.7133333333334</v>
      </c>
      <c r="E39" s="13">
        <f t="shared" si="14"/>
        <v>-7411.913333333333</v>
      </c>
      <c r="F39" s="13">
        <f t="shared" si="14"/>
        <v>-928.56333333333328</v>
      </c>
      <c r="G39" s="13">
        <f t="shared" si="14"/>
        <v>-459.49333333333328</v>
      </c>
      <c r="H39" s="13">
        <f t="shared" si="14"/>
        <v>-557.36333333333323</v>
      </c>
      <c r="I39" s="13">
        <f t="shared" si="14"/>
        <v>-4521.0633333333326</v>
      </c>
      <c r="J39" s="13">
        <f t="shared" si="14"/>
        <v>-9145.8533333333344</v>
      </c>
      <c r="K39" s="13">
        <f t="shared" si="14"/>
        <v>-4622.583333333333</v>
      </c>
      <c r="L39" s="13">
        <f t="shared" si="14"/>
        <v>-4622.583333333333</v>
      </c>
      <c r="M39" s="13">
        <f t="shared" si="14"/>
        <v>-4622.583333333333</v>
      </c>
      <c r="N39" s="13">
        <f t="shared" si="14"/>
        <v>-4622.583333333333</v>
      </c>
      <c r="O39" s="13">
        <f t="shared" si="14"/>
        <v>-50633.75</v>
      </c>
    </row>
    <row r="40" spans="1:15">
      <c r="A40" s="981"/>
      <c r="B40" s="7" t="s">
        <v>6</v>
      </c>
      <c r="C40" s="13">
        <f t="shared" ref="C40:O40" si="15">-C27+C14</f>
        <v>-35069.48333333333</v>
      </c>
      <c r="D40" s="13">
        <f t="shared" si="15"/>
        <v>-89420.353333333333</v>
      </c>
      <c r="E40" s="13">
        <f t="shared" si="15"/>
        <v>-34107.043333333342</v>
      </c>
      <c r="F40" s="13">
        <f t="shared" si="15"/>
        <v>-108602.42333333334</v>
      </c>
      <c r="G40" s="13">
        <f t="shared" si="15"/>
        <v>9863.5366666666669</v>
      </c>
      <c r="H40" s="13">
        <f t="shared" si="15"/>
        <v>3859.4166666666642</v>
      </c>
      <c r="I40" s="13">
        <f t="shared" si="15"/>
        <v>-153767.88333333333</v>
      </c>
      <c r="J40" s="13">
        <f t="shared" si="15"/>
        <v>-79307.92333333334</v>
      </c>
      <c r="K40" s="13">
        <f t="shared" si="15"/>
        <v>-81665.333333333343</v>
      </c>
      <c r="L40" s="13">
        <f t="shared" si="15"/>
        <v>-81665.333333333343</v>
      </c>
      <c r="M40" s="13">
        <f t="shared" si="15"/>
        <v>-81665.333333333343</v>
      </c>
      <c r="N40" s="13">
        <f t="shared" si="15"/>
        <v>-81665.333333333343</v>
      </c>
      <c r="O40" s="13">
        <f t="shared" si="15"/>
        <v>-813213.48999999964</v>
      </c>
    </row>
    <row r="41" spans="1:15">
      <c r="A41" s="981"/>
      <c r="B41" s="7" t="s">
        <v>7</v>
      </c>
      <c r="C41" s="13">
        <f t="shared" ref="C41:O41" si="16">-C28+C15</f>
        <v>-1681.7033333333311</v>
      </c>
      <c r="D41" s="13">
        <f t="shared" si="16"/>
        <v>8985.376666666667</v>
      </c>
      <c r="E41" s="13">
        <f t="shared" si="16"/>
        <v>-161133.00333333336</v>
      </c>
      <c r="F41" s="13">
        <f t="shared" si="16"/>
        <v>12504.166666666668</v>
      </c>
      <c r="G41" s="13">
        <f t="shared" si="16"/>
        <v>16716.526666666668</v>
      </c>
      <c r="H41" s="13">
        <f t="shared" si="16"/>
        <v>-20726.043333333331</v>
      </c>
      <c r="I41" s="13">
        <f t="shared" si="16"/>
        <v>5379.9266666666681</v>
      </c>
      <c r="J41" s="13">
        <f t="shared" si="16"/>
        <v>-308576.48333333334</v>
      </c>
      <c r="K41" s="13">
        <f t="shared" si="16"/>
        <v>-595166.33333333337</v>
      </c>
      <c r="L41" s="13">
        <f t="shared" si="16"/>
        <v>-595166.33333333337</v>
      </c>
      <c r="M41" s="13">
        <f t="shared" si="16"/>
        <v>-595166.33333333337</v>
      </c>
      <c r="N41" s="13">
        <f t="shared" si="16"/>
        <v>-595166.33333333337</v>
      </c>
      <c r="O41" s="13">
        <f t="shared" si="16"/>
        <v>-2829196.5700000003</v>
      </c>
    </row>
    <row r="42" spans="1:15">
      <c r="A42" s="981"/>
      <c r="B42" s="7" t="s">
        <v>8</v>
      </c>
      <c r="C42" s="13">
        <f t="shared" ref="C42:O42" si="17">-C29+C16</f>
        <v>-9052.4566666666669</v>
      </c>
      <c r="D42" s="13">
        <f t="shared" si="17"/>
        <v>29139.673333333332</v>
      </c>
      <c r="E42" s="13">
        <f t="shared" si="17"/>
        <v>-19819.576666666668</v>
      </c>
      <c r="F42" s="13">
        <f t="shared" si="17"/>
        <v>-14795.646666666666</v>
      </c>
      <c r="G42" s="13">
        <f t="shared" si="17"/>
        <v>-3346.8966666666656</v>
      </c>
      <c r="H42" s="13">
        <f t="shared" si="17"/>
        <v>-19599.776666666665</v>
      </c>
      <c r="I42" s="13">
        <f t="shared" si="17"/>
        <v>-12607.746666666668</v>
      </c>
      <c r="J42" s="13">
        <f t="shared" si="17"/>
        <v>8333.3333333333339</v>
      </c>
      <c r="K42" s="13">
        <f t="shared" si="17"/>
        <v>3333.3333333333339</v>
      </c>
      <c r="L42" s="13">
        <f t="shared" si="17"/>
        <v>3333.3333333333339</v>
      </c>
      <c r="M42" s="13">
        <f t="shared" si="17"/>
        <v>3333.3333333333339</v>
      </c>
      <c r="N42" s="13">
        <f t="shared" si="17"/>
        <v>3333.3333333333339</v>
      </c>
      <c r="O42" s="13">
        <f t="shared" si="17"/>
        <v>-28415.760000000009</v>
      </c>
    </row>
    <row r="43" spans="1:15">
      <c r="A43" s="981"/>
      <c r="B43" s="7" t="s">
        <v>9</v>
      </c>
      <c r="C43" s="13">
        <f t="shared" ref="C43:O43" si="18">-C30+C17</f>
        <v>4838.8100000000004</v>
      </c>
      <c r="D43" s="13">
        <f t="shared" si="18"/>
        <v>-2675.3099999999995</v>
      </c>
      <c r="E43" s="13">
        <f t="shared" si="18"/>
        <v>3464.1800000000003</v>
      </c>
      <c r="F43" s="13">
        <f t="shared" si="18"/>
        <v>-74156.160000000003</v>
      </c>
      <c r="G43" s="13">
        <f t="shared" si="18"/>
        <v>3125.17</v>
      </c>
      <c r="H43" s="13">
        <f t="shared" si="18"/>
        <v>11312.42</v>
      </c>
      <c r="I43" s="13">
        <f t="shared" si="18"/>
        <v>-15976.5</v>
      </c>
      <c r="J43" s="13">
        <f t="shared" si="18"/>
        <v>-4667.4799999999996</v>
      </c>
      <c r="K43" s="13">
        <f t="shared" si="18"/>
        <v>-5859.5</v>
      </c>
      <c r="L43" s="13">
        <f t="shared" si="18"/>
        <v>-5859.5</v>
      </c>
      <c r="M43" s="13">
        <f t="shared" si="18"/>
        <v>-5859.5</v>
      </c>
      <c r="N43" s="13">
        <f t="shared" si="18"/>
        <v>-5859.5</v>
      </c>
      <c r="O43" s="13">
        <f t="shared" si="18"/>
        <v>-98172.870000000024</v>
      </c>
    </row>
    <row r="44" spans="1:15">
      <c r="A44" s="981"/>
      <c r="B44" s="7" t="s">
        <v>10</v>
      </c>
      <c r="C44" s="13">
        <f t="shared" ref="C44:O44" si="19">-C31+C18</f>
        <v>-982.40333333333342</v>
      </c>
      <c r="D44" s="13">
        <f t="shared" si="19"/>
        <v>-478.51333333333309</v>
      </c>
      <c r="E44" s="13">
        <f t="shared" si="19"/>
        <v>-1125.3633333333335</v>
      </c>
      <c r="F44" s="13">
        <f t="shared" si="19"/>
        <v>1385.5666666666666</v>
      </c>
      <c r="G44" s="13">
        <f t="shared" si="19"/>
        <v>-3350.413333333333</v>
      </c>
      <c r="H44" s="13">
        <f t="shared" si="19"/>
        <v>-1037.7033333333331</v>
      </c>
      <c r="I44" s="13">
        <f t="shared" si="19"/>
        <v>-3731.6133333333328</v>
      </c>
      <c r="J44" s="13">
        <f t="shared" si="19"/>
        <v>-4167.6933333333327</v>
      </c>
      <c r="K44" s="13">
        <f t="shared" si="19"/>
        <v>-8426.3333333333339</v>
      </c>
      <c r="L44" s="13">
        <f t="shared" si="19"/>
        <v>-8426.3333333333339</v>
      </c>
      <c r="M44" s="13">
        <f t="shared" si="19"/>
        <v>-8426.3333333333339</v>
      </c>
      <c r="N44" s="13">
        <f t="shared" si="19"/>
        <v>-8426.3333333333339</v>
      </c>
      <c r="O44" s="13">
        <f t="shared" si="19"/>
        <v>-47193.47</v>
      </c>
    </row>
    <row r="45" spans="1:15">
      <c r="A45" s="981"/>
      <c r="B45" s="7" t="s">
        <v>11</v>
      </c>
      <c r="C45" s="13">
        <f t="shared" ref="C45:O45" si="20">-C32+C19</f>
        <v>0</v>
      </c>
      <c r="D45" s="13">
        <f t="shared" si="20"/>
        <v>0</v>
      </c>
      <c r="E45" s="13">
        <f t="shared" si="20"/>
        <v>0</v>
      </c>
      <c r="F45" s="13">
        <f t="shared" si="20"/>
        <v>0</v>
      </c>
      <c r="G45" s="13">
        <f t="shared" si="20"/>
        <v>0</v>
      </c>
      <c r="H45" s="13">
        <f t="shared" si="20"/>
        <v>0</v>
      </c>
      <c r="I45" s="13">
        <f t="shared" si="20"/>
        <v>0</v>
      </c>
      <c r="J45" s="13">
        <f t="shared" si="20"/>
        <v>0</v>
      </c>
      <c r="K45" s="13">
        <f t="shared" si="20"/>
        <v>0</v>
      </c>
      <c r="L45" s="13">
        <f t="shared" si="20"/>
        <v>0</v>
      </c>
      <c r="M45" s="13">
        <f t="shared" si="20"/>
        <v>0</v>
      </c>
      <c r="N45" s="13">
        <f t="shared" si="20"/>
        <v>0</v>
      </c>
      <c r="O45" s="13">
        <f t="shared" si="20"/>
        <v>0</v>
      </c>
    </row>
    <row r="46" spans="1:15" ht="13.8" thickBot="1">
      <c r="A46" s="981"/>
      <c r="B46" s="11"/>
      <c r="C46" s="14"/>
      <c r="D46" s="14"/>
      <c r="E46" s="14"/>
      <c r="F46" s="14"/>
      <c r="G46" s="14"/>
      <c r="H46" s="14"/>
      <c r="I46" s="14"/>
      <c r="J46" s="14"/>
      <c r="K46" s="14"/>
      <c r="L46" s="14"/>
      <c r="M46" s="14"/>
      <c r="N46" s="14"/>
      <c r="O46" s="14"/>
    </row>
    <row r="47" spans="1:15">
      <c r="A47" s="981"/>
      <c r="B47" s="12" t="s">
        <v>12</v>
      </c>
      <c r="C47" s="23">
        <f t="shared" ref="C47:O47" si="21">SUM(C37:C46)</f>
        <v>-194559.70666666667</v>
      </c>
      <c r="D47" s="23">
        <f t="shared" si="21"/>
        <v>-138429.27666666664</v>
      </c>
      <c r="E47" s="23">
        <f t="shared" si="21"/>
        <v>-373667.17666666664</v>
      </c>
      <c r="F47" s="23">
        <f t="shared" si="21"/>
        <v>-484039.8666666667</v>
      </c>
      <c r="G47" s="23">
        <f t="shared" si="21"/>
        <v>-66233.156666666648</v>
      </c>
      <c r="H47" s="23">
        <f t="shared" si="21"/>
        <v>-67031.756666666668</v>
      </c>
      <c r="I47" s="23">
        <f t="shared" si="21"/>
        <v>-284592.01666666666</v>
      </c>
      <c r="J47" s="23">
        <f t="shared" si="21"/>
        <v>-472766.81666666671</v>
      </c>
      <c r="K47" s="23">
        <f t="shared" si="21"/>
        <v>-1049277.5583333333</v>
      </c>
      <c r="L47" s="23">
        <f t="shared" si="21"/>
        <v>-1069004.3583333334</v>
      </c>
      <c r="M47" s="23">
        <f t="shared" si="21"/>
        <v>-1069004.3583333334</v>
      </c>
      <c r="N47" s="23">
        <f t="shared" si="21"/>
        <v>-1069004.3583333334</v>
      </c>
      <c r="O47" s="23">
        <f t="shared" si="21"/>
        <v>-6337610.4066666672</v>
      </c>
    </row>
    <row r="48" spans="1:15">
      <c r="A48" s="9"/>
      <c r="C48" s="13"/>
      <c r="D48" s="13"/>
      <c r="E48" s="13"/>
      <c r="F48" s="13"/>
      <c r="G48" s="13"/>
      <c r="H48" s="13"/>
      <c r="I48" s="13"/>
      <c r="J48" s="13"/>
      <c r="K48" s="13"/>
      <c r="L48" s="13"/>
      <c r="M48" s="13"/>
    </row>
    <row r="49" spans="3:13">
      <c r="C49" s="13"/>
      <c r="D49" s="13"/>
      <c r="E49" s="13"/>
      <c r="F49" s="13"/>
      <c r="G49" s="13"/>
      <c r="H49" s="13"/>
      <c r="I49" s="13"/>
      <c r="J49" s="13"/>
      <c r="K49" s="13"/>
      <c r="L49" s="13"/>
      <c r="M49" s="13"/>
    </row>
  </sheetData>
  <mergeCells count="3">
    <mergeCell ref="A11:A21"/>
    <mergeCell ref="A24:A34"/>
    <mergeCell ref="A37:A47"/>
  </mergeCells>
  <phoneticPr fontId="0" type="noConversion"/>
  <pageMargins left="0.75" right="0.75" top="0.55000000000000004" bottom="0.52" header="0.5" footer="0.5"/>
  <pageSetup paperSize="9" scale="62" orientation="landscape" r:id="rId1"/>
  <headerFooter alignWithMargins="0">
    <oddFooter>&amp;L&amp;9Enron Europe Confidential&amp;C&amp;9Source: Financial Planning and Analysis&amp;R&amp;9Printed : &amp;D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5:P24"/>
  <sheetViews>
    <sheetView zoomScale="75" workbookViewId="0">
      <selection activeCell="C9" sqref="C9"/>
    </sheetView>
  </sheetViews>
  <sheetFormatPr defaultColWidth="9.109375" defaultRowHeight="13.2"/>
  <cols>
    <col min="1" max="16384" width="9.109375" style="16"/>
  </cols>
  <sheetData>
    <row r="15" spans="1:16" ht="60">
      <c r="A15" s="982" t="s">
        <v>90</v>
      </c>
      <c r="B15" s="983"/>
      <c r="C15" s="983"/>
      <c r="D15" s="983"/>
      <c r="E15" s="983"/>
      <c r="F15" s="983"/>
      <c r="G15" s="983"/>
      <c r="H15" s="983"/>
      <c r="I15" s="983"/>
      <c r="J15" s="983"/>
      <c r="K15" s="983"/>
      <c r="L15" s="983"/>
      <c r="M15" s="983"/>
      <c r="N15" s="983"/>
      <c r="O15" s="983"/>
      <c r="P15" s="983"/>
    </row>
    <row r="24" spans="10:10">
      <c r="J24" s="142"/>
    </row>
  </sheetData>
  <mergeCells count="1">
    <mergeCell ref="A15:P15"/>
  </mergeCells>
  <phoneticPr fontId="0" type="noConversion"/>
  <pageMargins left="0.75" right="0.75" top="0.54" bottom="0.53" header="0.5" footer="0.5"/>
  <pageSetup paperSize="9" scale="7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B8:W99"/>
  <sheetViews>
    <sheetView zoomScale="75" workbookViewId="0">
      <selection activeCell="C9" sqref="C9"/>
    </sheetView>
  </sheetViews>
  <sheetFormatPr defaultColWidth="9.109375" defaultRowHeight="13.2"/>
  <cols>
    <col min="1" max="1" width="9.109375" style="16"/>
    <col min="2" max="2" width="28" style="16" customWidth="1"/>
    <col min="3" max="3" width="20.88671875" style="16" customWidth="1"/>
    <col min="4" max="4" width="17.5546875" style="16" customWidth="1"/>
    <col min="5" max="5" width="24.6640625" style="16" customWidth="1"/>
    <col min="6" max="6" width="15.5546875" style="16" customWidth="1"/>
    <col min="7" max="7" width="14.109375" style="16" customWidth="1"/>
    <col min="8" max="8" width="15.5546875" style="16" customWidth="1"/>
    <col min="9" max="9" width="13" style="266" customWidth="1"/>
    <col min="10" max="10" width="17.5546875" style="16" customWidth="1"/>
    <col min="11" max="11" width="12.6640625" style="16" customWidth="1"/>
    <col min="12" max="12" width="15.88671875" style="16" customWidth="1"/>
    <col min="13" max="13" width="14.33203125" style="16" customWidth="1"/>
    <col min="14" max="16384" width="9.109375" style="16"/>
  </cols>
  <sheetData>
    <row r="8" spans="2:23">
      <c r="B8" s="290" t="s">
        <v>178</v>
      </c>
      <c r="C8" s="282"/>
      <c r="D8" s="7"/>
      <c r="E8" s="554" t="s">
        <v>263</v>
      </c>
      <c r="F8" s="282"/>
      <c r="G8" s="282"/>
    </row>
    <row r="10" spans="2:23">
      <c r="B10" s="147" t="s">
        <v>0</v>
      </c>
      <c r="C10" s="128"/>
      <c r="D10" s="128"/>
      <c r="E10" s="128"/>
      <c r="F10" s="128"/>
      <c r="G10" s="128"/>
      <c r="H10" s="128"/>
      <c r="J10" s="128"/>
      <c r="K10" s="128"/>
      <c r="L10" s="128"/>
      <c r="M10" s="128"/>
      <c r="N10" s="128"/>
      <c r="O10" s="128"/>
      <c r="P10" s="128"/>
      <c r="Q10" s="128"/>
      <c r="R10" s="128"/>
      <c r="S10" s="128"/>
      <c r="T10" s="128"/>
      <c r="U10" s="128"/>
      <c r="V10" s="128"/>
      <c r="W10" s="128"/>
    </row>
    <row r="11" spans="2:23" ht="12.75" customHeight="1">
      <c r="B11" s="149" t="s">
        <v>72</v>
      </c>
      <c r="C11" s="265" t="s">
        <v>73</v>
      </c>
      <c r="D11" s="265" t="s">
        <v>39</v>
      </c>
      <c r="E11" s="265" t="s">
        <v>74</v>
      </c>
      <c r="F11" s="128"/>
      <c r="G11" s="128"/>
      <c r="H11" s="128"/>
      <c r="J11" s="128"/>
      <c r="K11" s="128"/>
      <c r="L11" s="128"/>
      <c r="M11" s="128"/>
      <c r="N11" s="128"/>
      <c r="O11" s="128"/>
      <c r="P11" s="128"/>
      <c r="Q11" s="128"/>
      <c r="R11" s="128"/>
      <c r="S11" s="128"/>
      <c r="T11" s="128"/>
      <c r="U11" s="128"/>
      <c r="V11" s="128"/>
      <c r="W11" s="128"/>
    </row>
    <row r="12" spans="2:23">
      <c r="C12" s="128"/>
      <c r="D12" s="128"/>
      <c r="E12" s="128"/>
      <c r="F12" s="128"/>
      <c r="G12" s="128"/>
      <c r="H12" s="128"/>
      <c r="J12" s="128"/>
      <c r="K12" s="128"/>
      <c r="L12" s="128"/>
      <c r="M12" s="128"/>
      <c r="N12" s="128"/>
      <c r="O12" s="128"/>
      <c r="P12" s="128"/>
      <c r="Q12" s="128"/>
      <c r="R12" s="128"/>
      <c r="S12" s="128"/>
      <c r="T12" s="128"/>
      <c r="U12" s="128"/>
      <c r="V12" s="128"/>
      <c r="W12" s="128"/>
    </row>
    <row r="13" spans="2:23">
      <c r="B13" s="41"/>
      <c r="C13" s="284" t="s">
        <v>265</v>
      </c>
      <c r="D13" s="285"/>
      <c r="E13" s="279" t="s">
        <v>172</v>
      </c>
      <c r="F13" s="128"/>
      <c r="G13" s="128"/>
      <c r="H13" s="128"/>
      <c r="I13" s="128"/>
      <c r="J13" s="128"/>
      <c r="K13" s="128"/>
      <c r="L13" s="128"/>
      <c r="M13" s="128"/>
      <c r="N13" s="128"/>
      <c r="O13" s="128"/>
      <c r="P13" s="128"/>
      <c r="Q13" s="128"/>
      <c r="R13" s="128"/>
      <c r="S13" s="128"/>
    </row>
    <row r="14" spans="2:23">
      <c r="B14" s="41"/>
      <c r="C14" s="284"/>
      <c r="D14" s="285"/>
      <c r="E14" s="319"/>
      <c r="F14" s="128"/>
      <c r="G14" s="128"/>
      <c r="H14" s="128"/>
      <c r="I14" s="128"/>
      <c r="J14" s="128"/>
      <c r="K14" s="128"/>
      <c r="L14" s="128"/>
      <c r="M14" s="128"/>
      <c r="N14" s="128"/>
      <c r="O14" s="128"/>
      <c r="P14" s="128"/>
      <c r="Q14" s="128"/>
      <c r="R14" s="128"/>
      <c r="S14" s="128"/>
    </row>
    <row r="15" spans="2:23">
      <c r="B15" s="263" t="s">
        <v>32</v>
      </c>
      <c r="C15" s="264">
        <v>10</v>
      </c>
      <c r="D15" s="128"/>
      <c r="E15" s="329">
        <f>SUM(C15:D15)</f>
        <v>10</v>
      </c>
      <c r="F15" s="128"/>
      <c r="G15" s="128"/>
      <c r="H15" s="128"/>
      <c r="I15" s="128"/>
      <c r="J15" s="128"/>
      <c r="K15" s="128"/>
      <c r="L15" s="128"/>
      <c r="M15" s="128"/>
      <c r="N15" s="128"/>
      <c r="O15" s="128"/>
      <c r="P15" s="128"/>
      <c r="Q15" s="128"/>
      <c r="R15" s="128"/>
      <c r="S15" s="128"/>
    </row>
    <row r="16" spans="2:23">
      <c r="B16" s="263" t="s">
        <v>143</v>
      </c>
      <c r="C16" s="268">
        <v>0</v>
      </c>
      <c r="D16" s="128"/>
      <c r="E16" s="280"/>
      <c r="F16" s="128"/>
      <c r="G16" s="128"/>
      <c r="H16" s="128"/>
      <c r="I16" s="128"/>
      <c r="J16" s="128"/>
      <c r="K16" s="128"/>
      <c r="L16" s="128"/>
      <c r="M16" s="128"/>
      <c r="N16" s="128"/>
      <c r="O16" s="128"/>
      <c r="P16" s="128"/>
      <c r="Q16" s="128"/>
      <c r="R16" s="128"/>
      <c r="S16" s="128"/>
    </row>
    <row r="17" spans="2:19">
      <c r="B17" s="263" t="s">
        <v>144</v>
      </c>
      <c r="C17" s="268">
        <f>+'[2]Budget 2002 Summary'!$O$40</f>
        <v>1384175</v>
      </c>
      <c r="D17" s="128"/>
      <c r="E17" s="280">
        <f>SUM(C17:D17)</f>
        <v>1384175</v>
      </c>
      <c r="F17" s="128"/>
      <c r="G17" s="128"/>
      <c r="H17" s="128"/>
      <c r="I17" s="128"/>
      <c r="J17" s="128"/>
      <c r="K17" s="128"/>
      <c r="L17" s="128"/>
      <c r="M17" s="128"/>
      <c r="N17" s="128"/>
      <c r="O17" s="128"/>
      <c r="P17" s="128"/>
      <c r="Q17" s="128"/>
      <c r="R17" s="128"/>
      <c r="S17" s="128"/>
    </row>
    <row r="18" spans="2:19">
      <c r="B18" s="148" t="s">
        <v>145</v>
      </c>
      <c r="C18" s="266">
        <v>0</v>
      </c>
      <c r="D18" s="128"/>
      <c r="E18" s="280">
        <f t="shared" ref="E18:E26" si="0">SUM(C18:D18)</f>
        <v>0</v>
      </c>
      <c r="F18" s="128"/>
      <c r="G18" s="128"/>
      <c r="H18" s="128"/>
      <c r="I18" s="128"/>
      <c r="J18" s="128"/>
      <c r="K18" s="128"/>
      <c r="L18" s="128"/>
      <c r="M18" s="128"/>
      <c r="N18" s="128"/>
      <c r="O18" s="128"/>
      <c r="P18" s="128"/>
      <c r="Q18" s="128"/>
      <c r="R18" s="128"/>
      <c r="S18" s="128"/>
    </row>
    <row r="19" spans="2:19">
      <c r="B19" s="263" t="s">
        <v>146</v>
      </c>
      <c r="C19" s="266">
        <v>0</v>
      </c>
      <c r="D19" s="128"/>
      <c r="E19" s="280">
        <f t="shared" si="0"/>
        <v>0</v>
      </c>
      <c r="F19" s="128"/>
      <c r="G19" s="128"/>
      <c r="H19" s="128"/>
      <c r="I19" s="128"/>
      <c r="J19" s="128"/>
      <c r="K19" s="128"/>
      <c r="L19" s="128"/>
      <c r="M19" s="128"/>
      <c r="N19" s="128"/>
      <c r="O19" s="128"/>
      <c r="P19" s="128"/>
      <c r="Q19" s="128"/>
      <c r="R19" s="128"/>
      <c r="S19" s="128"/>
    </row>
    <row r="20" spans="2:19">
      <c r="B20" s="263" t="s">
        <v>147</v>
      </c>
      <c r="C20" s="266"/>
      <c r="D20" s="128"/>
      <c r="E20" s="280">
        <f t="shared" si="0"/>
        <v>0</v>
      </c>
      <c r="F20" s="128"/>
      <c r="G20" s="128"/>
      <c r="H20" s="128"/>
      <c r="I20" s="128"/>
      <c r="J20" s="128"/>
      <c r="K20" s="128"/>
      <c r="L20" s="128"/>
      <c r="M20" s="128"/>
      <c r="N20" s="128"/>
      <c r="O20" s="128"/>
      <c r="P20" s="128"/>
      <c r="Q20" s="128"/>
      <c r="R20" s="128"/>
      <c r="S20" s="128"/>
    </row>
    <row r="21" spans="2:19">
      <c r="B21" s="263" t="s">
        <v>148</v>
      </c>
      <c r="C21" s="266">
        <v>0</v>
      </c>
      <c r="D21" s="128"/>
      <c r="E21" s="280">
        <f t="shared" si="0"/>
        <v>0</v>
      </c>
      <c r="F21" s="128"/>
      <c r="G21" s="128"/>
      <c r="H21" s="128"/>
      <c r="I21" s="128"/>
      <c r="J21" s="128"/>
      <c r="K21" s="128"/>
      <c r="L21" s="128"/>
      <c r="M21" s="128"/>
      <c r="N21" s="128"/>
      <c r="O21" s="128"/>
      <c r="P21" s="128"/>
      <c r="Q21" s="128"/>
      <c r="R21" s="128"/>
      <c r="S21" s="128"/>
    </row>
    <row r="22" spans="2:19">
      <c r="B22" s="263" t="s">
        <v>149</v>
      </c>
      <c r="C22" s="266">
        <v>0</v>
      </c>
      <c r="D22" s="128"/>
      <c r="E22" s="280">
        <f t="shared" si="0"/>
        <v>0</v>
      </c>
      <c r="F22" s="128"/>
      <c r="G22" s="128"/>
      <c r="H22" s="128"/>
      <c r="I22" s="128"/>
      <c r="J22" s="128"/>
      <c r="K22" s="128"/>
      <c r="L22" s="128"/>
      <c r="M22" s="128"/>
      <c r="N22" s="128"/>
      <c r="O22" s="128"/>
      <c r="P22" s="128"/>
      <c r="Q22" s="128"/>
      <c r="R22" s="128"/>
      <c r="S22" s="128"/>
    </row>
    <row r="23" spans="2:19">
      <c r="B23" s="263" t="s">
        <v>150</v>
      </c>
      <c r="C23" s="266">
        <v>0</v>
      </c>
      <c r="D23" s="128"/>
      <c r="E23" s="280">
        <f t="shared" si="0"/>
        <v>0</v>
      </c>
      <c r="F23" s="128"/>
      <c r="G23" s="128"/>
      <c r="H23" s="128"/>
      <c r="I23" s="128"/>
      <c r="J23" s="128"/>
      <c r="K23" s="128"/>
      <c r="L23" s="128"/>
      <c r="M23" s="128"/>
      <c r="N23" s="128"/>
      <c r="O23" s="128"/>
      <c r="P23" s="128"/>
      <c r="Q23" s="128"/>
      <c r="R23" s="128"/>
      <c r="S23" s="128"/>
    </row>
    <row r="24" spans="2:19">
      <c r="B24" s="263" t="s">
        <v>151</v>
      </c>
      <c r="C24" s="266">
        <v>0</v>
      </c>
      <c r="D24" s="128"/>
      <c r="E24" s="280">
        <f t="shared" si="0"/>
        <v>0</v>
      </c>
      <c r="F24" s="128"/>
      <c r="G24" s="128"/>
      <c r="H24" s="128"/>
      <c r="I24" s="128"/>
      <c r="J24" s="128"/>
      <c r="K24" s="128"/>
      <c r="L24" s="128"/>
      <c r="M24" s="128"/>
      <c r="N24" s="128"/>
      <c r="O24" s="128"/>
      <c r="P24" s="128"/>
      <c r="Q24" s="128"/>
      <c r="R24" s="128"/>
      <c r="S24" s="128"/>
    </row>
    <row r="25" spans="2:19">
      <c r="B25" s="263" t="s">
        <v>152</v>
      </c>
      <c r="C25" s="266">
        <v>0</v>
      </c>
      <c r="D25" s="128"/>
      <c r="E25" s="280">
        <f t="shared" si="0"/>
        <v>0</v>
      </c>
      <c r="F25" s="128"/>
      <c r="G25" s="128"/>
      <c r="H25" s="128"/>
      <c r="I25" s="128"/>
      <c r="J25" s="128"/>
      <c r="K25" s="128"/>
      <c r="L25" s="128"/>
      <c r="M25" s="128"/>
      <c r="N25" s="128"/>
      <c r="O25" s="128"/>
      <c r="P25" s="128"/>
      <c r="Q25" s="128"/>
      <c r="R25" s="128"/>
      <c r="S25" s="128"/>
    </row>
    <row r="26" spans="2:19" s="565" customFormat="1">
      <c r="B26" s="561" t="s">
        <v>75</v>
      </c>
      <c r="C26" s="562">
        <f>+C17</f>
        <v>1384175</v>
      </c>
      <c r="D26" s="563"/>
      <c r="E26" s="564">
        <f t="shared" si="0"/>
        <v>1384175</v>
      </c>
      <c r="F26" s="563"/>
      <c r="G26" s="563"/>
      <c r="H26" s="563"/>
      <c r="I26" s="563"/>
      <c r="J26" s="563"/>
      <c r="K26" s="563"/>
      <c r="L26" s="563"/>
      <c r="M26" s="563"/>
      <c r="N26" s="563"/>
      <c r="O26" s="563"/>
      <c r="P26" s="563"/>
      <c r="Q26" s="563"/>
      <c r="R26" s="563"/>
      <c r="S26" s="563"/>
    </row>
    <row r="27" spans="2:19">
      <c r="B27" s="263" t="s">
        <v>153</v>
      </c>
      <c r="C27" s="266"/>
      <c r="D27" s="128"/>
      <c r="E27" s="280"/>
      <c r="F27" s="128"/>
      <c r="G27" s="128"/>
      <c r="H27" s="128"/>
      <c r="I27" s="128"/>
      <c r="J27" s="128"/>
      <c r="K27" s="128"/>
      <c r="L27" s="128"/>
      <c r="M27" s="128"/>
      <c r="N27" s="128"/>
      <c r="O27" s="128"/>
      <c r="P27" s="128"/>
      <c r="Q27" s="128"/>
      <c r="R27" s="128"/>
      <c r="S27" s="128"/>
    </row>
    <row r="28" spans="2:19">
      <c r="B28" s="267" t="s">
        <v>142</v>
      </c>
      <c r="C28" s="268">
        <f>5150+141750</f>
        <v>146900</v>
      </c>
      <c r="D28" s="128"/>
      <c r="E28" s="280">
        <f t="shared" ref="E28:E33" si="1">SUM(C28:D28)</f>
        <v>146900</v>
      </c>
      <c r="F28" s="128"/>
      <c r="G28" s="128"/>
      <c r="H28" s="128"/>
      <c r="I28" s="128"/>
      <c r="J28" s="128"/>
      <c r="K28" s="128"/>
      <c r="L28" s="128"/>
      <c r="M28" s="128"/>
      <c r="N28" s="128"/>
      <c r="O28" s="128"/>
      <c r="P28" s="128"/>
      <c r="Q28" s="128"/>
      <c r="R28" s="128"/>
      <c r="S28" s="128"/>
    </row>
    <row r="29" spans="2:19">
      <c r="B29" s="267" t="s">
        <v>138</v>
      </c>
      <c r="C29" s="268">
        <f>4625+92250</f>
        <v>96875</v>
      </c>
      <c r="D29" s="128"/>
      <c r="E29" s="280">
        <f t="shared" si="1"/>
        <v>96875</v>
      </c>
      <c r="F29" s="128"/>
      <c r="G29" s="128"/>
      <c r="H29" s="128"/>
      <c r="I29" s="128"/>
      <c r="J29" s="128"/>
      <c r="K29" s="128"/>
      <c r="L29" s="128"/>
      <c r="M29" s="128"/>
      <c r="N29" s="128"/>
      <c r="O29" s="128"/>
      <c r="P29" s="128"/>
      <c r="Q29" s="128"/>
      <c r="R29" s="128"/>
      <c r="S29" s="128"/>
    </row>
    <row r="30" spans="2:19">
      <c r="B30" s="148" t="s">
        <v>139</v>
      </c>
      <c r="C30" s="266">
        <v>0</v>
      </c>
      <c r="D30" s="128"/>
      <c r="E30" s="280">
        <f t="shared" si="1"/>
        <v>0</v>
      </c>
      <c r="F30" s="128"/>
      <c r="G30" s="128"/>
      <c r="H30" s="128"/>
      <c r="I30" s="128"/>
      <c r="J30" s="128"/>
      <c r="K30" s="128"/>
      <c r="L30" s="128"/>
      <c r="M30" s="128"/>
      <c r="N30" s="128"/>
      <c r="O30" s="128"/>
      <c r="P30" s="128"/>
      <c r="Q30" s="128"/>
      <c r="R30" s="128"/>
      <c r="S30" s="128"/>
    </row>
    <row r="31" spans="2:19">
      <c r="B31" s="263" t="s">
        <v>154</v>
      </c>
      <c r="C31" s="266">
        <f>9000+10000</f>
        <v>19000</v>
      </c>
      <c r="D31" s="128"/>
      <c r="E31" s="280">
        <f t="shared" si="1"/>
        <v>19000</v>
      </c>
      <c r="F31" s="128"/>
      <c r="G31" s="128"/>
      <c r="H31" s="128"/>
      <c r="I31" s="128"/>
      <c r="J31" s="128"/>
      <c r="K31" s="128"/>
      <c r="L31" s="128"/>
      <c r="M31" s="128"/>
      <c r="N31" s="128"/>
      <c r="O31" s="128"/>
      <c r="P31" s="128"/>
      <c r="Q31" s="128"/>
      <c r="R31" s="128"/>
      <c r="S31" s="128"/>
    </row>
    <row r="32" spans="2:19">
      <c r="B32" s="263" t="s">
        <v>141</v>
      </c>
      <c r="C32" s="266">
        <v>9000</v>
      </c>
      <c r="D32" s="128"/>
      <c r="E32" s="280">
        <f t="shared" si="1"/>
        <v>9000</v>
      </c>
      <c r="F32" s="128"/>
      <c r="G32" s="128"/>
      <c r="H32" s="128"/>
      <c r="I32" s="128"/>
      <c r="J32" s="128"/>
      <c r="K32" s="128"/>
      <c r="L32" s="128"/>
      <c r="M32" s="128"/>
      <c r="N32" s="128"/>
      <c r="O32" s="128"/>
      <c r="P32" s="128"/>
      <c r="Q32" s="128"/>
      <c r="R32" s="128"/>
      <c r="S32" s="128"/>
    </row>
    <row r="33" spans="2:19" s="565" customFormat="1">
      <c r="B33" s="561" t="s">
        <v>76</v>
      </c>
      <c r="C33" s="562">
        <f>+SUM(C27:C32)</f>
        <v>271775</v>
      </c>
      <c r="D33" s="563"/>
      <c r="E33" s="566">
        <f t="shared" si="1"/>
        <v>271775</v>
      </c>
      <c r="F33" s="563"/>
      <c r="G33" s="563"/>
      <c r="H33" s="563"/>
      <c r="I33" s="563"/>
      <c r="J33" s="563"/>
      <c r="K33" s="563"/>
      <c r="L33" s="563"/>
      <c r="M33" s="563"/>
      <c r="N33" s="563"/>
      <c r="O33" s="563"/>
      <c r="P33" s="563"/>
      <c r="Q33" s="563"/>
      <c r="R33" s="563"/>
      <c r="S33" s="563"/>
    </row>
    <row r="34" spans="2:19">
      <c r="B34" s="263" t="s">
        <v>155</v>
      </c>
      <c r="C34" s="266">
        <v>0</v>
      </c>
      <c r="D34" s="128"/>
      <c r="E34" s="280"/>
      <c r="F34" s="128"/>
      <c r="G34" s="128"/>
      <c r="H34" s="128"/>
      <c r="I34" s="128"/>
      <c r="J34" s="128"/>
      <c r="K34" s="128"/>
      <c r="L34" s="128"/>
      <c r="M34" s="128"/>
      <c r="N34" s="128"/>
      <c r="O34" s="128"/>
      <c r="P34" s="128"/>
      <c r="Q34" s="128"/>
      <c r="R34" s="128"/>
      <c r="S34" s="128"/>
    </row>
    <row r="35" spans="2:19">
      <c r="B35" s="263" t="s">
        <v>98</v>
      </c>
      <c r="C35" s="266">
        <v>0</v>
      </c>
      <c r="D35" s="128"/>
      <c r="E35" s="280">
        <f t="shared" ref="E35:E46" si="2">SUM(C35:D35)</f>
        <v>0</v>
      </c>
      <c r="F35" s="128"/>
      <c r="G35" s="128"/>
      <c r="H35" s="128"/>
      <c r="I35" s="128"/>
      <c r="J35" s="128"/>
      <c r="K35" s="128"/>
      <c r="L35" s="128"/>
      <c r="M35" s="128"/>
      <c r="N35" s="128"/>
      <c r="O35" s="128"/>
      <c r="P35" s="128"/>
      <c r="Q35" s="128"/>
      <c r="R35" s="128"/>
      <c r="S35" s="128"/>
    </row>
    <row r="36" spans="2:19">
      <c r="B36" s="267" t="s">
        <v>99</v>
      </c>
      <c r="C36" s="268">
        <v>0</v>
      </c>
      <c r="D36" s="128"/>
      <c r="E36" s="280">
        <f t="shared" si="2"/>
        <v>0</v>
      </c>
      <c r="F36" s="128"/>
      <c r="G36" s="128"/>
      <c r="H36" s="128"/>
      <c r="I36" s="128"/>
      <c r="J36" s="128"/>
      <c r="K36" s="128"/>
      <c r="L36" s="128"/>
      <c r="M36" s="128"/>
      <c r="N36" s="128"/>
      <c r="O36" s="128"/>
      <c r="P36" s="128"/>
      <c r="Q36" s="128"/>
      <c r="R36" s="128"/>
      <c r="S36" s="128"/>
    </row>
    <row r="37" spans="2:19">
      <c r="B37" s="267" t="s">
        <v>100</v>
      </c>
      <c r="C37" s="268">
        <v>0</v>
      </c>
      <c r="D37" s="128"/>
      <c r="E37" s="280">
        <f t="shared" si="2"/>
        <v>0</v>
      </c>
      <c r="F37" s="128"/>
      <c r="G37" s="128"/>
      <c r="H37" s="128"/>
      <c r="I37" s="128"/>
      <c r="J37" s="128"/>
      <c r="K37" s="128"/>
      <c r="L37" s="128"/>
      <c r="M37" s="128"/>
      <c r="N37" s="128"/>
      <c r="O37" s="128"/>
      <c r="P37" s="128"/>
      <c r="Q37" s="128"/>
      <c r="R37" s="128"/>
      <c r="S37" s="128"/>
    </row>
    <row r="38" spans="2:19">
      <c r="B38" s="148" t="s">
        <v>101</v>
      </c>
      <c r="C38" s="266">
        <v>0</v>
      </c>
      <c r="D38" s="128"/>
      <c r="E38" s="280">
        <f t="shared" si="2"/>
        <v>0</v>
      </c>
      <c r="F38" s="128"/>
      <c r="G38" s="128"/>
      <c r="H38" s="128"/>
      <c r="I38" s="128"/>
      <c r="J38" s="128"/>
      <c r="K38" s="128"/>
      <c r="L38" s="128"/>
      <c r="M38" s="128"/>
      <c r="N38" s="128"/>
      <c r="O38" s="128"/>
      <c r="P38" s="128"/>
      <c r="Q38" s="128"/>
      <c r="R38" s="128"/>
      <c r="S38" s="128"/>
    </row>
    <row r="39" spans="2:19">
      <c r="B39" s="263" t="s">
        <v>156</v>
      </c>
      <c r="C39" s="266">
        <v>0</v>
      </c>
      <c r="D39" s="128"/>
      <c r="E39" s="280">
        <f t="shared" si="2"/>
        <v>0</v>
      </c>
      <c r="F39" s="128"/>
      <c r="G39" s="128"/>
      <c r="H39" s="128"/>
      <c r="I39" s="128"/>
      <c r="J39" s="128"/>
      <c r="K39" s="128"/>
      <c r="L39" s="128"/>
      <c r="M39" s="128"/>
      <c r="N39" s="128"/>
      <c r="O39" s="128"/>
      <c r="P39" s="128"/>
      <c r="Q39" s="128"/>
      <c r="R39" s="128"/>
      <c r="S39" s="128"/>
    </row>
    <row r="40" spans="2:19">
      <c r="B40" s="263" t="s">
        <v>103</v>
      </c>
      <c r="C40" s="266">
        <v>0</v>
      </c>
      <c r="D40" s="128"/>
      <c r="E40" s="280">
        <f t="shared" si="2"/>
        <v>0</v>
      </c>
      <c r="F40" s="128"/>
      <c r="G40" s="128"/>
      <c r="H40" s="128"/>
      <c r="I40" s="128"/>
      <c r="J40" s="128"/>
      <c r="K40" s="128"/>
      <c r="L40" s="128"/>
      <c r="M40" s="128"/>
      <c r="N40" s="128"/>
      <c r="O40" s="128"/>
      <c r="P40" s="128"/>
      <c r="Q40" s="128"/>
      <c r="R40" s="128"/>
      <c r="S40" s="128"/>
    </row>
    <row r="41" spans="2:19">
      <c r="B41" s="263" t="s">
        <v>104</v>
      </c>
      <c r="C41" s="266">
        <v>0</v>
      </c>
      <c r="D41" s="128"/>
      <c r="E41" s="280">
        <f t="shared" si="2"/>
        <v>0</v>
      </c>
      <c r="F41" s="128"/>
      <c r="G41" s="128"/>
      <c r="H41" s="128"/>
      <c r="I41" s="128"/>
      <c r="J41" s="128"/>
      <c r="K41" s="128"/>
      <c r="L41" s="128"/>
      <c r="M41" s="128"/>
      <c r="N41" s="128"/>
      <c r="O41" s="128"/>
      <c r="P41" s="128"/>
      <c r="Q41" s="128"/>
      <c r="R41" s="128"/>
      <c r="S41" s="128"/>
    </row>
    <row r="42" spans="2:19">
      <c r="B42" s="263" t="s">
        <v>157</v>
      </c>
      <c r="C42" s="266">
        <v>0</v>
      </c>
      <c r="D42" s="128"/>
      <c r="E42" s="280">
        <f t="shared" si="2"/>
        <v>0</v>
      </c>
      <c r="F42" s="128"/>
      <c r="G42" s="128"/>
      <c r="H42" s="128"/>
      <c r="I42" s="128"/>
      <c r="J42" s="128"/>
      <c r="K42" s="128"/>
      <c r="L42" s="128"/>
      <c r="M42" s="128"/>
      <c r="N42" s="128"/>
      <c r="O42" s="128"/>
      <c r="P42" s="128"/>
      <c r="Q42" s="128"/>
      <c r="R42" s="128"/>
      <c r="S42" s="128"/>
    </row>
    <row r="43" spans="2:19">
      <c r="B43" s="263" t="s">
        <v>158</v>
      </c>
      <c r="C43" s="266">
        <v>0</v>
      </c>
      <c r="D43" s="128"/>
      <c r="E43" s="280">
        <f t="shared" si="2"/>
        <v>0</v>
      </c>
      <c r="F43" s="128"/>
      <c r="G43" s="128"/>
      <c r="H43" s="128"/>
      <c r="I43" s="128"/>
      <c r="J43" s="128"/>
      <c r="K43" s="128"/>
      <c r="L43" s="128"/>
      <c r="M43" s="128"/>
      <c r="N43" s="128"/>
      <c r="O43" s="128"/>
      <c r="P43" s="128"/>
      <c r="Q43" s="128"/>
      <c r="R43" s="128"/>
      <c r="S43" s="128"/>
    </row>
    <row r="44" spans="2:19">
      <c r="B44" s="263" t="s">
        <v>107</v>
      </c>
      <c r="C44" s="266">
        <v>0</v>
      </c>
      <c r="D44" s="128"/>
      <c r="E44" s="280">
        <f t="shared" si="2"/>
        <v>0</v>
      </c>
      <c r="F44" s="128"/>
      <c r="G44" s="128"/>
      <c r="H44" s="128"/>
      <c r="I44" s="128"/>
      <c r="J44" s="128"/>
      <c r="K44" s="128"/>
      <c r="L44" s="128"/>
      <c r="M44" s="128"/>
      <c r="N44" s="128"/>
      <c r="O44" s="128"/>
      <c r="P44" s="128"/>
      <c r="Q44" s="128"/>
      <c r="R44" s="128"/>
      <c r="S44" s="128"/>
    </row>
    <row r="45" spans="2:19">
      <c r="B45" s="263" t="s">
        <v>108</v>
      </c>
      <c r="C45" s="268">
        <v>4481</v>
      </c>
      <c r="D45" s="128"/>
      <c r="E45" s="280">
        <f t="shared" si="2"/>
        <v>4481</v>
      </c>
      <c r="F45" s="128"/>
      <c r="G45" s="128"/>
      <c r="H45" s="128"/>
      <c r="I45" s="128"/>
      <c r="J45" s="128"/>
      <c r="K45" s="128"/>
      <c r="L45" s="128"/>
      <c r="M45" s="128"/>
      <c r="N45" s="128"/>
      <c r="O45" s="128"/>
      <c r="P45" s="128"/>
      <c r="Q45" s="128"/>
      <c r="R45" s="128"/>
      <c r="S45" s="128"/>
    </row>
    <row r="46" spans="2:19" s="565" customFormat="1">
      <c r="B46" s="561" t="s">
        <v>77</v>
      </c>
      <c r="C46" s="562">
        <f>+C45</f>
        <v>4481</v>
      </c>
      <c r="D46" s="563"/>
      <c r="E46" s="564">
        <f t="shared" si="2"/>
        <v>4481</v>
      </c>
      <c r="F46" s="563"/>
      <c r="G46" s="563"/>
      <c r="H46" s="563"/>
      <c r="I46" s="563"/>
      <c r="J46" s="563"/>
      <c r="K46" s="563"/>
      <c r="L46" s="563"/>
      <c r="M46" s="563"/>
      <c r="N46" s="563"/>
      <c r="O46" s="563"/>
      <c r="P46" s="563"/>
      <c r="Q46" s="563"/>
      <c r="R46" s="563"/>
      <c r="S46" s="563"/>
    </row>
    <row r="47" spans="2:19">
      <c r="B47" s="263" t="s">
        <v>159</v>
      </c>
      <c r="C47" s="266">
        <v>0</v>
      </c>
      <c r="D47" s="128"/>
      <c r="E47" s="280"/>
      <c r="F47" s="128"/>
      <c r="G47" s="128"/>
      <c r="H47" s="128"/>
      <c r="I47" s="128"/>
      <c r="J47" s="128"/>
      <c r="K47" s="128"/>
      <c r="L47" s="128"/>
      <c r="M47" s="128"/>
      <c r="N47" s="128"/>
      <c r="O47" s="128"/>
      <c r="P47" s="128"/>
      <c r="Q47" s="128"/>
      <c r="R47" s="128"/>
      <c r="S47" s="128"/>
    </row>
    <row r="48" spans="2:19">
      <c r="B48" s="263" t="s">
        <v>109</v>
      </c>
      <c r="C48" s="266">
        <v>0</v>
      </c>
      <c r="D48" s="128"/>
      <c r="E48" s="280">
        <f t="shared" ref="E48:E60" si="3">SUM(C48:D48)</f>
        <v>0</v>
      </c>
      <c r="F48" s="128"/>
      <c r="G48" s="128"/>
      <c r="H48" s="128"/>
      <c r="I48" s="128"/>
      <c r="J48" s="128"/>
      <c r="K48" s="128"/>
      <c r="L48" s="128"/>
      <c r="M48" s="128"/>
      <c r="N48" s="128"/>
      <c r="O48" s="128"/>
      <c r="P48" s="128"/>
      <c r="Q48" s="128"/>
      <c r="R48" s="128"/>
      <c r="S48" s="128"/>
    </row>
    <row r="49" spans="2:19">
      <c r="B49" s="263" t="s">
        <v>160</v>
      </c>
      <c r="C49" s="266">
        <v>0</v>
      </c>
      <c r="D49" s="128"/>
      <c r="E49" s="280">
        <f t="shared" si="3"/>
        <v>0</v>
      </c>
      <c r="F49" s="128"/>
      <c r="G49" s="128"/>
      <c r="H49" s="128"/>
      <c r="I49" s="128"/>
      <c r="J49" s="128"/>
      <c r="K49" s="128"/>
      <c r="L49" s="128"/>
      <c r="M49" s="128"/>
      <c r="N49" s="128"/>
      <c r="O49" s="128"/>
      <c r="P49" s="128"/>
      <c r="Q49" s="128"/>
      <c r="R49" s="128"/>
      <c r="S49" s="128"/>
    </row>
    <row r="50" spans="2:19">
      <c r="B50" s="267" t="s">
        <v>161</v>
      </c>
      <c r="C50" s="268">
        <v>0</v>
      </c>
      <c r="D50" s="128"/>
      <c r="E50" s="280">
        <f t="shared" si="3"/>
        <v>0</v>
      </c>
      <c r="F50" s="128"/>
      <c r="G50" s="128"/>
      <c r="H50" s="128"/>
      <c r="I50" s="128"/>
      <c r="J50" s="128"/>
      <c r="K50" s="128"/>
      <c r="L50" s="128"/>
      <c r="M50" s="128"/>
      <c r="N50" s="128"/>
      <c r="O50" s="128"/>
      <c r="P50" s="128"/>
      <c r="Q50" s="128"/>
      <c r="R50" s="128"/>
      <c r="S50" s="128"/>
    </row>
    <row r="51" spans="2:19">
      <c r="B51" s="267" t="s">
        <v>112</v>
      </c>
      <c r="C51" s="268">
        <v>0</v>
      </c>
      <c r="D51" s="128"/>
      <c r="E51" s="280">
        <f t="shared" si="3"/>
        <v>0</v>
      </c>
      <c r="F51" s="128"/>
      <c r="G51" s="128"/>
      <c r="H51" s="128"/>
      <c r="I51" s="128"/>
      <c r="J51" s="128"/>
      <c r="K51" s="128"/>
      <c r="L51" s="128"/>
      <c r="M51" s="128"/>
      <c r="N51" s="128"/>
      <c r="O51" s="128"/>
      <c r="P51" s="128"/>
      <c r="Q51" s="128"/>
      <c r="R51" s="128"/>
      <c r="S51" s="128"/>
    </row>
    <row r="52" spans="2:19">
      <c r="B52" s="148" t="s">
        <v>162</v>
      </c>
      <c r="C52" s="266">
        <v>0</v>
      </c>
      <c r="D52" s="128"/>
      <c r="E52" s="280">
        <f t="shared" si="3"/>
        <v>0</v>
      </c>
      <c r="F52" s="128"/>
      <c r="G52" s="128"/>
      <c r="H52" s="128"/>
      <c r="I52" s="128"/>
      <c r="J52" s="128"/>
      <c r="K52" s="128"/>
      <c r="L52" s="128"/>
      <c r="M52" s="128"/>
      <c r="N52" s="128"/>
      <c r="O52" s="128"/>
      <c r="P52" s="128"/>
      <c r="Q52" s="128"/>
      <c r="R52" s="128"/>
      <c r="S52" s="128"/>
    </row>
    <row r="53" spans="2:19">
      <c r="B53" s="263" t="s">
        <v>114</v>
      </c>
      <c r="C53" s="266">
        <v>0</v>
      </c>
      <c r="D53" s="128"/>
      <c r="E53" s="280">
        <f t="shared" si="3"/>
        <v>0</v>
      </c>
      <c r="F53" s="128"/>
      <c r="G53" s="128"/>
      <c r="H53" s="128"/>
      <c r="I53" s="128"/>
      <c r="J53" s="128"/>
      <c r="K53" s="128"/>
      <c r="L53" s="128"/>
      <c r="M53" s="128"/>
      <c r="N53" s="128"/>
      <c r="O53" s="128"/>
      <c r="P53" s="128"/>
      <c r="Q53" s="128"/>
      <c r="R53" s="128"/>
      <c r="S53" s="128"/>
    </row>
    <row r="54" spans="2:19">
      <c r="B54" s="263" t="s">
        <v>115</v>
      </c>
      <c r="C54" s="266">
        <v>502000</v>
      </c>
      <c r="D54" s="128"/>
      <c r="E54" s="280">
        <f t="shared" si="3"/>
        <v>502000</v>
      </c>
      <c r="F54" s="128"/>
      <c r="G54" s="128"/>
      <c r="H54" s="128"/>
      <c r="I54" s="128"/>
      <c r="J54" s="128"/>
      <c r="K54" s="128"/>
      <c r="L54" s="128"/>
      <c r="M54" s="128"/>
      <c r="N54" s="128"/>
      <c r="O54" s="128"/>
      <c r="P54" s="128"/>
      <c r="Q54" s="128"/>
      <c r="R54" s="128"/>
      <c r="S54" s="128"/>
    </row>
    <row r="55" spans="2:19">
      <c r="B55" s="263" t="s">
        <v>116</v>
      </c>
      <c r="C55" s="266">
        <v>0</v>
      </c>
      <c r="D55" s="128"/>
      <c r="E55" s="280">
        <f t="shared" si="3"/>
        <v>0</v>
      </c>
      <c r="F55" s="128"/>
      <c r="G55" s="128"/>
      <c r="H55" s="128"/>
      <c r="I55" s="128"/>
      <c r="J55" s="128"/>
      <c r="K55" s="128"/>
      <c r="L55" s="128"/>
      <c r="M55" s="128"/>
      <c r="N55" s="128"/>
      <c r="O55" s="128"/>
      <c r="P55" s="128"/>
      <c r="Q55" s="128"/>
      <c r="R55" s="128"/>
      <c r="S55" s="128"/>
    </row>
    <row r="56" spans="2:19">
      <c r="B56" s="263" t="s">
        <v>117</v>
      </c>
      <c r="C56" s="266">
        <v>0</v>
      </c>
      <c r="D56" s="128"/>
      <c r="E56" s="280">
        <f t="shared" si="3"/>
        <v>0</v>
      </c>
      <c r="F56" s="128"/>
      <c r="G56" s="128"/>
      <c r="H56" s="128"/>
      <c r="I56" s="128"/>
      <c r="J56" s="128"/>
      <c r="K56" s="128"/>
      <c r="L56" s="128"/>
      <c r="M56" s="128"/>
      <c r="N56" s="128"/>
      <c r="O56" s="128"/>
      <c r="P56" s="128"/>
      <c r="Q56" s="128"/>
      <c r="R56" s="128"/>
      <c r="S56" s="128"/>
    </row>
    <row r="57" spans="2:19">
      <c r="B57" s="263" t="s">
        <v>118</v>
      </c>
      <c r="C57" s="266">
        <v>0</v>
      </c>
      <c r="D57" s="128"/>
      <c r="E57" s="280">
        <f t="shared" si="3"/>
        <v>0</v>
      </c>
      <c r="F57" s="128"/>
      <c r="G57" s="128"/>
      <c r="H57" s="128"/>
      <c r="I57" s="128"/>
      <c r="J57" s="128"/>
      <c r="K57" s="128"/>
      <c r="L57" s="128"/>
      <c r="M57" s="128"/>
      <c r="N57" s="128"/>
      <c r="O57" s="128"/>
      <c r="P57" s="128"/>
      <c r="Q57" s="128"/>
      <c r="R57" s="128"/>
      <c r="S57" s="128"/>
    </row>
    <row r="58" spans="2:19">
      <c r="B58" s="263" t="s">
        <v>119</v>
      </c>
      <c r="C58" s="266">
        <v>0</v>
      </c>
      <c r="D58" s="128"/>
      <c r="E58" s="280">
        <f t="shared" si="3"/>
        <v>0</v>
      </c>
      <c r="F58" s="128"/>
      <c r="G58" s="128"/>
      <c r="H58" s="128"/>
      <c r="I58" s="128"/>
      <c r="J58" s="128"/>
      <c r="K58" s="128"/>
      <c r="L58" s="128"/>
      <c r="M58" s="128"/>
      <c r="N58" s="128"/>
      <c r="O58" s="128"/>
      <c r="P58" s="128"/>
      <c r="Q58" s="128"/>
      <c r="R58" s="128"/>
      <c r="S58" s="128"/>
    </row>
    <row r="59" spans="2:19">
      <c r="B59" s="263" t="s">
        <v>120</v>
      </c>
      <c r="C59" s="268"/>
      <c r="D59" s="128"/>
      <c r="E59" s="280">
        <f t="shared" si="3"/>
        <v>0</v>
      </c>
      <c r="F59" s="128"/>
      <c r="G59" s="128"/>
      <c r="H59" s="128"/>
      <c r="I59" s="128"/>
      <c r="J59" s="128"/>
      <c r="K59" s="128"/>
      <c r="L59" s="128"/>
      <c r="M59" s="128"/>
      <c r="N59" s="128"/>
      <c r="O59" s="128"/>
      <c r="P59" s="128"/>
      <c r="Q59" s="128"/>
      <c r="R59" s="128"/>
      <c r="S59" s="128"/>
    </row>
    <row r="60" spans="2:19" s="565" customFormat="1">
      <c r="B60" s="561" t="s">
        <v>78</v>
      </c>
      <c r="C60" s="562">
        <f>+SUM(C47:C59)</f>
        <v>502000</v>
      </c>
      <c r="D60" s="563"/>
      <c r="E60" s="564">
        <f t="shared" si="3"/>
        <v>502000</v>
      </c>
      <c r="F60" s="563"/>
      <c r="G60" s="563"/>
      <c r="H60" s="563"/>
      <c r="I60" s="563"/>
      <c r="J60" s="563"/>
      <c r="K60" s="563"/>
      <c r="L60" s="563"/>
      <c r="M60" s="563"/>
      <c r="N60" s="563"/>
      <c r="O60" s="563"/>
      <c r="P60" s="563"/>
      <c r="Q60" s="563"/>
      <c r="R60" s="563"/>
      <c r="S60" s="563"/>
    </row>
    <row r="61" spans="2:19">
      <c r="B61" s="263" t="s">
        <v>163</v>
      </c>
      <c r="C61" s="266">
        <v>0</v>
      </c>
      <c r="D61" s="128"/>
      <c r="E61" s="280"/>
      <c r="F61" s="128"/>
      <c r="G61" s="128"/>
      <c r="H61" s="128"/>
      <c r="I61" s="128"/>
      <c r="J61" s="128"/>
      <c r="K61" s="128"/>
      <c r="L61" s="128"/>
      <c r="M61" s="128"/>
      <c r="N61" s="128"/>
      <c r="O61" s="128"/>
      <c r="P61" s="128"/>
      <c r="Q61" s="128"/>
      <c r="R61" s="128"/>
      <c r="S61" s="128"/>
    </row>
    <row r="62" spans="2:19">
      <c r="B62" s="263" t="s">
        <v>164</v>
      </c>
      <c r="C62" s="266">
        <v>100000</v>
      </c>
      <c r="D62" s="128"/>
      <c r="E62" s="280">
        <f t="shared" ref="E62:E68" si="4">SUM(C62:D62)</f>
        <v>100000</v>
      </c>
      <c r="F62" s="128"/>
      <c r="G62" s="128"/>
      <c r="H62" s="128"/>
      <c r="I62" s="128"/>
      <c r="J62" s="128"/>
      <c r="K62" s="128"/>
      <c r="L62" s="128"/>
      <c r="M62" s="128"/>
      <c r="N62" s="128"/>
      <c r="O62" s="128"/>
      <c r="P62" s="128"/>
      <c r="Q62" s="128"/>
      <c r="R62" s="128"/>
      <c r="S62" s="128"/>
    </row>
    <row r="63" spans="2:19">
      <c r="B63" s="263" t="s">
        <v>165</v>
      </c>
      <c r="C63" s="266">
        <v>0</v>
      </c>
      <c r="D63" s="128"/>
      <c r="E63" s="280">
        <f t="shared" si="4"/>
        <v>0</v>
      </c>
      <c r="F63" s="128"/>
      <c r="G63" s="128"/>
      <c r="H63" s="128"/>
      <c r="I63" s="128"/>
      <c r="J63" s="128"/>
      <c r="K63" s="128"/>
      <c r="L63" s="128"/>
      <c r="M63" s="128"/>
      <c r="N63" s="128"/>
      <c r="O63" s="128"/>
      <c r="P63" s="128"/>
      <c r="Q63" s="128"/>
      <c r="R63" s="128"/>
      <c r="S63" s="128"/>
    </row>
    <row r="64" spans="2:19">
      <c r="B64" s="263" t="s">
        <v>166</v>
      </c>
      <c r="C64" s="266">
        <v>0</v>
      </c>
      <c r="D64" s="128"/>
      <c r="E64" s="280">
        <f t="shared" si="4"/>
        <v>0</v>
      </c>
      <c r="F64" s="128"/>
      <c r="G64" s="128"/>
      <c r="H64" s="128"/>
      <c r="I64" s="128"/>
      <c r="J64" s="128"/>
      <c r="K64" s="128"/>
      <c r="L64" s="128"/>
      <c r="M64" s="128"/>
      <c r="N64" s="128"/>
      <c r="O64" s="128"/>
      <c r="P64" s="128"/>
      <c r="Q64" s="128"/>
      <c r="R64" s="128"/>
      <c r="S64" s="128"/>
    </row>
    <row r="65" spans="2:19">
      <c r="B65" s="267" t="s">
        <v>129</v>
      </c>
      <c r="C65" s="268">
        <v>0</v>
      </c>
      <c r="D65" s="128"/>
      <c r="E65" s="280">
        <f t="shared" si="4"/>
        <v>0</v>
      </c>
      <c r="F65" s="128"/>
      <c r="G65" s="128"/>
      <c r="H65" s="128"/>
      <c r="I65" s="128"/>
      <c r="J65" s="128"/>
      <c r="K65" s="128"/>
      <c r="L65" s="128"/>
      <c r="M65" s="128"/>
      <c r="N65" s="128"/>
      <c r="O65" s="128"/>
      <c r="P65" s="128"/>
      <c r="Q65" s="128"/>
      <c r="R65" s="128"/>
      <c r="S65" s="128"/>
    </row>
    <row r="66" spans="2:19">
      <c r="B66" s="267" t="s">
        <v>130</v>
      </c>
      <c r="C66" s="268">
        <v>0</v>
      </c>
      <c r="D66" s="128"/>
      <c r="E66" s="280">
        <f t="shared" si="4"/>
        <v>0</v>
      </c>
      <c r="F66" s="128"/>
      <c r="G66" s="128"/>
      <c r="H66" s="128"/>
      <c r="I66" s="128"/>
      <c r="J66" s="128"/>
      <c r="K66" s="128"/>
      <c r="L66" s="128"/>
      <c r="M66" s="128"/>
      <c r="N66" s="128"/>
      <c r="O66" s="128"/>
      <c r="P66" s="128"/>
      <c r="Q66" s="128"/>
      <c r="R66" s="128"/>
      <c r="S66" s="128"/>
    </row>
    <row r="67" spans="2:19">
      <c r="B67" s="148" t="s">
        <v>45</v>
      </c>
      <c r="C67" s="560">
        <v>0</v>
      </c>
      <c r="D67" s="128"/>
      <c r="E67" s="280">
        <f t="shared" si="4"/>
        <v>0</v>
      </c>
      <c r="F67" s="128"/>
      <c r="G67" s="128"/>
      <c r="H67" s="128"/>
      <c r="I67" s="128"/>
      <c r="J67" s="128"/>
      <c r="K67" s="128"/>
      <c r="L67" s="128"/>
      <c r="M67" s="128"/>
      <c r="N67" s="128"/>
      <c r="O67" s="128"/>
      <c r="P67" s="128"/>
      <c r="Q67" s="128"/>
      <c r="R67" s="128"/>
      <c r="S67" s="128"/>
    </row>
    <row r="68" spans="2:19" s="565" customFormat="1">
      <c r="B68" s="561" t="s">
        <v>56</v>
      </c>
      <c r="C68" s="562">
        <f>+'[2]Budget 2002 Summary'!$O$74</f>
        <v>100000</v>
      </c>
      <c r="D68" s="563"/>
      <c r="E68" s="566">
        <f t="shared" si="4"/>
        <v>100000</v>
      </c>
      <c r="F68" s="563"/>
      <c r="G68" s="563"/>
      <c r="H68" s="563"/>
      <c r="I68" s="563"/>
      <c r="J68" s="563"/>
      <c r="K68" s="563"/>
      <c r="L68" s="563"/>
      <c r="M68" s="563"/>
      <c r="N68" s="563"/>
      <c r="O68" s="563"/>
      <c r="P68" s="563"/>
      <c r="Q68" s="563"/>
      <c r="R68" s="563"/>
      <c r="S68" s="563"/>
    </row>
    <row r="69" spans="2:19">
      <c r="B69" s="263" t="s">
        <v>167</v>
      </c>
      <c r="C69" s="266">
        <v>0</v>
      </c>
      <c r="D69" s="128"/>
      <c r="E69" s="280"/>
      <c r="F69" s="128"/>
      <c r="G69" s="128"/>
      <c r="H69" s="128"/>
      <c r="I69" s="128"/>
      <c r="J69" s="128"/>
      <c r="K69" s="128"/>
      <c r="L69" s="128"/>
      <c r="M69" s="128"/>
      <c r="N69" s="128"/>
      <c r="O69" s="128"/>
      <c r="P69" s="128"/>
      <c r="Q69" s="128"/>
      <c r="R69" s="128"/>
      <c r="S69" s="128"/>
    </row>
    <row r="70" spans="2:19">
      <c r="B70" s="263" t="s">
        <v>125</v>
      </c>
      <c r="C70" s="266">
        <v>0</v>
      </c>
      <c r="D70" s="128"/>
      <c r="E70" s="280">
        <f t="shared" ref="E70:E75" si="5">SUM(C70:D70)</f>
        <v>0</v>
      </c>
      <c r="F70" s="128"/>
      <c r="G70" s="128"/>
      <c r="H70" s="128"/>
      <c r="I70" s="128"/>
      <c r="J70" s="128"/>
      <c r="K70" s="128"/>
      <c r="L70" s="128"/>
      <c r="M70" s="128"/>
      <c r="N70" s="128"/>
      <c r="O70" s="128"/>
      <c r="P70" s="128"/>
      <c r="Q70" s="128"/>
      <c r="R70" s="128"/>
      <c r="S70" s="128"/>
    </row>
    <row r="71" spans="2:19">
      <c r="B71" s="263" t="s">
        <v>121</v>
      </c>
      <c r="C71" s="266">
        <v>0</v>
      </c>
      <c r="D71" s="128"/>
      <c r="E71" s="280">
        <f t="shared" si="5"/>
        <v>0</v>
      </c>
      <c r="F71" s="128"/>
      <c r="G71" s="128"/>
      <c r="H71" s="128"/>
      <c r="I71" s="128"/>
      <c r="J71" s="128"/>
      <c r="K71" s="128"/>
      <c r="L71" s="128"/>
      <c r="M71" s="128"/>
      <c r="N71" s="128"/>
      <c r="O71" s="128"/>
      <c r="P71" s="128"/>
      <c r="Q71" s="128"/>
      <c r="R71" s="128"/>
      <c r="S71" s="128"/>
    </row>
    <row r="72" spans="2:19">
      <c r="B72" s="263" t="s">
        <v>122</v>
      </c>
      <c r="C72" s="266">
        <v>245000</v>
      </c>
      <c r="D72" s="128"/>
      <c r="E72" s="280">
        <f t="shared" si="5"/>
        <v>245000</v>
      </c>
      <c r="F72" s="128"/>
      <c r="G72" s="128"/>
      <c r="H72" s="128"/>
      <c r="I72" s="128"/>
      <c r="J72" s="128"/>
      <c r="K72" s="128"/>
      <c r="L72" s="128"/>
      <c r="M72" s="128"/>
      <c r="N72" s="128"/>
      <c r="O72" s="128"/>
      <c r="P72" s="128"/>
      <c r="Q72" s="128"/>
      <c r="R72" s="128"/>
      <c r="S72" s="128"/>
    </row>
    <row r="73" spans="2:19">
      <c r="B73" s="263" t="s">
        <v>123</v>
      </c>
      <c r="C73" s="266">
        <v>0</v>
      </c>
      <c r="D73" s="128"/>
      <c r="E73" s="280">
        <f t="shared" si="5"/>
        <v>0</v>
      </c>
      <c r="F73" s="128"/>
      <c r="G73" s="128"/>
      <c r="H73" s="128"/>
      <c r="I73" s="128"/>
      <c r="J73" s="128"/>
      <c r="K73" s="128"/>
      <c r="L73" s="128"/>
      <c r="M73" s="128"/>
      <c r="N73" s="128"/>
      <c r="O73" s="128"/>
      <c r="P73" s="128"/>
      <c r="Q73" s="128"/>
      <c r="R73" s="128"/>
      <c r="S73" s="128"/>
    </row>
    <row r="74" spans="2:19">
      <c r="B74" s="267" t="s">
        <v>124</v>
      </c>
      <c r="C74" s="268">
        <v>0</v>
      </c>
      <c r="D74" s="128"/>
      <c r="E74" s="280">
        <f t="shared" si="5"/>
        <v>0</v>
      </c>
      <c r="F74" s="128"/>
      <c r="G74" s="128"/>
      <c r="H74" s="128"/>
      <c r="I74" s="128"/>
      <c r="J74" s="128"/>
      <c r="K74" s="128"/>
      <c r="L74" s="128"/>
      <c r="M74" s="128"/>
      <c r="N74" s="128"/>
      <c r="O74" s="128"/>
      <c r="P74" s="128"/>
      <c r="Q74" s="128"/>
      <c r="R74" s="128"/>
      <c r="S74" s="128"/>
    </row>
    <row r="75" spans="2:19" s="565" customFormat="1">
      <c r="B75" s="567" t="s">
        <v>79</v>
      </c>
      <c r="C75" s="562">
        <f>+'[2]Budget 2002 Summary'!$O$70</f>
        <v>245000</v>
      </c>
      <c r="D75" s="563"/>
      <c r="E75" s="564">
        <f t="shared" si="5"/>
        <v>245000</v>
      </c>
      <c r="F75" s="563"/>
      <c r="G75" s="563"/>
      <c r="H75" s="563"/>
      <c r="I75" s="563"/>
      <c r="J75" s="563"/>
      <c r="K75" s="563"/>
      <c r="L75" s="563"/>
      <c r="M75" s="563"/>
      <c r="N75" s="563"/>
      <c r="O75" s="563"/>
      <c r="P75" s="563"/>
      <c r="Q75" s="563"/>
      <c r="R75" s="563"/>
      <c r="S75" s="563"/>
    </row>
    <row r="76" spans="2:19">
      <c r="B76" s="148" t="s">
        <v>168</v>
      </c>
      <c r="C76" s="266">
        <v>0</v>
      </c>
      <c r="D76" s="128"/>
      <c r="E76" s="280"/>
      <c r="F76" s="128"/>
      <c r="G76" s="128"/>
      <c r="H76" s="128"/>
      <c r="I76" s="128"/>
      <c r="J76" s="128"/>
      <c r="K76" s="128"/>
      <c r="L76" s="128"/>
      <c r="M76" s="128"/>
      <c r="N76" s="128"/>
      <c r="O76" s="128"/>
      <c r="P76" s="128"/>
      <c r="Q76" s="128"/>
      <c r="R76" s="128"/>
      <c r="S76" s="128"/>
    </row>
    <row r="77" spans="2:19">
      <c r="B77" s="263" t="s">
        <v>131</v>
      </c>
      <c r="C77" s="266">
        <v>102406</v>
      </c>
      <c r="D77" s="128"/>
      <c r="E77" s="280">
        <f t="shared" ref="E77:E84" si="6">SUM(C77:D77)</f>
        <v>102406</v>
      </c>
      <c r="F77" s="128"/>
      <c r="G77" s="128"/>
      <c r="H77" s="128"/>
      <c r="I77" s="128"/>
      <c r="J77" s="128"/>
      <c r="K77" s="128"/>
      <c r="L77" s="128"/>
      <c r="M77" s="128"/>
      <c r="N77" s="128"/>
      <c r="O77" s="128"/>
      <c r="P77" s="128"/>
      <c r="Q77" s="128"/>
      <c r="R77" s="128"/>
      <c r="S77" s="128"/>
    </row>
    <row r="78" spans="2:19">
      <c r="B78" s="263" t="s">
        <v>132</v>
      </c>
      <c r="C78" s="266">
        <v>0</v>
      </c>
      <c r="D78" s="128"/>
      <c r="E78" s="280">
        <f t="shared" si="6"/>
        <v>0</v>
      </c>
      <c r="F78" s="128"/>
      <c r="G78" s="128"/>
      <c r="H78" s="128"/>
      <c r="I78" s="128"/>
      <c r="J78" s="128"/>
      <c r="K78" s="128"/>
      <c r="L78" s="128"/>
      <c r="M78" s="128"/>
      <c r="N78" s="128"/>
      <c r="O78" s="128"/>
      <c r="P78" s="128"/>
      <c r="Q78" s="128"/>
      <c r="R78" s="128"/>
      <c r="S78" s="128"/>
    </row>
    <row r="79" spans="2:19">
      <c r="B79" s="263" t="s">
        <v>133</v>
      </c>
      <c r="C79" s="266">
        <v>20000</v>
      </c>
      <c r="D79" s="128"/>
      <c r="E79" s="280">
        <f t="shared" si="6"/>
        <v>20000</v>
      </c>
      <c r="F79" s="128"/>
      <c r="G79" s="128"/>
      <c r="H79" s="128"/>
      <c r="I79" s="128"/>
      <c r="J79" s="128"/>
      <c r="K79" s="128"/>
      <c r="L79" s="128"/>
      <c r="M79" s="128"/>
      <c r="N79" s="128"/>
      <c r="O79" s="128"/>
      <c r="P79" s="128"/>
      <c r="Q79" s="128"/>
      <c r="R79" s="128"/>
      <c r="S79" s="128"/>
    </row>
    <row r="80" spans="2:19">
      <c r="B80" s="263" t="s">
        <v>134</v>
      </c>
      <c r="C80" s="266">
        <v>0</v>
      </c>
      <c r="D80" s="128"/>
      <c r="E80" s="280">
        <f t="shared" si="6"/>
        <v>0</v>
      </c>
      <c r="F80" s="128"/>
      <c r="G80" s="128"/>
      <c r="H80" s="128"/>
      <c r="I80" s="128"/>
      <c r="J80" s="128"/>
      <c r="K80" s="128"/>
      <c r="L80" s="128"/>
      <c r="M80" s="128"/>
      <c r="N80" s="128"/>
      <c r="O80" s="128"/>
      <c r="P80" s="128"/>
      <c r="Q80" s="128"/>
      <c r="R80" s="128"/>
      <c r="S80" s="128"/>
    </row>
    <row r="81" spans="2:23">
      <c r="B81" s="263" t="s">
        <v>135</v>
      </c>
      <c r="C81" s="266">
        <v>0</v>
      </c>
      <c r="D81" s="128"/>
      <c r="E81" s="280">
        <f t="shared" si="6"/>
        <v>0</v>
      </c>
      <c r="F81" s="128"/>
      <c r="G81" s="128"/>
      <c r="H81" s="128"/>
      <c r="I81" s="128"/>
      <c r="J81" s="128"/>
      <c r="K81" s="128"/>
      <c r="L81" s="128"/>
      <c r="M81" s="128"/>
      <c r="N81" s="128"/>
      <c r="O81" s="128"/>
      <c r="P81" s="128"/>
      <c r="Q81" s="128"/>
      <c r="R81" s="128"/>
      <c r="S81" s="128"/>
    </row>
    <row r="82" spans="2:23">
      <c r="B82" s="267" t="s">
        <v>136</v>
      </c>
      <c r="C82" s="268">
        <v>0</v>
      </c>
      <c r="D82" s="128"/>
      <c r="E82" s="280">
        <f t="shared" si="6"/>
        <v>0</v>
      </c>
      <c r="F82" s="128"/>
      <c r="G82" s="128"/>
      <c r="H82" s="128"/>
      <c r="I82" s="128"/>
      <c r="J82" s="128"/>
      <c r="K82" s="128"/>
      <c r="L82" s="128"/>
      <c r="M82" s="128"/>
      <c r="N82" s="128"/>
      <c r="O82" s="128"/>
      <c r="P82" s="128"/>
      <c r="Q82" s="128"/>
      <c r="R82" s="128"/>
      <c r="S82" s="128"/>
    </row>
    <row r="83" spans="2:23">
      <c r="B83" s="267" t="s">
        <v>169</v>
      </c>
      <c r="C83" s="268">
        <f>+C79+C77</f>
        <v>122406</v>
      </c>
      <c r="D83" s="128"/>
      <c r="E83" s="280">
        <f t="shared" si="6"/>
        <v>122406</v>
      </c>
      <c r="F83" s="128"/>
      <c r="G83" s="128"/>
      <c r="H83" s="128"/>
      <c r="I83" s="128"/>
      <c r="J83" s="128"/>
      <c r="K83" s="128"/>
      <c r="L83" s="128"/>
      <c r="M83" s="128"/>
      <c r="N83" s="128"/>
      <c r="O83" s="128"/>
      <c r="P83" s="128"/>
      <c r="Q83" s="128"/>
      <c r="R83" s="128"/>
      <c r="S83" s="128"/>
    </row>
    <row r="84" spans="2:23">
      <c r="B84" s="148" t="s">
        <v>80</v>
      </c>
      <c r="C84" s="266"/>
      <c r="D84" s="128"/>
      <c r="E84" s="280">
        <f t="shared" si="6"/>
        <v>0</v>
      </c>
      <c r="F84" s="128"/>
      <c r="G84" s="128"/>
      <c r="H84" s="128"/>
      <c r="I84" s="128"/>
      <c r="J84" s="128"/>
      <c r="K84" s="128"/>
      <c r="L84" s="128"/>
      <c r="M84" s="128"/>
      <c r="N84" s="128"/>
      <c r="O84" s="128"/>
      <c r="P84" s="128"/>
      <c r="Q84" s="128"/>
      <c r="R84" s="128"/>
      <c r="S84" s="128"/>
    </row>
    <row r="85" spans="2:23">
      <c r="B85" s="263" t="s">
        <v>170</v>
      </c>
      <c r="C85" s="266">
        <v>0</v>
      </c>
      <c r="D85" s="128"/>
      <c r="E85" s="280"/>
      <c r="F85" s="128"/>
      <c r="G85" s="128"/>
      <c r="H85" s="128"/>
      <c r="I85" s="128"/>
      <c r="J85" s="128"/>
      <c r="K85" s="128"/>
      <c r="L85" s="128"/>
      <c r="M85" s="128"/>
      <c r="N85" s="128"/>
      <c r="O85" s="128"/>
      <c r="P85" s="128"/>
      <c r="Q85" s="128"/>
      <c r="R85" s="128"/>
      <c r="S85" s="128"/>
    </row>
    <row r="86" spans="2:23" s="565" customFormat="1">
      <c r="B86" s="561" t="s">
        <v>81</v>
      </c>
      <c r="C86" s="562">
        <f>+'[2]Budget 2002 Summary'!$O$88</f>
        <v>20000</v>
      </c>
      <c r="D86" s="563"/>
      <c r="E86" s="566">
        <f>SUM(C86:D86)</f>
        <v>20000</v>
      </c>
      <c r="F86" s="563"/>
      <c r="G86" s="563"/>
      <c r="H86" s="563"/>
      <c r="I86" s="563"/>
      <c r="J86" s="563"/>
      <c r="K86" s="563"/>
      <c r="L86" s="563"/>
      <c r="M86" s="563"/>
      <c r="N86" s="563"/>
      <c r="O86" s="563"/>
      <c r="P86" s="563"/>
      <c r="Q86" s="563"/>
      <c r="R86" s="563"/>
      <c r="S86" s="563"/>
    </row>
    <row r="87" spans="2:23">
      <c r="B87" s="263" t="s">
        <v>171</v>
      </c>
      <c r="C87" s="266">
        <v>0</v>
      </c>
      <c r="D87" s="128"/>
      <c r="E87" s="280"/>
      <c r="F87" s="128"/>
      <c r="G87" s="128"/>
      <c r="H87" s="128"/>
      <c r="I87" s="128"/>
      <c r="J87" s="128"/>
      <c r="K87" s="128"/>
      <c r="L87" s="128"/>
      <c r="M87" s="128"/>
      <c r="N87" s="128"/>
      <c r="O87" s="128"/>
      <c r="P87" s="128"/>
      <c r="Q87" s="128"/>
      <c r="R87" s="128"/>
      <c r="S87" s="128"/>
    </row>
    <row r="88" spans="2:23">
      <c r="B88" s="263" t="s">
        <v>11</v>
      </c>
      <c r="C88" s="266">
        <v>0</v>
      </c>
      <c r="D88" s="128"/>
      <c r="E88" s="280">
        <f>SUM(C88:D88)</f>
        <v>0</v>
      </c>
      <c r="F88" s="128"/>
      <c r="G88" s="128"/>
      <c r="H88" s="128"/>
      <c r="I88" s="128"/>
      <c r="J88" s="128"/>
      <c r="K88" s="128"/>
      <c r="L88" s="128"/>
      <c r="M88" s="128"/>
      <c r="N88" s="128"/>
      <c r="O88" s="128"/>
      <c r="P88" s="128"/>
      <c r="Q88" s="128"/>
      <c r="R88" s="128"/>
      <c r="S88" s="128"/>
    </row>
    <row r="89" spans="2:23" ht="13.8" thickBot="1">
      <c r="B89" s="267" t="s">
        <v>12</v>
      </c>
      <c r="C89" s="269">
        <f>+C26+C33+C46+C60+C68+C75+C86+C83</f>
        <v>2649837</v>
      </c>
      <c r="D89" s="270"/>
      <c r="E89" s="281">
        <f>SUM(C89:D89)</f>
        <v>2649837</v>
      </c>
      <c r="F89" s="128"/>
      <c r="G89" s="128"/>
      <c r="H89" s="128"/>
      <c r="I89" s="128"/>
      <c r="J89" s="128"/>
      <c r="K89" s="128"/>
      <c r="L89" s="128"/>
      <c r="M89" s="128"/>
      <c r="N89" s="128"/>
      <c r="O89" s="128"/>
      <c r="P89" s="128"/>
      <c r="Q89" s="128"/>
      <c r="R89" s="128"/>
      <c r="S89" s="128"/>
    </row>
    <row r="90" spans="2:23" ht="13.8" thickTop="1">
      <c r="B90" s="267"/>
      <c r="C90" s="128"/>
      <c r="D90" s="128"/>
      <c r="E90" s="128"/>
      <c r="F90" s="128"/>
      <c r="G90" s="128"/>
      <c r="H90" s="128"/>
      <c r="I90" s="128"/>
      <c r="J90" s="128"/>
      <c r="K90" s="128"/>
      <c r="L90" s="128"/>
      <c r="M90" s="128"/>
      <c r="N90" s="128"/>
      <c r="O90" s="128"/>
      <c r="P90" s="128"/>
      <c r="Q90" s="128"/>
      <c r="R90" s="128"/>
      <c r="S90" s="128"/>
    </row>
    <row r="91" spans="2:23">
      <c r="C91" s="128"/>
      <c r="D91" s="128"/>
      <c r="E91" s="128"/>
      <c r="F91" s="128"/>
      <c r="G91" s="128"/>
      <c r="H91" s="128"/>
      <c r="J91" s="128"/>
      <c r="K91" s="128"/>
      <c r="L91" s="128"/>
      <c r="M91" s="128"/>
      <c r="N91" s="128"/>
      <c r="O91" s="128"/>
      <c r="P91" s="128"/>
      <c r="Q91" s="128"/>
      <c r="R91" s="128"/>
      <c r="S91" s="128"/>
      <c r="T91" s="128"/>
      <c r="U91" s="128"/>
      <c r="V91" s="128"/>
      <c r="W91" s="128"/>
    </row>
    <row r="92" spans="2:23">
      <c r="C92" s="128"/>
      <c r="D92" s="128"/>
      <c r="E92" s="128"/>
      <c r="F92" s="128"/>
      <c r="G92" s="128"/>
      <c r="H92" s="128"/>
      <c r="J92" s="128"/>
      <c r="K92" s="128"/>
      <c r="L92" s="128"/>
      <c r="M92" s="128"/>
      <c r="N92" s="128"/>
      <c r="O92" s="128"/>
      <c r="P92" s="128"/>
      <c r="Q92" s="128"/>
      <c r="R92" s="128"/>
      <c r="S92" s="128"/>
      <c r="T92" s="128"/>
      <c r="U92" s="128"/>
      <c r="V92" s="128"/>
      <c r="W92" s="128"/>
    </row>
    <row r="93" spans="2:23">
      <c r="C93" s="128"/>
      <c r="D93" s="128"/>
      <c r="E93" s="128"/>
      <c r="F93" s="128"/>
      <c r="G93" s="128"/>
      <c r="H93" s="128"/>
      <c r="J93" s="128"/>
      <c r="K93" s="128"/>
      <c r="L93" s="128"/>
      <c r="M93" s="128"/>
      <c r="N93" s="128"/>
      <c r="O93" s="128"/>
      <c r="P93" s="128"/>
      <c r="Q93" s="128"/>
      <c r="R93" s="128"/>
      <c r="S93" s="128"/>
      <c r="T93" s="128"/>
      <c r="U93" s="128"/>
      <c r="V93" s="128"/>
      <c r="W93" s="128"/>
    </row>
    <row r="94" spans="2:23">
      <c r="C94" s="128"/>
      <c r="D94" s="128"/>
      <c r="E94" s="128"/>
      <c r="F94" s="128"/>
      <c r="G94" s="128"/>
      <c r="H94" s="128"/>
      <c r="J94" s="128"/>
      <c r="K94" s="128"/>
      <c r="L94" s="128"/>
      <c r="M94" s="128"/>
      <c r="N94" s="128"/>
      <c r="O94" s="128"/>
      <c r="P94" s="128"/>
      <c r="Q94" s="128"/>
      <c r="R94" s="128"/>
      <c r="S94" s="128"/>
      <c r="T94" s="128"/>
      <c r="U94" s="128"/>
      <c r="V94" s="128"/>
      <c r="W94" s="128"/>
    </row>
    <row r="95" spans="2:23">
      <c r="C95" s="128"/>
      <c r="D95" s="128"/>
      <c r="E95" s="128"/>
      <c r="F95" s="128"/>
      <c r="G95" s="128"/>
      <c r="H95" s="128"/>
      <c r="J95" s="128"/>
      <c r="K95" s="128"/>
      <c r="L95" s="128"/>
      <c r="M95" s="128"/>
      <c r="N95" s="128"/>
      <c r="O95" s="128"/>
      <c r="P95" s="128"/>
      <c r="Q95" s="128"/>
      <c r="R95" s="128"/>
      <c r="S95" s="128"/>
      <c r="T95" s="128"/>
      <c r="U95" s="128"/>
      <c r="V95" s="128"/>
      <c r="W95" s="128"/>
    </row>
    <row r="96" spans="2:23">
      <c r="C96" s="128"/>
      <c r="D96" s="128"/>
      <c r="E96" s="128"/>
      <c r="F96" s="128"/>
      <c r="G96" s="128"/>
      <c r="H96" s="128"/>
      <c r="J96" s="128"/>
      <c r="K96" s="128"/>
      <c r="L96" s="128"/>
      <c r="M96" s="128"/>
      <c r="N96" s="128"/>
      <c r="O96" s="128"/>
      <c r="P96" s="128"/>
      <c r="Q96" s="128"/>
      <c r="R96" s="128"/>
      <c r="S96" s="128"/>
      <c r="T96" s="128"/>
      <c r="U96" s="128"/>
      <c r="V96" s="128"/>
      <c r="W96" s="128"/>
    </row>
    <row r="97" spans="3:23">
      <c r="C97" s="128"/>
      <c r="D97" s="128"/>
      <c r="E97" s="128"/>
      <c r="F97" s="128"/>
      <c r="G97" s="128"/>
      <c r="H97" s="128"/>
      <c r="J97" s="128"/>
      <c r="K97" s="128"/>
      <c r="L97" s="128"/>
      <c r="M97" s="128"/>
      <c r="N97" s="128"/>
      <c r="O97" s="128"/>
      <c r="P97" s="128"/>
      <c r="Q97" s="128"/>
      <c r="R97" s="128"/>
      <c r="S97" s="128"/>
      <c r="T97" s="128"/>
      <c r="U97" s="128"/>
      <c r="V97" s="128"/>
      <c r="W97" s="128"/>
    </row>
    <row r="98" spans="3:23">
      <c r="C98" s="128"/>
      <c r="D98" s="128"/>
      <c r="E98" s="128"/>
      <c r="F98" s="128"/>
      <c r="G98" s="128"/>
      <c r="H98" s="128"/>
      <c r="J98" s="128"/>
      <c r="K98" s="128"/>
      <c r="L98" s="128"/>
      <c r="M98" s="128"/>
      <c r="N98" s="128"/>
      <c r="O98" s="128"/>
      <c r="P98" s="128"/>
      <c r="Q98" s="128"/>
      <c r="R98" s="128"/>
      <c r="S98" s="128"/>
      <c r="T98" s="128"/>
      <c r="U98" s="128"/>
      <c r="V98" s="128"/>
      <c r="W98" s="128"/>
    </row>
    <row r="99" spans="3:23">
      <c r="F99" s="128"/>
      <c r="G99" s="128"/>
      <c r="H99" s="128"/>
      <c r="J99" s="128"/>
      <c r="K99" s="128"/>
      <c r="L99" s="128"/>
      <c r="M99" s="128"/>
      <c r="N99" s="128"/>
      <c r="O99" s="128"/>
      <c r="P99" s="128"/>
      <c r="Q99" s="128"/>
      <c r="R99" s="128"/>
      <c r="S99" s="128"/>
      <c r="T99" s="128"/>
      <c r="U99" s="128"/>
      <c r="V99" s="128"/>
      <c r="W99" s="128"/>
    </row>
  </sheetData>
  <phoneticPr fontId="0" type="noConversion"/>
  <printOptions headings="1"/>
  <pageMargins left="0.75" right="0.75" top="1" bottom="1" header="0.5" footer="0.5"/>
  <pageSetup paperSize="9" scale="61"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8081" r:id="rId4" name="adaytum_page_1_drop_1">
              <controlPr defaultSize="0" print="0" autoFill="0" autoPict="0" macro="[1]!AdaytumDropDown">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38083" r:id="rId5" name="adaytum_page_1_drop_2">
              <controlPr defaultSize="0" print="0" autoFill="0" autoPict="0" macro="[1]!AdaytumDropDown">
                <anchor moveWithCells="1">
                  <from>
                    <xdr:col>2</xdr:col>
                    <xdr:colOff>0</xdr:colOff>
                    <xdr:row>10</xdr:row>
                    <xdr:rowOff>0</xdr:rowOff>
                  </from>
                  <to>
                    <xdr:col>2</xdr:col>
                    <xdr:colOff>1051560</xdr:colOff>
                    <xdr:row>11</xdr:row>
                    <xdr:rowOff>0</xdr:rowOff>
                  </to>
                </anchor>
              </controlPr>
            </control>
          </mc:Choice>
        </mc:AlternateContent>
        <mc:AlternateContent xmlns:mc="http://schemas.openxmlformats.org/markup-compatibility/2006">
          <mc:Choice Requires="x14">
            <control shapeId="38085" r:id="rId6" name="adaytum_page_1_drop_3">
              <controlPr defaultSize="0" print="0" autoFill="0" autoPict="0" macro="[1]!AdaytumDropDown">
                <anchor moveWithCells="1">
                  <from>
                    <xdr:col>3</xdr:col>
                    <xdr:colOff>0</xdr:colOff>
                    <xdr:row>10</xdr:row>
                    <xdr:rowOff>0</xdr:rowOff>
                  </from>
                  <to>
                    <xdr:col>4</xdr:col>
                    <xdr:colOff>0</xdr:colOff>
                    <xdr:row>11</xdr:row>
                    <xdr:rowOff>0</xdr:rowOff>
                  </to>
                </anchor>
              </controlPr>
            </control>
          </mc:Choice>
        </mc:AlternateContent>
        <mc:AlternateContent xmlns:mc="http://schemas.openxmlformats.org/markup-compatibility/2006">
          <mc:Choice Requires="x14">
            <control shapeId="38087" r:id="rId7" name="adaytum_page_1_drop_4">
              <controlPr defaultSize="0" print="0" autoFill="0" autoPict="0" macro="[1]!AdaytumDropDown">
                <anchor moveWithCells="1">
                  <from>
                    <xdr:col>4</xdr:col>
                    <xdr:colOff>0</xdr:colOff>
                    <xdr:row>10</xdr:row>
                    <xdr:rowOff>0</xdr:rowOff>
                  </from>
                  <to>
                    <xdr:col>5</xdr:col>
                    <xdr:colOff>0</xdr:colOff>
                    <xdr:row>11</xdr:row>
                    <xdr:rowOff>0</xdr:rowOff>
                  </to>
                </anchor>
              </controlPr>
            </control>
          </mc:Choice>
        </mc:AlternateContent>
      </controls>
    </mc:Choice>
  </mc:AlternateConten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B7:Q76"/>
  <sheetViews>
    <sheetView zoomScale="75" workbookViewId="0">
      <selection activeCell="C9" sqref="C9"/>
    </sheetView>
  </sheetViews>
  <sheetFormatPr defaultColWidth="9.109375" defaultRowHeight="13.2"/>
  <cols>
    <col min="1" max="4" width="9.109375" style="16"/>
    <col min="5" max="5" width="11.33203125" style="16" customWidth="1"/>
    <col min="6" max="6" width="14.33203125" style="16" customWidth="1"/>
    <col min="7" max="7" width="6.6640625" style="16" customWidth="1"/>
    <col min="8" max="8" width="14.33203125" style="16" customWidth="1"/>
    <col min="9" max="9" width="6.6640625" style="16" customWidth="1"/>
    <col min="10" max="10" width="14.33203125" style="16" customWidth="1"/>
    <col min="11" max="11" width="9.109375" style="16"/>
    <col min="12" max="12" width="10.109375" style="16" bestFit="1" customWidth="1"/>
    <col min="13" max="16384" width="9.109375" style="16"/>
  </cols>
  <sheetData>
    <row r="7" spans="2:10">
      <c r="B7" s="283" t="s">
        <v>262</v>
      </c>
      <c r="C7" s="283"/>
      <c r="D7" s="283"/>
      <c r="E7" s="283"/>
      <c r="F7" s="283"/>
      <c r="G7" s="282"/>
    </row>
    <row r="9" spans="2:10">
      <c r="F9" s="392">
        <v>2000</v>
      </c>
      <c r="G9" s="27"/>
      <c r="H9" s="392">
        <v>2001</v>
      </c>
      <c r="I9" s="27"/>
      <c r="J9" s="392">
        <v>2002</v>
      </c>
    </row>
    <row r="11" spans="2:10" ht="13.8">
      <c r="B11" s="16" t="s">
        <v>242</v>
      </c>
      <c r="F11" s="417"/>
      <c r="G11" s="416"/>
      <c r="H11" s="417"/>
      <c r="I11" s="416"/>
      <c r="J11" s="417"/>
    </row>
    <row r="12" spans="2:10" ht="6" customHeight="1">
      <c r="F12" s="416"/>
      <c r="G12" s="416"/>
      <c r="H12" s="416"/>
      <c r="I12" s="416"/>
      <c r="J12" s="416"/>
    </row>
    <row r="13" spans="2:10" ht="13.8">
      <c r="B13" s="16" t="s">
        <v>243</v>
      </c>
      <c r="F13" s="417"/>
      <c r="G13" s="416"/>
      <c r="H13" s="417">
        <v>146</v>
      </c>
      <c r="I13" s="416"/>
      <c r="J13" s="417">
        <v>213</v>
      </c>
    </row>
    <row r="14" spans="2:10" ht="6" customHeight="1">
      <c r="F14" s="416"/>
      <c r="G14" s="416"/>
      <c r="H14" s="416"/>
      <c r="I14" s="416"/>
      <c r="J14" s="416"/>
    </row>
    <row r="15" spans="2:10" ht="13.8">
      <c r="B15" s="16" t="s">
        <v>244</v>
      </c>
      <c r="F15" s="417"/>
      <c r="G15" s="416"/>
      <c r="H15" s="417"/>
      <c r="I15" s="416"/>
      <c r="J15" s="417"/>
    </row>
    <row r="16" spans="2:10" ht="6.75" customHeight="1"/>
    <row r="17" spans="2:17" ht="13.8">
      <c r="B17" s="16" t="s">
        <v>214</v>
      </c>
      <c r="F17" s="417"/>
      <c r="G17" s="416"/>
      <c r="H17" s="417"/>
      <c r="I17" s="416"/>
      <c r="J17" s="417"/>
    </row>
    <row r="18" spans="2:17" ht="6.75" customHeight="1"/>
    <row r="19" spans="2:17" ht="13.8">
      <c r="B19" s="16" t="s">
        <v>27</v>
      </c>
      <c r="F19" s="417"/>
      <c r="G19" s="416"/>
      <c r="H19" s="417"/>
      <c r="I19" s="416"/>
      <c r="J19" s="417"/>
    </row>
    <row r="22" spans="2:17" ht="13.8">
      <c r="B22" s="16" t="s">
        <v>239</v>
      </c>
      <c r="F22" s="512"/>
      <c r="H22" s="512"/>
      <c r="J22" s="415">
        <v>4355359</v>
      </c>
      <c r="L22" s="16" t="s">
        <v>237</v>
      </c>
      <c r="M22" s="16" t="s">
        <v>266</v>
      </c>
      <c r="O22" s="16" t="s">
        <v>267</v>
      </c>
    </row>
    <row r="23" spans="2:17" ht="3.75" customHeight="1">
      <c r="F23" s="513"/>
      <c r="H23" s="513"/>
      <c r="J23" s="127"/>
    </row>
    <row r="24" spans="2:17" ht="13.8">
      <c r="B24" s="16" t="s">
        <v>241</v>
      </c>
      <c r="F24" s="513"/>
      <c r="H24" s="513"/>
      <c r="J24" s="415">
        <f>+M24-O24</f>
        <v>8111202.6659999993</v>
      </c>
      <c r="L24" s="557">
        <f>+'Adaytum by Month'!O56</f>
        <v>13501248.787313424</v>
      </c>
      <c r="M24" s="557">
        <f>+'Adaytum by CC'!C42</f>
        <v>9012447.4066666663</v>
      </c>
      <c r="N24" s="557"/>
      <c r="O24" s="557">
        <f>+M24*0.1</f>
        <v>901244.74066666665</v>
      </c>
      <c r="Q24" s="558"/>
    </row>
    <row r="25" spans="2:17" ht="4.5" customHeight="1">
      <c r="F25" s="513"/>
      <c r="H25" s="513"/>
      <c r="J25" s="127"/>
    </row>
    <row r="26" spans="2:17" ht="13.8">
      <c r="B26" s="16" t="s">
        <v>240</v>
      </c>
      <c r="F26" s="514"/>
      <c r="H26" s="514"/>
      <c r="J26" s="415">
        <f>+M26-O26</f>
        <v>7209957.9253333332</v>
      </c>
      <c r="L26" s="557">
        <f>+L24</f>
        <v>13501248.787313424</v>
      </c>
      <c r="M26" s="557">
        <f>+M24</f>
        <v>9012447.4066666663</v>
      </c>
      <c r="O26" s="16">
        <f>+M26*0.2</f>
        <v>1802489.4813333333</v>
      </c>
    </row>
    <row r="28" spans="2:17" ht="13.8">
      <c r="B28" s="16" t="s">
        <v>268</v>
      </c>
      <c r="J28" s="415">
        <f>+M28-O28</f>
        <v>4506223.7033333331</v>
      </c>
      <c r="L28" s="557">
        <f>+L26</f>
        <v>13501248.787313424</v>
      </c>
      <c r="M28" s="557">
        <f>+M26</f>
        <v>9012447.4066666663</v>
      </c>
      <c r="N28" s="557"/>
      <c r="O28" s="16">
        <f>+M28*0.5</f>
        <v>4506223.7033333331</v>
      </c>
    </row>
    <row r="29" spans="2:17">
      <c r="B29" s="516" t="s">
        <v>245</v>
      </c>
      <c r="C29" s="153"/>
    </row>
    <row r="30" spans="2:17">
      <c r="B30" s="289"/>
      <c r="C30" s="153"/>
      <c r="D30" s="289"/>
    </row>
    <row r="31" spans="2:17" ht="13.8">
      <c r="B31" s="42" t="s">
        <v>2</v>
      </c>
      <c r="C31" s="153"/>
      <c r="D31" s="142"/>
      <c r="F31" s="417">
        <f>3162003+17194+328000</f>
        <v>3507197</v>
      </c>
      <c r="H31" s="512"/>
      <c r="J31" s="512"/>
    </row>
    <row r="32" spans="2:17" ht="4.5" customHeight="1">
      <c r="B32" s="42"/>
      <c r="C32" s="153"/>
      <c r="D32" s="142"/>
      <c r="F32" s="418"/>
      <c r="H32" s="513"/>
      <c r="J32" s="513"/>
    </row>
    <row r="33" spans="2:12" ht="13.8">
      <c r="B33" s="42" t="s">
        <v>4</v>
      </c>
      <c r="C33" s="153"/>
      <c r="D33" s="142"/>
      <c r="F33" s="417">
        <f>13101+345177</f>
        <v>358278</v>
      </c>
      <c r="H33" s="513"/>
      <c r="J33" s="513"/>
    </row>
    <row r="34" spans="2:12" ht="3.75" customHeight="1">
      <c r="B34" s="42"/>
      <c r="C34" s="153"/>
      <c r="D34" s="142"/>
      <c r="F34" s="418"/>
      <c r="H34" s="513"/>
      <c r="J34" s="513"/>
    </row>
    <row r="35" spans="2:12" ht="13.8">
      <c r="B35" s="42" t="s">
        <v>5</v>
      </c>
      <c r="C35" s="153"/>
      <c r="D35" s="142"/>
      <c r="F35" s="417">
        <f>76119+30077</f>
        <v>106196</v>
      </c>
      <c r="H35" s="513"/>
      <c r="J35" s="513"/>
    </row>
    <row r="36" spans="2:12" ht="3.75" customHeight="1">
      <c r="B36" s="42"/>
      <c r="C36" s="153"/>
      <c r="D36" s="142"/>
      <c r="F36" s="418"/>
      <c r="H36" s="513"/>
      <c r="J36" s="513"/>
    </row>
    <row r="37" spans="2:12" ht="13.8">
      <c r="B37" s="42" t="s">
        <v>6</v>
      </c>
      <c r="C37" s="153"/>
      <c r="D37" s="142"/>
      <c r="F37" s="417">
        <f>99463+591187+6932</f>
        <v>697582</v>
      </c>
      <c r="H37" s="513"/>
      <c r="J37" s="513"/>
      <c r="L37" s="16" t="s">
        <v>327</v>
      </c>
    </row>
    <row r="38" spans="2:12" ht="3.75" customHeight="1">
      <c r="B38" s="42"/>
      <c r="C38" s="153"/>
      <c r="D38" s="142"/>
      <c r="F38" s="418"/>
      <c r="H38" s="513"/>
      <c r="J38" s="513"/>
    </row>
    <row r="39" spans="2:12" ht="13.8">
      <c r="B39" s="42" t="s">
        <v>7</v>
      </c>
      <c r="C39" s="153"/>
      <c r="D39" s="142"/>
      <c r="F39" s="417">
        <f>18895+61168+389514</f>
        <v>469577</v>
      </c>
      <c r="H39" s="513"/>
      <c r="J39" s="513"/>
      <c r="L39" s="16" t="s">
        <v>328</v>
      </c>
    </row>
    <row r="40" spans="2:12" ht="3.75" customHeight="1">
      <c r="B40" s="42"/>
      <c r="C40" s="153"/>
      <c r="D40" s="142"/>
      <c r="F40" s="418"/>
      <c r="H40" s="513"/>
      <c r="J40" s="513"/>
    </row>
    <row r="41" spans="2:12" ht="13.8">
      <c r="B41" s="42" t="s">
        <v>8</v>
      </c>
      <c r="C41" s="153"/>
      <c r="D41" s="142"/>
      <c r="F41" s="417">
        <f>10807+3330</f>
        <v>14137</v>
      </c>
      <c r="H41" s="513"/>
      <c r="J41" s="513"/>
    </row>
    <row r="42" spans="2:12" ht="3.75" customHeight="1">
      <c r="B42" s="42"/>
      <c r="C42" s="153"/>
      <c r="D42" s="142"/>
      <c r="F42" s="418"/>
      <c r="H42" s="513"/>
      <c r="J42" s="513"/>
    </row>
    <row r="43" spans="2:12" ht="13.5" customHeight="1">
      <c r="B43" s="42" t="s">
        <v>9</v>
      </c>
      <c r="C43" s="153"/>
      <c r="D43" s="142"/>
      <c r="F43" s="417">
        <f>-77446+60167</f>
        <v>-17279</v>
      </c>
      <c r="H43" s="513"/>
      <c r="J43" s="513"/>
    </row>
    <row r="44" spans="2:12" ht="3.75" customHeight="1">
      <c r="B44" s="42"/>
      <c r="C44" s="153"/>
      <c r="D44" s="142"/>
      <c r="F44" s="418"/>
      <c r="H44" s="513"/>
      <c r="J44" s="513"/>
    </row>
    <row r="45" spans="2:12" ht="13.8">
      <c r="B45" s="42" t="s">
        <v>10</v>
      </c>
      <c r="C45" s="153"/>
      <c r="D45" s="142"/>
      <c r="F45" s="417">
        <f>37639+4247</f>
        <v>41886</v>
      </c>
      <c r="H45" s="513"/>
      <c r="J45" s="513"/>
    </row>
    <row r="46" spans="2:12" ht="3.75" customHeight="1">
      <c r="B46" s="42"/>
      <c r="C46" s="153"/>
      <c r="D46" s="142"/>
      <c r="F46" s="418"/>
      <c r="H46" s="513"/>
      <c r="J46" s="513"/>
    </row>
    <row r="47" spans="2:12" ht="13.8">
      <c r="B47" s="42" t="s">
        <v>11</v>
      </c>
      <c r="C47" s="153"/>
      <c r="D47" s="142"/>
      <c r="F47" s="417">
        <f>-49342+49342</f>
        <v>0</v>
      </c>
      <c r="H47" s="513"/>
      <c r="J47" s="513"/>
    </row>
    <row r="48" spans="2:12" ht="3.75" customHeight="1">
      <c r="B48" s="148"/>
      <c r="C48" s="153"/>
      <c r="D48" s="142"/>
      <c r="F48" s="418"/>
      <c r="H48" s="513"/>
      <c r="J48" s="513"/>
    </row>
    <row r="49" spans="2:10" ht="14.4" thickBot="1">
      <c r="B49" s="38" t="s">
        <v>12</v>
      </c>
      <c r="C49" s="153"/>
      <c r="F49" s="419">
        <f>+F31+F33+F35+F37+F39+F41+F43+F45+F47</f>
        <v>5177574</v>
      </c>
      <c r="H49" s="514"/>
      <c r="J49" s="514"/>
    </row>
    <row r="50" spans="2:10" ht="13.8" thickTop="1"/>
    <row r="52" spans="2:10" ht="13.8">
      <c r="B52" s="41" t="s">
        <v>32</v>
      </c>
      <c r="F52" s="420">
        <v>21</v>
      </c>
      <c r="H52" s="515"/>
      <c r="J52" s="515"/>
    </row>
    <row r="55" spans="2:10">
      <c r="B55" s="516" t="s">
        <v>247</v>
      </c>
      <c r="E55" s="283" t="s">
        <v>249</v>
      </c>
    </row>
    <row r="57" spans="2:10" ht="13.8">
      <c r="B57" s="42" t="s">
        <v>2</v>
      </c>
      <c r="F57" s="512"/>
      <c r="H57" s="417"/>
      <c r="J57" s="512"/>
    </row>
    <row r="58" spans="2:10" ht="4.5" customHeight="1">
      <c r="B58" s="42"/>
      <c r="F58" s="513"/>
      <c r="H58" s="418"/>
      <c r="J58" s="513"/>
    </row>
    <row r="59" spans="2:10" ht="13.8">
      <c r="B59" s="42" t="s">
        <v>4</v>
      </c>
      <c r="F59" s="513"/>
      <c r="H59" s="417"/>
      <c r="J59" s="513"/>
    </row>
    <row r="60" spans="2:10" ht="6" customHeight="1">
      <c r="B60" s="42"/>
      <c r="F60" s="513"/>
      <c r="H60" s="418"/>
      <c r="J60" s="513"/>
    </row>
    <row r="61" spans="2:10" ht="13.8">
      <c r="B61" s="42" t="s">
        <v>5</v>
      </c>
      <c r="F61" s="513"/>
      <c r="H61" s="417"/>
      <c r="J61" s="513"/>
    </row>
    <row r="62" spans="2:10" ht="5.25" customHeight="1">
      <c r="B62" s="42"/>
      <c r="F62" s="513"/>
      <c r="H62" s="418"/>
      <c r="J62" s="513"/>
    </row>
    <row r="63" spans="2:10" ht="13.8">
      <c r="B63" s="42" t="s">
        <v>6</v>
      </c>
      <c r="F63" s="513"/>
      <c r="H63" s="417"/>
      <c r="J63" s="513"/>
    </row>
    <row r="64" spans="2:10" ht="5.25" customHeight="1">
      <c r="B64" s="42"/>
      <c r="F64" s="513"/>
      <c r="H64" s="418"/>
      <c r="J64" s="513"/>
    </row>
    <row r="65" spans="2:10" ht="13.8">
      <c r="B65" s="42" t="s">
        <v>7</v>
      </c>
      <c r="F65" s="513"/>
      <c r="H65" s="417"/>
      <c r="J65" s="513"/>
    </row>
    <row r="66" spans="2:10" ht="5.25" customHeight="1">
      <c r="B66" s="42"/>
      <c r="F66" s="513"/>
      <c r="H66" s="418"/>
      <c r="J66" s="513"/>
    </row>
    <row r="67" spans="2:10" ht="13.8">
      <c r="B67" s="42" t="s">
        <v>8</v>
      </c>
      <c r="F67" s="513"/>
      <c r="H67" s="417"/>
      <c r="J67" s="513"/>
    </row>
    <row r="68" spans="2:10" ht="5.25" customHeight="1">
      <c r="B68" s="42"/>
      <c r="F68" s="513"/>
      <c r="H68" s="418"/>
      <c r="J68" s="513"/>
    </row>
    <row r="69" spans="2:10" ht="13.8">
      <c r="B69" s="42" t="s">
        <v>9</v>
      </c>
      <c r="F69" s="513"/>
      <c r="H69" s="417"/>
      <c r="J69" s="513"/>
    </row>
    <row r="70" spans="2:10" ht="6" customHeight="1">
      <c r="B70" s="42"/>
      <c r="F70" s="513"/>
      <c r="H70" s="418"/>
      <c r="J70" s="513"/>
    </row>
    <row r="71" spans="2:10" ht="13.8">
      <c r="B71" s="42" t="s">
        <v>10</v>
      </c>
      <c r="F71" s="513"/>
      <c r="H71" s="417"/>
      <c r="J71" s="513"/>
    </row>
    <row r="72" spans="2:10" ht="6" customHeight="1">
      <c r="B72" s="42"/>
      <c r="F72" s="513"/>
      <c r="H72" s="418"/>
      <c r="J72" s="513"/>
    </row>
    <row r="73" spans="2:10" ht="13.8">
      <c r="B73" s="42" t="s">
        <v>11</v>
      </c>
      <c r="F73" s="513"/>
      <c r="H73" s="417"/>
      <c r="J73" s="513"/>
    </row>
    <row r="74" spans="2:10" ht="5.25" customHeight="1">
      <c r="B74" s="148"/>
      <c r="F74" s="513"/>
      <c r="H74" s="418"/>
      <c r="J74" s="513"/>
    </row>
    <row r="75" spans="2:10" ht="14.4" thickBot="1">
      <c r="B75" s="38" t="s">
        <v>12</v>
      </c>
      <c r="F75" s="514"/>
      <c r="H75" s="419">
        <f>+H57+H59+H61+H63+H65+H67+H69+H71+H73</f>
        <v>0</v>
      </c>
      <c r="J75" s="514"/>
    </row>
    <row r="76" spans="2:10" ht="13.8" thickTop="1"/>
  </sheetData>
  <phoneticPr fontId="0" type="noConversion"/>
  <pageMargins left="0.75" right="0.75" top="0.59" bottom="0.55000000000000004" header="0.5" footer="0.5"/>
  <pageSetup paperSize="9" scale="6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59"/>
  <sheetViews>
    <sheetView showGridLines="0" zoomScale="75" workbookViewId="0">
      <selection activeCell="A22" sqref="A22"/>
    </sheetView>
  </sheetViews>
  <sheetFormatPr defaultRowHeight="13.2"/>
  <cols>
    <col min="1" max="1" width="14.88671875" customWidth="1"/>
    <col min="2" max="2" width="20.6640625" customWidth="1"/>
    <col min="3" max="3" width="10.6640625" customWidth="1"/>
    <col min="4" max="4" width="22.109375" customWidth="1"/>
    <col min="5" max="5" width="10.109375" customWidth="1"/>
    <col min="6" max="6" width="21.33203125" customWidth="1"/>
    <col min="7" max="7" width="10.5546875" customWidth="1"/>
    <col min="8" max="8" width="20.6640625" customWidth="1"/>
    <col min="9" max="9" width="10.5546875" customWidth="1"/>
    <col min="10" max="10" width="23.5546875" customWidth="1"/>
    <col min="12" max="12" width="5.6640625" customWidth="1"/>
  </cols>
  <sheetData>
    <row r="1" spans="1:14">
      <c r="A1" s="173"/>
      <c r="B1" s="174"/>
      <c r="C1" s="174"/>
      <c r="D1" s="174"/>
      <c r="E1" s="174"/>
      <c r="F1" s="174"/>
      <c r="G1" s="174"/>
      <c r="H1" s="174"/>
      <c r="I1" s="174"/>
      <c r="J1" s="174"/>
      <c r="K1" s="174"/>
      <c r="L1" s="174"/>
      <c r="M1" s="174"/>
      <c r="N1" s="175"/>
    </row>
    <row r="2" spans="1:14">
      <c r="A2" s="176"/>
      <c r="B2" s="157"/>
      <c r="C2" s="157"/>
      <c r="D2" s="157"/>
      <c r="E2" s="157"/>
      <c r="F2" s="157"/>
      <c r="G2" s="157"/>
      <c r="H2" s="157"/>
      <c r="I2" s="157"/>
      <c r="J2" s="157"/>
      <c r="K2" s="157"/>
      <c r="L2" s="157"/>
      <c r="M2" s="157"/>
      <c r="N2" s="177"/>
    </row>
    <row r="3" spans="1:14">
      <c r="A3" s="176"/>
      <c r="B3" s="157"/>
      <c r="C3" s="157"/>
      <c r="D3" s="157"/>
      <c r="E3" s="157"/>
      <c r="F3" s="157"/>
      <c r="G3" s="157"/>
      <c r="H3" s="157"/>
      <c r="I3" s="157"/>
      <c r="J3" s="157"/>
      <c r="K3" s="157"/>
      <c r="L3" s="157"/>
      <c r="M3" s="157"/>
      <c r="N3" s="177"/>
    </row>
    <row r="4" spans="1:14">
      <c r="A4" s="176"/>
      <c r="B4" s="157"/>
      <c r="C4" s="157"/>
      <c r="D4" s="157"/>
      <c r="E4" s="157"/>
      <c r="F4" s="157"/>
      <c r="G4" s="157"/>
      <c r="H4" s="157"/>
      <c r="I4" s="157"/>
      <c r="J4" s="157"/>
      <c r="K4" s="157"/>
      <c r="L4" s="157"/>
      <c r="M4" s="157"/>
      <c r="N4" s="177"/>
    </row>
    <row r="5" spans="1:14">
      <c r="A5" s="176"/>
      <c r="B5" s="157"/>
      <c r="C5" s="157"/>
      <c r="D5" s="157"/>
      <c r="E5" s="157"/>
      <c r="F5" s="157"/>
      <c r="G5" s="157"/>
      <c r="H5" s="157"/>
      <c r="I5" s="157"/>
      <c r="J5" s="157"/>
      <c r="K5" s="157"/>
      <c r="L5" s="157"/>
      <c r="M5" s="157"/>
      <c r="N5" s="177"/>
    </row>
    <row r="6" spans="1:14">
      <c r="A6" s="176"/>
      <c r="B6" s="157"/>
      <c r="C6" s="157"/>
      <c r="D6" s="157"/>
      <c r="E6" s="157"/>
      <c r="F6" s="157"/>
      <c r="G6" s="157"/>
      <c r="H6" s="157"/>
      <c r="I6" s="157"/>
      <c r="J6" s="157"/>
      <c r="K6" s="157"/>
      <c r="L6" s="157"/>
      <c r="M6" s="157"/>
      <c r="N6" s="177"/>
    </row>
    <row r="7" spans="1:14" ht="9" customHeight="1">
      <c r="A7" s="176"/>
      <c r="B7" s="157"/>
      <c r="C7" s="157"/>
      <c r="D7" s="157"/>
      <c r="E7" s="157"/>
      <c r="F7" s="157"/>
      <c r="G7" s="157"/>
      <c r="H7" s="157"/>
      <c r="I7" s="157"/>
      <c r="J7" s="157"/>
      <c r="K7" s="157"/>
      <c r="L7" s="157"/>
      <c r="M7" s="157"/>
      <c r="N7" s="177"/>
    </row>
    <row r="8" spans="1:14" ht="21">
      <c r="A8" s="176"/>
      <c r="B8" s="178"/>
      <c r="C8" s="179"/>
      <c r="D8" s="157"/>
      <c r="E8" s="179"/>
      <c r="F8" s="178"/>
      <c r="G8" s="157"/>
      <c r="H8" s="178"/>
      <c r="I8" s="157"/>
      <c r="J8" s="178"/>
      <c r="K8" s="157"/>
      <c r="L8" s="157"/>
      <c r="M8" s="157"/>
      <c r="N8" s="177"/>
    </row>
    <row r="9" spans="1:14" ht="21.6" thickBot="1">
      <c r="A9" s="176"/>
      <c r="B9" s="181"/>
      <c r="C9" s="181"/>
      <c r="D9" s="157"/>
      <c r="E9" s="181"/>
      <c r="F9" s="180"/>
      <c r="G9" s="157"/>
      <c r="H9" s="180"/>
      <c r="I9" s="157"/>
      <c r="J9" s="157"/>
      <c r="K9" s="157"/>
      <c r="L9" s="157"/>
      <c r="M9" s="157"/>
      <c r="N9" s="177"/>
    </row>
    <row r="10" spans="1:14" ht="24.6">
      <c r="A10" s="176"/>
      <c r="B10" s="456">
        <v>2000</v>
      </c>
      <c r="C10" s="22"/>
      <c r="D10" s="250" t="s">
        <v>86</v>
      </c>
      <c r="E10" s="183"/>
      <c r="F10" s="444">
        <v>2001</v>
      </c>
      <c r="G10" s="157"/>
      <c r="H10" s="454">
        <v>2002</v>
      </c>
      <c r="I10" s="157"/>
      <c r="J10" s="446" t="s">
        <v>91</v>
      </c>
      <c r="K10" s="157"/>
      <c r="L10" s="157"/>
      <c r="M10" s="157"/>
      <c r="N10" s="177"/>
    </row>
    <row r="11" spans="1:14" ht="9.75" customHeight="1" thickBot="1">
      <c r="A11" s="176"/>
      <c r="B11" s="457"/>
      <c r="C11" s="6"/>
      <c r="D11" s="250"/>
      <c r="E11" s="182"/>
      <c r="F11" s="445"/>
      <c r="G11" s="157"/>
      <c r="H11" s="455"/>
      <c r="I11" s="157"/>
      <c r="J11" s="447"/>
      <c r="K11" s="157"/>
      <c r="L11" s="157"/>
      <c r="M11" s="157"/>
      <c r="N11" s="177"/>
    </row>
    <row r="12" spans="1:14" ht="15.6">
      <c r="A12" s="176"/>
      <c r="B12" s="441">
        <f>+'Input Data'!F11/1000</f>
        <v>0</v>
      </c>
      <c r="C12" s="271"/>
      <c r="D12" s="271" t="s">
        <v>94</v>
      </c>
      <c r="E12" s="271"/>
      <c r="F12" s="441">
        <f>+'Input Data'!H11/1000</f>
        <v>0</v>
      </c>
      <c r="G12" s="272"/>
      <c r="H12" s="441">
        <f>+'Input Data'!J11/1000</f>
        <v>0</v>
      </c>
      <c r="I12" s="272"/>
      <c r="J12" s="441">
        <f>+H12-F12</f>
        <v>0</v>
      </c>
      <c r="K12" s="157"/>
      <c r="L12" s="157"/>
      <c r="M12" s="157"/>
      <c r="N12" s="177"/>
    </row>
    <row r="13" spans="1:14" ht="15.6">
      <c r="A13" s="176"/>
      <c r="B13" s="442">
        <f>-'Input Data'!F49/1000</f>
        <v>-5177.5739999999996</v>
      </c>
      <c r="C13" s="274"/>
      <c r="D13" s="271" t="s">
        <v>24</v>
      </c>
      <c r="E13" s="275"/>
      <c r="F13" s="442">
        <f>-'Adaytum by Month'!Q40/1000</f>
        <v>-9012.4474066666662</v>
      </c>
      <c r="G13" s="276"/>
      <c r="H13" s="442">
        <f>-'Adaytum  Detail 2002'!E89/1000</f>
        <v>-2649.837</v>
      </c>
      <c r="I13" s="276"/>
      <c r="J13" s="273">
        <f>+H13-F13</f>
        <v>6362.6104066666667</v>
      </c>
      <c r="K13" s="157"/>
      <c r="L13" s="157"/>
      <c r="M13" s="157"/>
      <c r="N13" s="177"/>
    </row>
    <row r="14" spans="1:14" s="7" customFormat="1" ht="18.75" customHeight="1" thickBot="1">
      <c r="A14" s="184"/>
      <c r="B14" s="442">
        <f>+'Input Data'!F13/1000</f>
        <v>0</v>
      </c>
      <c r="C14" s="272"/>
      <c r="D14" s="271" t="s">
        <v>95</v>
      </c>
      <c r="E14" s="275"/>
      <c r="F14" s="442">
        <f>+'Input Data'!H13/1000</f>
        <v>0.14599999999999999</v>
      </c>
      <c r="G14" s="276"/>
      <c r="H14" s="442">
        <f>+'Input Data'!J13/1000</f>
        <v>0.21299999999999999</v>
      </c>
      <c r="I14" s="276"/>
      <c r="J14" s="448">
        <f>+H14-F14</f>
        <v>6.7000000000000004E-2</v>
      </c>
      <c r="K14" s="185"/>
      <c r="L14" s="185"/>
      <c r="M14" s="185"/>
      <c r="N14" s="186"/>
    </row>
    <row r="15" spans="1:14" ht="18" thickBot="1">
      <c r="A15" s="176"/>
      <c r="B15" s="443">
        <f>+'Input Data'!F15/1000</f>
        <v>0</v>
      </c>
      <c r="C15" s="277"/>
      <c r="D15" s="278" t="s">
        <v>25</v>
      </c>
      <c r="E15" s="277"/>
      <c r="F15" s="443">
        <f>+'Input Data'!H15/1000</f>
        <v>0</v>
      </c>
      <c r="G15" s="277"/>
      <c r="H15" s="443">
        <f>+'Input Data'!J15/1000</f>
        <v>0</v>
      </c>
      <c r="I15" s="277"/>
      <c r="J15" s="449">
        <f>+H15-F15</f>
        <v>0</v>
      </c>
      <c r="K15" s="157"/>
      <c r="L15" s="157"/>
      <c r="M15" s="157"/>
      <c r="N15" s="177"/>
    </row>
    <row r="16" spans="1:14" ht="12" customHeight="1">
      <c r="A16" s="176"/>
      <c r="K16" s="157"/>
      <c r="L16" s="157"/>
      <c r="M16" s="157"/>
      <c r="N16" s="177"/>
    </row>
    <row r="17" spans="1:14" ht="20.25" customHeight="1">
      <c r="A17" s="451" t="s">
        <v>32</v>
      </c>
      <c r="B17" s="452">
        <f>+'Adaytum Headcount'!Q31</f>
        <v>21</v>
      </c>
      <c r="C17" s="452"/>
      <c r="D17" s="452"/>
      <c r="E17" s="452"/>
      <c r="F17" s="452">
        <f>+'Adaytum Headcount'!E25</f>
        <v>25</v>
      </c>
      <c r="G17" s="452"/>
      <c r="H17" s="550">
        <f>+'Adaytum  Detail 2002'!E15</f>
        <v>10</v>
      </c>
      <c r="I17" s="452"/>
      <c r="J17" s="511">
        <f>H17-F17</f>
        <v>-15</v>
      </c>
      <c r="K17" s="157"/>
      <c r="L17" s="157"/>
      <c r="M17" s="157"/>
      <c r="N17" s="177"/>
    </row>
    <row r="18" spans="1:14" ht="9.75" customHeight="1">
      <c r="A18" s="451"/>
      <c r="B18" s="452"/>
      <c r="C18" s="452"/>
      <c r="D18" s="452"/>
      <c r="E18" s="452"/>
      <c r="F18" s="452"/>
      <c r="G18" s="452"/>
      <c r="H18" s="452"/>
      <c r="I18" s="452"/>
      <c r="J18" s="452"/>
      <c r="K18" s="157"/>
      <c r="L18" s="157"/>
      <c r="M18" s="157"/>
      <c r="N18" s="177"/>
    </row>
    <row r="19" spans="1:14">
      <c r="A19" s="176"/>
      <c r="B19" s="157"/>
      <c r="C19" s="157"/>
      <c r="D19" s="157"/>
      <c r="E19" s="157"/>
      <c r="F19" s="157"/>
      <c r="G19" s="157"/>
      <c r="H19" s="157"/>
      <c r="I19" s="157"/>
      <c r="J19" s="157"/>
      <c r="K19" s="157"/>
      <c r="L19" s="157"/>
      <c r="M19" s="157"/>
      <c r="N19" s="177"/>
    </row>
    <row r="20" spans="1:14">
      <c r="A20" s="176"/>
      <c r="B20" s="187"/>
      <c r="C20" s="187"/>
      <c r="D20" s="188"/>
      <c r="E20" s="157"/>
      <c r="F20" s="188"/>
      <c r="G20" s="157"/>
      <c r="H20" s="188"/>
      <c r="I20" s="157"/>
      <c r="J20" s="157"/>
      <c r="K20" s="157"/>
      <c r="L20" s="157"/>
      <c r="M20" s="157"/>
      <c r="N20" s="177"/>
    </row>
    <row r="21" spans="1:14">
      <c r="A21" s="176"/>
      <c r="B21" s="187"/>
      <c r="C21" s="187"/>
      <c r="D21" s="157"/>
      <c r="E21" s="157"/>
      <c r="F21" s="157"/>
      <c r="G21" s="157"/>
      <c r="I21" s="157"/>
      <c r="J21" s="157"/>
      <c r="K21" s="157"/>
      <c r="L21" s="157"/>
      <c r="M21" s="157"/>
      <c r="N21" s="177"/>
    </row>
    <row r="22" spans="1:14">
      <c r="A22" s="176"/>
      <c r="B22" s="8"/>
      <c r="C22" s="157"/>
      <c r="D22" s="157"/>
      <c r="E22" s="157"/>
      <c r="F22" s="157"/>
      <c r="G22" s="157"/>
      <c r="I22" s="157"/>
      <c r="J22" s="157"/>
      <c r="K22" s="157"/>
      <c r="L22" s="157"/>
      <c r="M22" s="157"/>
      <c r="N22" s="177"/>
    </row>
    <row r="23" spans="1:14">
      <c r="A23" s="176"/>
      <c r="B23" s="8"/>
      <c r="C23" s="157"/>
      <c r="D23" s="157"/>
      <c r="E23" s="157"/>
      <c r="F23" s="157"/>
      <c r="G23" s="157"/>
      <c r="I23" s="157"/>
      <c r="J23" s="157"/>
      <c r="K23" s="157"/>
      <c r="L23" s="157"/>
      <c r="M23" s="157"/>
      <c r="N23" s="177"/>
    </row>
    <row r="24" spans="1:14">
      <c r="A24" s="176"/>
      <c r="B24" s="8"/>
      <c r="C24" s="157"/>
      <c r="D24" s="157"/>
      <c r="E24" s="157"/>
      <c r="F24" s="157"/>
      <c r="G24" s="157"/>
      <c r="I24" s="157"/>
      <c r="J24" s="157"/>
      <c r="K24" s="157"/>
      <c r="L24" s="157"/>
      <c r="M24" s="157"/>
      <c r="N24" s="177"/>
    </row>
    <row r="25" spans="1:14">
      <c r="A25" s="176"/>
      <c r="B25" s="8"/>
      <c r="C25" s="157"/>
      <c r="D25" s="157"/>
      <c r="E25" s="157"/>
      <c r="F25" s="157"/>
      <c r="G25" s="157"/>
      <c r="I25" s="157"/>
      <c r="J25" s="157"/>
      <c r="K25" s="157"/>
      <c r="L25" s="157"/>
      <c r="M25" s="157"/>
      <c r="N25" s="177"/>
    </row>
    <row r="26" spans="1:14">
      <c r="A26" s="176"/>
      <c r="B26" s="8"/>
      <c r="C26" s="157"/>
      <c r="D26" s="157"/>
      <c r="E26" s="157"/>
      <c r="F26" s="157"/>
      <c r="G26" s="157"/>
      <c r="I26" s="157"/>
      <c r="J26" s="157"/>
      <c r="K26" s="157"/>
      <c r="L26" s="157"/>
      <c r="M26" s="157"/>
      <c r="N26" s="177"/>
    </row>
    <row r="27" spans="1:14">
      <c r="A27" s="176"/>
      <c r="B27" s="157"/>
      <c r="C27" s="157"/>
      <c r="D27" s="157"/>
      <c r="E27" s="157"/>
      <c r="F27" s="157"/>
      <c r="G27" s="157"/>
      <c r="I27" s="157"/>
      <c r="J27" s="157"/>
      <c r="K27" s="157"/>
      <c r="L27" s="157"/>
      <c r="M27" s="157"/>
      <c r="N27" s="177"/>
    </row>
    <row r="28" spans="1:14">
      <c r="A28" s="176"/>
      <c r="B28" s="157"/>
      <c r="C28" s="157"/>
      <c r="D28" s="157"/>
      <c r="E28" s="157"/>
      <c r="F28" s="157"/>
      <c r="G28" s="157"/>
      <c r="I28" s="157"/>
      <c r="J28" s="157"/>
      <c r="K28" s="157"/>
      <c r="L28" s="157"/>
      <c r="M28" s="157"/>
      <c r="N28" s="177"/>
    </row>
    <row r="29" spans="1:14" ht="16.8">
      <c r="A29" s="176"/>
      <c r="B29" s="189"/>
      <c r="C29" s="192"/>
      <c r="D29" s="157"/>
      <c r="E29" s="157"/>
      <c r="F29" s="157"/>
      <c r="G29" s="157"/>
      <c r="I29" s="157"/>
      <c r="J29" s="157"/>
      <c r="K29" s="157"/>
      <c r="L29" s="157"/>
      <c r="M29" s="157"/>
      <c r="N29" s="177"/>
    </row>
    <row r="30" spans="1:14" ht="16.8">
      <c r="A30" s="190"/>
      <c r="B30" s="189"/>
      <c r="C30" s="192"/>
      <c r="D30" s="157"/>
      <c r="E30" s="157"/>
      <c r="F30" s="157"/>
      <c r="G30" s="157"/>
      <c r="I30" s="157"/>
      <c r="J30" s="157"/>
      <c r="K30" s="157"/>
      <c r="L30" s="157"/>
      <c r="M30" s="157"/>
      <c r="N30" s="177"/>
    </row>
    <row r="31" spans="1:14" ht="24.6">
      <c r="A31" s="191"/>
      <c r="B31" s="189"/>
      <c r="C31" s="192"/>
      <c r="D31" s="159"/>
      <c r="E31" s="157"/>
      <c r="F31" s="157"/>
      <c r="G31" s="157"/>
      <c r="I31" s="157"/>
      <c r="J31" s="157"/>
      <c r="K31" s="157"/>
      <c r="L31" s="157"/>
      <c r="M31" s="157"/>
      <c r="N31" s="177"/>
    </row>
    <row r="32" spans="1:14" ht="16.8">
      <c r="A32" s="191"/>
      <c r="B32" s="189"/>
      <c r="C32" s="192"/>
      <c r="D32" s="157"/>
      <c r="E32" s="157"/>
      <c r="F32" s="157"/>
      <c r="G32" s="157"/>
      <c r="I32" s="157"/>
      <c r="J32" s="157"/>
      <c r="K32" s="157"/>
      <c r="L32" s="157"/>
      <c r="M32" s="157"/>
      <c r="N32" s="177"/>
    </row>
    <row r="33" spans="1:17" ht="16.8">
      <c r="A33" s="176"/>
      <c r="B33" s="189"/>
      <c r="C33" s="192"/>
      <c r="D33" s="157"/>
      <c r="E33" s="157"/>
      <c r="F33" s="157"/>
      <c r="G33" s="157"/>
      <c r="H33" s="157"/>
      <c r="I33" s="157"/>
      <c r="J33" s="157"/>
      <c r="K33" s="200"/>
      <c r="L33" s="157"/>
      <c r="M33" s="157"/>
      <c r="N33" s="177"/>
    </row>
    <row r="34" spans="1:17" ht="16.8">
      <c r="A34" s="176"/>
      <c r="B34" s="189"/>
      <c r="C34" s="192"/>
      <c r="D34" s="157"/>
      <c r="E34" s="157"/>
      <c r="F34" s="157"/>
      <c r="G34" s="157"/>
      <c r="H34" s="157"/>
      <c r="I34" s="157"/>
      <c r="J34" s="157"/>
      <c r="K34" s="200"/>
      <c r="L34" s="157"/>
      <c r="M34" s="157"/>
      <c r="N34" s="177"/>
    </row>
    <row r="35" spans="1:17" ht="16.8">
      <c r="A35" s="176"/>
      <c r="B35" s="189"/>
      <c r="C35" s="192"/>
      <c r="D35" s="157"/>
      <c r="E35" s="157"/>
      <c r="F35" s="157"/>
      <c r="G35" s="157"/>
      <c r="H35" s="157"/>
      <c r="I35" s="157"/>
      <c r="J35" s="157"/>
      <c r="K35" s="200"/>
      <c r="L35" s="157"/>
      <c r="M35" s="157"/>
      <c r="N35" s="177"/>
    </row>
    <row r="36" spans="1:17" ht="16.8">
      <c r="A36" s="191"/>
      <c r="B36" s="189"/>
      <c r="C36" s="192"/>
      <c r="D36" s="157"/>
      <c r="E36" s="157"/>
      <c r="F36" s="157"/>
      <c r="G36" s="157"/>
      <c r="H36" s="157"/>
      <c r="I36" s="157"/>
      <c r="J36" s="157"/>
      <c r="K36" s="157"/>
      <c r="L36" s="157"/>
      <c r="M36" s="157"/>
      <c r="N36" s="177"/>
    </row>
    <row r="37" spans="1:17" ht="21.75" customHeight="1">
      <c r="A37" s="176"/>
      <c r="B37" s="189"/>
      <c r="C37" s="192"/>
      <c r="D37" s="157"/>
      <c r="E37" s="157"/>
      <c r="F37" s="157"/>
      <c r="G37" s="157"/>
      <c r="H37" s="157"/>
      <c r="I37" s="157"/>
      <c r="J37" s="157"/>
      <c r="K37" s="157"/>
      <c r="L37" s="157"/>
      <c r="M37" s="157"/>
      <c r="N37" s="177"/>
    </row>
    <row r="38" spans="1:17" ht="16.8">
      <c r="A38" s="190"/>
      <c r="B38" s="247" t="s">
        <v>62</v>
      </c>
      <c r="C38" s="228"/>
      <c r="D38" s="228"/>
      <c r="E38" s="228"/>
      <c r="F38" s="228"/>
      <c r="G38" s="228"/>
      <c r="H38" s="228"/>
      <c r="I38" s="228"/>
      <c r="J38" s="228"/>
      <c r="K38" s="155"/>
      <c r="L38" s="156"/>
      <c r="M38" s="157"/>
      <c r="N38" s="177"/>
    </row>
    <row r="39" spans="1:17" ht="16.8">
      <c r="A39" s="191"/>
      <c r="B39" s="450" t="s">
        <v>253</v>
      </c>
      <c r="C39" s="143"/>
      <c r="D39" s="143"/>
      <c r="E39" s="143"/>
      <c r="F39" s="143"/>
      <c r="G39" s="143"/>
      <c r="H39" s="143"/>
      <c r="I39" s="143"/>
      <c r="J39" s="143"/>
      <c r="K39" s="157"/>
      <c r="L39" s="158"/>
      <c r="M39" s="157"/>
      <c r="N39" s="177"/>
    </row>
    <row r="40" spans="1:17" ht="16.8">
      <c r="A40" s="176"/>
      <c r="B40" s="450" t="s">
        <v>254</v>
      </c>
      <c r="C40" s="143"/>
      <c r="D40" s="143"/>
      <c r="E40" s="143"/>
      <c r="F40" s="143"/>
      <c r="G40" s="143"/>
      <c r="H40" s="143"/>
      <c r="I40" s="143"/>
      <c r="J40" s="143"/>
      <c r="K40" s="143"/>
      <c r="L40" s="229"/>
      <c r="M40" s="143"/>
      <c r="N40" s="245"/>
      <c r="O40" s="20"/>
      <c r="P40" s="20"/>
      <c r="Q40" s="21"/>
    </row>
    <row r="41" spans="1:17" ht="16.8">
      <c r="A41" s="176"/>
      <c r="B41" s="450"/>
      <c r="C41" s="143"/>
      <c r="D41" s="143"/>
      <c r="E41" s="143"/>
      <c r="F41" s="143"/>
      <c r="G41" s="143"/>
      <c r="H41" s="143"/>
      <c r="I41" s="143"/>
      <c r="J41" s="143"/>
      <c r="K41" s="143"/>
      <c r="L41" s="229"/>
      <c r="M41" s="143"/>
      <c r="N41" s="245"/>
      <c r="O41" s="20"/>
      <c r="P41" s="20"/>
      <c r="Q41" s="21"/>
    </row>
    <row r="42" spans="1:17" ht="16.8">
      <c r="A42" s="176"/>
      <c r="B42" s="230"/>
      <c r="C42" s="231"/>
      <c r="D42" s="231"/>
      <c r="E42" s="231"/>
      <c r="F42" s="231"/>
      <c r="G42" s="231"/>
      <c r="H42" s="231"/>
      <c r="I42" s="231"/>
      <c r="J42" s="231"/>
      <c r="K42" s="248"/>
      <c r="L42" s="249"/>
      <c r="M42" s="143"/>
      <c r="N42" s="177"/>
      <c r="O42" s="20"/>
      <c r="P42" s="20"/>
      <c r="Q42" s="21"/>
    </row>
    <row r="43" spans="1:17" ht="16.8">
      <c r="A43" s="176"/>
      <c r="B43" s="157"/>
      <c r="C43" s="157"/>
      <c r="D43" s="157"/>
      <c r="E43" s="157"/>
      <c r="F43" s="157"/>
      <c r="G43" s="157"/>
      <c r="H43" s="157"/>
      <c r="I43" s="157"/>
      <c r="J43" s="157"/>
      <c r="K43" s="143"/>
      <c r="L43" s="143"/>
      <c r="M43" s="143"/>
      <c r="N43" s="244"/>
      <c r="O43" s="20"/>
      <c r="P43" s="20"/>
      <c r="Q43" s="21"/>
    </row>
    <row r="44" spans="1:17" ht="16.8">
      <c r="A44" s="193"/>
      <c r="C44" s="157"/>
      <c r="D44" s="157"/>
      <c r="E44" s="157"/>
      <c r="F44" s="157"/>
      <c r="G44" s="157"/>
      <c r="H44" s="157"/>
      <c r="I44" s="157"/>
      <c r="J44" s="157"/>
      <c r="K44" s="145"/>
      <c r="L44" s="145"/>
      <c r="M44" s="145"/>
      <c r="N44" s="245"/>
      <c r="O44" s="20"/>
      <c r="P44" s="20"/>
      <c r="Q44" s="21"/>
    </row>
    <row r="45" spans="1:17" ht="15.6">
      <c r="A45" s="194"/>
      <c r="B45" s="144" t="s">
        <v>64</v>
      </c>
      <c r="C45" s="143"/>
      <c r="D45" s="143"/>
      <c r="E45" s="143"/>
      <c r="F45" s="143"/>
      <c r="G45" s="143"/>
      <c r="H45" s="143"/>
      <c r="I45" s="143"/>
      <c r="J45" s="143"/>
      <c r="K45" s="143"/>
      <c r="L45" s="143"/>
      <c r="M45" s="145"/>
      <c r="N45" s="177"/>
    </row>
    <row r="46" spans="1:17" ht="15">
      <c r="A46" s="176"/>
      <c r="B46" s="145"/>
      <c r="C46" s="143"/>
      <c r="D46" s="143"/>
      <c r="E46" s="143"/>
      <c r="F46" s="143"/>
      <c r="G46" s="143"/>
      <c r="H46" s="143"/>
      <c r="I46" s="143"/>
      <c r="J46" s="143"/>
      <c r="K46" s="143"/>
      <c r="L46" s="143"/>
      <c r="M46" s="145"/>
      <c r="N46" s="177"/>
    </row>
    <row r="47" spans="1:17" ht="15">
      <c r="A47" s="176"/>
      <c r="B47" s="146" t="s">
        <v>63</v>
      </c>
      <c r="C47" s="143"/>
      <c r="D47" s="143"/>
      <c r="E47" s="143"/>
      <c r="F47" s="143"/>
      <c r="G47" s="143"/>
      <c r="H47" s="143"/>
      <c r="I47" s="143"/>
      <c r="J47" s="143"/>
      <c r="K47" s="143"/>
      <c r="L47" s="143"/>
      <c r="M47" s="145"/>
      <c r="N47" s="177"/>
    </row>
    <row r="48" spans="1:17" ht="8.25" customHeight="1">
      <c r="A48" s="176"/>
      <c r="B48" s="145"/>
      <c r="C48" s="143"/>
      <c r="D48" s="143"/>
      <c r="E48" s="143"/>
      <c r="F48" s="143"/>
      <c r="G48" s="143"/>
      <c r="H48" s="143"/>
      <c r="I48" s="143"/>
      <c r="J48" s="143"/>
      <c r="K48" s="143"/>
      <c r="L48" s="143"/>
      <c r="M48" s="145"/>
      <c r="N48" s="177"/>
    </row>
    <row r="49" spans="1:14" ht="15">
      <c r="A49" s="176"/>
      <c r="B49" s="146" t="s">
        <v>63</v>
      </c>
      <c r="C49" s="143"/>
      <c r="D49" s="143"/>
      <c r="E49" s="143"/>
      <c r="F49" s="143"/>
      <c r="G49" s="143"/>
      <c r="H49" s="143"/>
      <c r="I49" s="143"/>
      <c r="J49" s="143"/>
      <c r="K49" s="143"/>
      <c r="L49" s="143"/>
      <c r="M49" s="145"/>
      <c r="N49" s="177"/>
    </row>
    <row r="50" spans="1:14" ht="8.25" customHeight="1">
      <c r="A50" s="176"/>
      <c r="B50" s="157"/>
      <c r="C50" s="143"/>
      <c r="D50" s="143"/>
      <c r="E50" s="143"/>
      <c r="F50" s="143"/>
      <c r="G50" s="143"/>
      <c r="H50" s="143"/>
      <c r="I50" s="143"/>
      <c r="J50" s="143"/>
      <c r="K50" s="143"/>
      <c r="L50" s="143"/>
      <c r="M50" s="145"/>
      <c r="N50" s="177"/>
    </row>
    <row r="51" spans="1:14" ht="15">
      <c r="A51" s="176"/>
      <c r="B51" s="146" t="s">
        <v>63</v>
      </c>
      <c r="C51" s="143"/>
      <c r="D51" s="143"/>
      <c r="E51" s="143"/>
      <c r="F51" s="143"/>
      <c r="G51" s="143"/>
      <c r="H51" s="143"/>
      <c r="I51" s="143"/>
      <c r="J51" s="143"/>
      <c r="K51" s="143"/>
      <c r="L51" s="143"/>
      <c r="M51" s="145"/>
      <c r="N51" s="177"/>
    </row>
    <row r="52" spans="1:14" ht="13.8" thickBot="1">
      <c r="A52" s="171"/>
      <c r="B52" s="172"/>
      <c r="C52" s="172"/>
      <c r="D52" s="172"/>
      <c r="E52" s="172"/>
      <c r="F52" s="172"/>
      <c r="G52" s="172"/>
      <c r="H52" s="172"/>
      <c r="I52" s="172"/>
      <c r="J52" s="172"/>
      <c r="K52" s="172"/>
      <c r="L52" s="172"/>
      <c r="M52" s="172"/>
      <c r="N52" s="246"/>
    </row>
    <row r="53" spans="1:14" ht="15">
      <c r="A53" s="146"/>
      <c r="B53" s="145"/>
      <c r="C53" s="145"/>
      <c r="D53" s="145"/>
      <c r="E53" s="145"/>
      <c r="F53" s="145"/>
      <c r="G53" s="145"/>
      <c r="H53" s="145"/>
      <c r="I53" s="145"/>
      <c r="J53" s="145"/>
      <c r="K53" s="145"/>
      <c r="L53" s="145"/>
      <c r="M53" s="145"/>
    </row>
    <row r="54" spans="1:14">
      <c r="A54" s="145"/>
      <c r="B54" s="145"/>
      <c r="C54" s="145"/>
      <c r="D54" s="145"/>
      <c r="E54" s="145"/>
      <c r="F54" s="145"/>
      <c r="G54" s="145"/>
      <c r="H54" s="145"/>
      <c r="I54" s="145"/>
      <c r="J54" s="145"/>
      <c r="K54" s="145"/>
      <c r="L54" s="145"/>
      <c r="M54" s="145"/>
    </row>
    <row r="55" spans="1:14" ht="15">
      <c r="A55" s="146"/>
      <c r="B55" s="145"/>
      <c r="C55" s="283" t="s">
        <v>173</v>
      </c>
      <c r="D55" s="297"/>
      <c r="E55" s="297"/>
      <c r="F55" s="145"/>
      <c r="G55" s="145"/>
      <c r="H55" s="145"/>
      <c r="I55" s="145"/>
      <c r="J55" s="145"/>
      <c r="K55" s="145"/>
      <c r="L55" s="145"/>
      <c r="M55" s="145"/>
    </row>
    <row r="57" spans="1:14">
      <c r="C57" s="293"/>
      <c r="D57" s="321">
        <v>2000</v>
      </c>
      <c r="E57" s="321">
        <v>2001</v>
      </c>
      <c r="F57" s="322">
        <v>2002</v>
      </c>
      <c r="G57" s="157"/>
    </row>
    <row r="58" spans="1:14">
      <c r="C58" s="294" t="s">
        <v>43</v>
      </c>
      <c r="D58" s="323">
        <f>-B13</f>
        <v>5177.5739999999996</v>
      </c>
      <c r="E58" s="323">
        <f>-F13</f>
        <v>9012.4474066666662</v>
      </c>
      <c r="F58" s="324">
        <f>-H13</f>
        <v>2649.837</v>
      </c>
      <c r="G58" s="295"/>
    </row>
    <row r="59" spans="1:14">
      <c r="C59" s="296" t="s">
        <v>94</v>
      </c>
      <c r="D59" s="325">
        <f>+B12</f>
        <v>0</v>
      </c>
      <c r="E59" s="325">
        <f>+F14</f>
        <v>0.14599999999999999</v>
      </c>
      <c r="F59" s="326">
        <f>+H14</f>
        <v>0.21299999999999999</v>
      </c>
      <c r="G59" s="295"/>
    </row>
  </sheetData>
  <phoneticPr fontId="0" type="noConversion"/>
  <pageMargins left="0.75" right="0.75" top="0.56000000000000005" bottom="0.66" header="0.5" footer="0.5"/>
  <pageSetup paperSize="9" scale="66" orientation="landscape" r:id="rId1"/>
  <headerFooter alignWithMargins="0">
    <oddFooter>&amp;L&amp;9Enron Europe Confidential&amp;C&amp;9Source: financial Planning and Analysis&amp;R&amp;9Printed : &amp;D&amp;T</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B8:AU43"/>
  <sheetViews>
    <sheetView zoomScale="75" workbookViewId="0">
      <selection activeCell="F74" sqref="F74"/>
    </sheetView>
  </sheetViews>
  <sheetFormatPr defaultColWidth="9.109375" defaultRowHeight="13.2"/>
  <cols>
    <col min="1" max="1" width="9.109375" style="16"/>
    <col min="2" max="2" width="32.5546875" style="16" customWidth="1"/>
    <col min="3" max="3" width="16.88671875" style="16" customWidth="1"/>
    <col min="4" max="5" width="17.5546875" style="16" customWidth="1"/>
    <col min="6" max="6" width="15.44140625" style="16" customWidth="1"/>
    <col min="7" max="7" width="16.33203125" style="16" customWidth="1"/>
    <col min="8" max="16" width="16.5546875" style="16" customWidth="1"/>
    <col min="17" max="17" width="10.109375" style="16" bestFit="1" customWidth="1"/>
    <col min="18" max="16384" width="9.109375" style="16"/>
  </cols>
  <sheetData>
    <row r="8" spans="2:17">
      <c r="B8" s="290" t="s">
        <v>232</v>
      </c>
      <c r="C8" s="282"/>
    </row>
    <row r="9" spans="2:17" ht="6.75" customHeight="1"/>
    <row r="10" spans="2:17">
      <c r="B10" s="391" t="s">
        <v>36</v>
      </c>
    </row>
    <row r="11" spans="2:17">
      <c r="B11" s="147" t="s">
        <v>0</v>
      </c>
    </row>
    <row r="12" spans="2:17" ht="12.75" customHeight="1">
      <c r="B12" s="149" t="s">
        <v>72</v>
      </c>
      <c r="C12" s="149" t="s">
        <v>73</v>
      </c>
      <c r="D12" s="149" t="s">
        <v>39</v>
      </c>
      <c r="E12" s="149" t="s">
        <v>74</v>
      </c>
    </row>
    <row r="14" spans="2:17" ht="37.5" customHeight="1">
      <c r="C14" s="327" t="s">
        <v>265</v>
      </c>
      <c r="D14" s="327"/>
      <c r="E14" s="327"/>
      <c r="F14" s="327"/>
      <c r="G14" s="327"/>
      <c r="H14" s="327"/>
      <c r="I14" s="142"/>
      <c r="J14" s="142"/>
      <c r="K14" s="142"/>
      <c r="L14" s="142"/>
      <c r="M14" s="142"/>
      <c r="N14" s="142"/>
      <c r="O14" s="142"/>
      <c r="P14" s="142"/>
      <c r="Q14" s="142"/>
    </row>
    <row r="15" spans="2:17">
      <c r="B15" s="263" t="s">
        <v>75</v>
      </c>
      <c r="C15" s="151">
        <v>1384175</v>
      </c>
    </row>
    <row r="16" spans="2:17">
      <c r="B16" s="263" t="s">
        <v>76</v>
      </c>
      <c r="C16" s="151">
        <v>271775</v>
      </c>
    </row>
    <row r="17" spans="2:47">
      <c r="B17" s="263" t="s">
        <v>77</v>
      </c>
      <c r="C17" s="151">
        <v>4481</v>
      </c>
    </row>
    <row r="18" spans="2:47">
      <c r="B18" s="263" t="s">
        <v>78</v>
      </c>
      <c r="C18" s="151">
        <v>502000</v>
      </c>
    </row>
    <row r="19" spans="2:47">
      <c r="B19" s="263" t="s">
        <v>56</v>
      </c>
      <c r="C19" s="151">
        <v>245000</v>
      </c>
    </row>
    <row r="20" spans="2:47">
      <c r="B20" s="263" t="s">
        <v>79</v>
      </c>
      <c r="C20" s="151">
        <v>100000</v>
      </c>
    </row>
    <row r="21" spans="2:47">
      <c r="B21" s="263" t="s">
        <v>80</v>
      </c>
      <c r="C21" s="151">
        <v>122406</v>
      </c>
    </row>
    <row r="22" spans="2:47">
      <c r="B22" s="263" t="s">
        <v>81</v>
      </c>
      <c r="C22" s="151">
        <v>20000</v>
      </c>
    </row>
    <row r="23" spans="2:47">
      <c r="B23" s="263" t="s">
        <v>11</v>
      </c>
      <c r="C23" s="150">
        <v>0</v>
      </c>
    </row>
    <row r="24" spans="2:47">
      <c r="B24" s="267" t="s">
        <v>12</v>
      </c>
      <c r="C24" s="551">
        <f>SUM(C15:C23)</f>
        <v>2649837</v>
      </c>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row>
    <row r="26" spans="2:47">
      <c r="C26" s="128"/>
      <c r="D26" s="128"/>
      <c r="E26" s="128"/>
    </row>
    <row r="27" spans="2:47">
      <c r="B27" s="391" t="s">
        <v>89</v>
      </c>
      <c r="C27" s="128"/>
      <c r="D27" s="128"/>
      <c r="E27" s="128"/>
    </row>
    <row r="28" spans="2:47" ht="12.75" customHeight="1">
      <c r="B28" s="3" t="s">
        <v>0</v>
      </c>
      <c r="C28" s="128"/>
      <c r="D28" s="128"/>
      <c r="E28" s="128"/>
    </row>
    <row r="29" spans="2:47" ht="12.75" customHeight="1">
      <c r="B29" s="4" t="s">
        <v>82</v>
      </c>
      <c r="C29" s="18" t="s">
        <v>22</v>
      </c>
      <c r="D29" s="19" t="s">
        <v>1</v>
      </c>
      <c r="E29" s="128"/>
    </row>
    <row r="30" spans="2:47" ht="12.75" customHeight="1">
      <c r="B30" s="4"/>
      <c r="C30" s="18"/>
      <c r="D30" s="19"/>
      <c r="E30" s="128"/>
    </row>
    <row r="31" spans="2:47" ht="50.25" customHeight="1">
      <c r="C31" s="552" t="s">
        <v>265</v>
      </c>
      <c r="D31" s="328"/>
      <c r="E31" s="328"/>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row>
    <row r="32" spans="2:47" ht="5.25" customHeight="1">
      <c r="C32" s="291"/>
      <c r="D32" s="128"/>
      <c r="E32" s="128"/>
    </row>
    <row r="33" spans="2:5">
      <c r="B33" s="42" t="s">
        <v>2</v>
      </c>
      <c r="C33" s="536">
        <v>3074294.1866666665</v>
      </c>
      <c r="E33" s="128"/>
    </row>
    <row r="34" spans="2:5">
      <c r="B34" s="42" t="s">
        <v>4</v>
      </c>
      <c r="C34" s="536">
        <v>1052440.31</v>
      </c>
      <c r="E34" s="128"/>
    </row>
    <row r="35" spans="2:5">
      <c r="B35" s="42" t="s">
        <v>5</v>
      </c>
      <c r="C35" s="536">
        <v>55114.75</v>
      </c>
      <c r="E35" s="128"/>
    </row>
    <row r="36" spans="2:5">
      <c r="B36" s="42" t="s">
        <v>6</v>
      </c>
      <c r="C36" s="536">
        <v>1340213.49</v>
      </c>
      <c r="E36" s="128"/>
    </row>
    <row r="37" spans="2:5">
      <c r="B37" s="42" t="s">
        <v>7</v>
      </c>
      <c r="C37" s="536">
        <v>3074196.57</v>
      </c>
      <c r="E37" s="128"/>
    </row>
    <row r="38" spans="2:5">
      <c r="B38" s="42" t="s">
        <v>8</v>
      </c>
      <c r="C38" s="536">
        <v>128415.76</v>
      </c>
      <c r="E38" s="128"/>
    </row>
    <row r="39" spans="2:5">
      <c r="B39" s="42" t="s">
        <v>9</v>
      </c>
      <c r="C39" s="536">
        <v>220578.87</v>
      </c>
      <c r="E39" s="128"/>
    </row>
    <row r="40" spans="2:5">
      <c r="B40" s="42" t="s">
        <v>10</v>
      </c>
      <c r="C40" s="536">
        <v>67193.47</v>
      </c>
      <c r="E40" s="128"/>
    </row>
    <row r="41" spans="2:5">
      <c r="B41" s="148" t="s">
        <v>11</v>
      </c>
      <c r="C41" s="536">
        <v>0</v>
      </c>
      <c r="E41" s="128"/>
    </row>
    <row r="42" spans="2:5">
      <c r="B42" s="38" t="s">
        <v>12</v>
      </c>
      <c r="C42" s="553">
        <v>9012447.4066666663</v>
      </c>
      <c r="E42" s="128"/>
    </row>
    <row r="43" spans="2:5">
      <c r="C43" s="128"/>
      <c r="D43" s="128"/>
      <c r="E43" s="128"/>
    </row>
  </sheetData>
  <phoneticPr fontId="0" type="noConversion"/>
  <pageMargins left="0.75" right="0.75" top="1" bottom="1" header="0.5" footer="0.5"/>
  <pageSetup paperSize="9" scale="77"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7361" r:id="rId4" name="adaytum_page_3_drop_1">
              <controlPr defaultSize="0" print="0" autoFill="0" autoPict="0" macro="[1]!AdaytumDropDown">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57362" r:id="rId5" name="adaytum_page_3_drop_2">
              <controlPr defaultSize="0" print="0" autoFill="0" autoPict="0" macro="[1]!AdaytumDropDown">
                <anchor moveWithCells="1">
                  <from>
                    <xdr:col>2</xdr:col>
                    <xdr:colOff>0</xdr:colOff>
                    <xdr:row>28</xdr:row>
                    <xdr:rowOff>0</xdr:rowOff>
                  </from>
                  <to>
                    <xdr:col>3</xdr:col>
                    <xdr:colOff>0</xdr:colOff>
                    <xdr:row>29</xdr:row>
                    <xdr:rowOff>0</xdr:rowOff>
                  </to>
                </anchor>
              </controlPr>
            </control>
          </mc:Choice>
        </mc:AlternateContent>
        <mc:AlternateContent xmlns:mc="http://schemas.openxmlformats.org/markup-compatibility/2006">
          <mc:Choice Requires="x14">
            <control shapeId="57363" r:id="rId6" name="adaytum_page_3_drop_3">
              <controlPr defaultSize="0" print="0" autoFill="0" autoPict="0" macro="[1]!AdaytumDropDown">
                <anchor moveWithCells="1">
                  <from>
                    <xdr:col>3</xdr:col>
                    <xdr:colOff>0</xdr:colOff>
                    <xdr:row>28</xdr:row>
                    <xdr:rowOff>0</xdr:rowOff>
                  </from>
                  <to>
                    <xdr:col>4</xdr:col>
                    <xdr:colOff>0</xdr:colOff>
                    <xdr:row>29</xdr:row>
                    <xdr:rowOff>0</xdr:rowOff>
                  </to>
                </anchor>
              </controlPr>
            </control>
          </mc:Choice>
        </mc:AlternateContent>
        <mc:AlternateContent xmlns:mc="http://schemas.openxmlformats.org/markup-compatibility/2006">
          <mc:Choice Requires="x14">
            <control shapeId="57458" r:id="rId7" name="adaytum_page_1_drop_1">
              <controlPr defaultSize="0" print="0" autoFill="0" autoPict="0" macro="[1]!AdaytumDropDown">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57460" r:id="rId8" name="adaytum_page_1_drop_2">
              <controlPr defaultSize="0" print="0" autoFill="0" autoPict="0" macro="[1]!AdaytumDropDown">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57462" r:id="rId9" name="adaytum_page_1_drop_3">
              <controlPr defaultSize="0" print="0" autoFill="0" autoPict="0" macro="[1]!AdaytumDropDown">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57464" r:id="rId10" name="adaytum_page_1_drop_4">
              <controlPr defaultSize="0" print="0" autoFill="0" autoPict="0" macro="[1]!AdaytumDropDown">
                <anchor moveWithCells="1">
                  <from>
                    <xdr:col>4</xdr:col>
                    <xdr:colOff>0</xdr:colOff>
                    <xdr:row>11</xdr:row>
                    <xdr:rowOff>0</xdr:rowOff>
                  </from>
                  <to>
                    <xdr:col>5</xdr:col>
                    <xdr:colOff>0</xdr:colOff>
                    <xdr:row>12</xdr:row>
                    <xdr:rowOff>0</xdr:rowOff>
                  </to>
                </anchor>
              </controlPr>
            </control>
          </mc:Choice>
        </mc:AlternateContent>
      </controls>
    </mc:Choice>
  </mc:AlternateConten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pageSetUpPr fitToPage="1"/>
  </sheetPr>
  <dimension ref="B7:S151"/>
  <sheetViews>
    <sheetView topLeftCell="A26" zoomScale="75" workbookViewId="0">
      <selection activeCell="F74" sqref="F74"/>
    </sheetView>
  </sheetViews>
  <sheetFormatPr defaultColWidth="9.109375" defaultRowHeight="13.2"/>
  <cols>
    <col min="1" max="1" width="9.109375" style="16"/>
    <col min="2" max="2" width="26.5546875" style="16" bestFit="1" customWidth="1"/>
    <col min="3" max="15" width="12" style="16" bestFit="1" customWidth="1"/>
    <col min="16" max="16" width="13.44140625" style="16" customWidth="1"/>
    <col min="17" max="17" width="14.33203125" style="16" customWidth="1"/>
    <col min="18" max="18" width="8.88671875" style="16" customWidth="1"/>
    <col min="19" max="19" width="12.33203125" style="16" customWidth="1"/>
    <col min="20" max="16384" width="9.109375" style="16"/>
  </cols>
  <sheetData>
    <row r="7" spans="2:19" ht="9" customHeight="1"/>
    <row r="8" spans="2:19">
      <c r="B8" s="290" t="s">
        <v>238</v>
      </c>
      <c r="C8" s="282"/>
      <c r="D8" s="282"/>
    </row>
    <row r="9" spans="2:19" ht="7.5" customHeight="1">
      <c r="B9" s="292"/>
    </row>
    <row r="10" spans="2:19" ht="14.25" customHeight="1">
      <c r="B10" s="391" t="s">
        <v>36</v>
      </c>
      <c r="F10" s="251"/>
    </row>
    <row r="11" spans="2:19">
      <c r="B11" s="147" t="s">
        <v>0</v>
      </c>
    </row>
    <row r="12" spans="2:19" ht="12.75" customHeight="1">
      <c r="B12" s="149" t="s">
        <v>72</v>
      </c>
      <c r="C12" s="149" t="s">
        <v>73</v>
      </c>
      <c r="D12" s="149" t="s">
        <v>265</v>
      </c>
      <c r="E12" s="149" t="s">
        <v>74</v>
      </c>
    </row>
    <row r="14" spans="2:19">
      <c r="C14" s="267" t="s">
        <v>37</v>
      </c>
      <c r="D14" s="267" t="s">
        <v>38</v>
      </c>
      <c r="E14" s="267" t="s">
        <v>33</v>
      </c>
      <c r="F14" s="267" t="s">
        <v>13</v>
      </c>
      <c r="G14" s="267" t="s">
        <v>14</v>
      </c>
      <c r="H14" s="267" t="s">
        <v>15</v>
      </c>
      <c r="I14" s="267" t="s">
        <v>16</v>
      </c>
      <c r="J14" s="267" t="s">
        <v>17</v>
      </c>
      <c r="K14" s="267" t="s">
        <v>18</v>
      </c>
      <c r="L14" s="267" t="s">
        <v>19</v>
      </c>
      <c r="M14" s="267" t="s">
        <v>20</v>
      </c>
      <c r="N14" s="267" t="s">
        <v>21</v>
      </c>
      <c r="O14" s="267" t="s">
        <v>39</v>
      </c>
      <c r="P14" s="267"/>
      <c r="Q14" s="267"/>
      <c r="R14" s="267"/>
      <c r="S14" s="41"/>
    </row>
    <row r="15" spans="2:19">
      <c r="B15" s="42" t="s">
        <v>75</v>
      </c>
      <c r="C15" s="13">
        <f>1384175/12</f>
        <v>115347.91666666667</v>
      </c>
      <c r="D15" s="13">
        <f t="shared" ref="D15:N15" si="0">1384175/12</f>
        <v>115347.91666666667</v>
      </c>
      <c r="E15" s="13">
        <f t="shared" si="0"/>
        <v>115347.91666666667</v>
      </c>
      <c r="F15" s="13">
        <f t="shared" si="0"/>
        <v>115347.91666666667</v>
      </c>
      <c r="G15" s="13">
        <f t="shared" si="0"/>
        <v>115347.91666666667</v>
      </c>
      <c r="H15" s="13">
        <f t="shared" si="0"/>
        <v>115347.91666666667</v>
      </c>
      <c r="I15" s="13">
        <f t="shared" si="0"/>
        <v>115347.91666666667</v>
      </c>
      <c r="J15" s="13">
        <f t="shared" si="0"/>
        <v>115347.91666666667</v>
      </c>
      <c r="K15" s="13">
        <f t="shared" si="0"/>
        <v>115347.91666666667</v>
      </c>
      <c r="L15" s="13">
        <f t="shared" si="0"/>
        <v>115347.91666666667</v>
      </c>
      <c r="M15" s="13">
        <f t="shared" si="0"/>
        <v>115347.91666666667</v>
      </c>
      <c r="N15" s="13">
        <f t="shared" si="0"/>
        <v>115347.91666666667</v>
      </c>
      <c r="O15" s="151">
        <f>SUM(C15:N15)</f>
        <v>1384175</v>
      </c>
      <c r="P15" s="151"/>
    </row>
    <row r="16" spans="2:19">
      <c r="B16" s="42" t="s">
        <v>76</v>
      </c>
      <c r="C16" s="13">
        <f>271775/12</f>
        <v>22647.916666666668</v>
      </c>
      <c r="D16" s="13">
        <f t="shared" ref="D16:N16" si="1">271775/12</f>
        <v>22647.916666666668</v>
      </c>
      <c r="E16" s="13">
        <f t="shared" si="1"/>
        <v>22647.916666666668</v>
      </c>
      <c r="F16" s="13">
        <f t="shared" si="1"/>
        <v>22647.916666666668</v>
      </c>
      <c r="G16" s="13">
        <f t="shared" si="1"/>
        <v>22647.916666666668</v>
      </c>
      <c r="H16" s="13">
        <f t="shared" si="1"/>
        <v>22647.916666666668</v>
      </c>
      <c r="I16" s="13">
        <f t="shared" si="1"/>
        <v>22647.916666666668</v>
      </c>
      <c r="J16" s="13">
        <f t="shared" si="1"/>
        <v>22647.916666666668</v>
      </c>
      <c r="K16" s="13">
        <f t="shared" si="1"/>
        <v>22647.916666666668</v>
      </c>
      <c r="L16" s="13">
        <f t="shared" si="1"/>
        <v>22647.916666666668</v>
      </c>
      <c r="M16" s="13">
        <f t="shared" si="1"/>
        <v>22647.916666666668</v>
      </c>
      <c r="N16" s="13">
        <f t="shared" si="1"/>
        <v>22647.916666666668</v>
      </c>
      <c r="O16" s="151">
        <f t="shared" ref="O16:O22" si="2">SUM(C16:N16)</f>
        <v>271774.99999999994</v>
      </c>
      <c r="P16" s="151"/>
    </row>
    <row r="17" spans="2:18">
      <c r="B17" s="42" t="s">
        <v>77</v>
      </c>
      <c r="C17" s="13">
        <f>+(4481)/12</f>
        <v>373.41666666666669</v>
      </c>
      <c r="D17" s="13">
        <f t="shared" ref="D17:N17" si="3">+(4481)/12</f>
        <v>373.41666666666669</v>
      </c>
      <c r="E17" s="13">
        <f t="shared" si="3"/>
        <v>373.41666666666669</v>
      </c>
      <c r="F17" s="13">
        <f t="shared" si="3"/>
        <v>373.41666666666669</v>
      </c>
      <c r="G17" s="13">
        <f t="shared" si="3"/>
        <v>373.41666666666669</v>
      </c>
      <c r="H17" s="13">
        <f t="shared" si="3"/>
        <v>373.41666666666669</v>
      </c>
      <c r="I17" s="13">
        <f t="shared" si="3"/>
        <v>373.41666666666669</v>
      </c>
      <c r="J17" s="13">
        <f t="shared" si="3"/>
        <v>373.41666666666669</v>
      </c>
      <c r="K17" s="13">
        <f t="shared" si="3"/>
        <v>373.41666666666669</v>
      </c>
      <c r="L17" s="13">
        <f t="shared" si="3"/>
        <v>373.41666666666669</v>
      </c>
      <c r="M17" s="13">
        <f t="shared" si="3"/>
        <v>373.41666666666669</v>
      </c>
      <c r="N17" s="13">
        <f t="shared" si="3"/>
        <v>373.41666666666669</v>
      </c>
      <c r="O17" s="151">
        <f t="shared" si="2"/>
        <v>4481</v>
      </c>
      <c r="P17" s="151"/>
    </row>
    <row r="18" spans="2:18" ht="12.75" customHeight="1">
      <c r="B18" s="42" t="s">
        <v>78</v>
      </c>
      <c r="C18" s="13">
        <f>502000/12</f>
        <v>41833.333333333336</v>
      </c>
      <c r="D18" s="13">
        <f t="shared" ref="D18:N18" si="4">502000/12</f>
        <v>41833.333333333336</v>
      </c>
      <c r="E18" s="13">
        <f t="shared" si="4"/>
        <v>41833.333333333336</v>
      </c>
      <c r="F18" s="13">
        <f t="shared" si="4"/>
        <v>41833.333333333336</v>
      </c>
      <c r="G18" s="13">
        <f t="shared" si="4"/>
        <v>41833.333333333336</v>
      </c>
      <c r="H18" s="13">
        <f t="shared" si="4"/>
        <v>41833.333333333336</v>
      </c>
      <c r="I18" s="13">
        <f t="shared" si="4"/>
        <v>41833.333333333336</v>
      </c>
      <c r="J18" s="13">
        <f t="shared" si="4"/>
        <v>41833.333333333336</v>
      </c>
      <c r="K18" s="13">
        <f t="shared" si="4"/>
        <v>41833.333333333336</v>
      </c>
      <c r="L18" s="13">
        <f t="shared" si="4"/>
        <v>41833.333333333336</v>
      </c>
      <c r="M18" s="13">
        <f t="shared" si="4"/>
        <v>41833.333333333336</v>
      </c>
      <c r="N18" s="13">
        <f t="shared" si="4"/>
        <v>41833.333333333336</v>
      </c>
      <c r="O18" s="151">
        <f t="shared" si="2"/>
        <v>501999.99999999994</v>
      </c>
      <c r="P18" s="151"/>
    </row>
    <row r="19" spans="2:18">
      <c r="B19" s="42" t="s">
        <v>56</v>
      </c>
      <c r="C19" s="13">
        <f>245000/12</f>
        <v>20416.666666666668</v>
      </c>
      <c r="D19" s="13">
        <f t="shared" ref="D19:N19" si="5">245000/12</f>
        <v>20416.666666666668</v>
      </c>
      <c r="E19" s="13">
        <f t="shared" si="5"/>
        <v>20416.666666666668</v>
      </c>
      <c r="F19" s="13">
        <f t="shared" si="5"/>
        <v>20416.666666666668</v>
      </c>
      <c r="G19" s="13">
        <f t="shared" si="5"/>
        <v>20416.666666666668</v>
      </c>
      <c r="H19" s="13">
        <f t="shared" si="5"/>
        <v>20416.666666666668</v>
      </c>
      <c r="I19" s="13">
        <f t="shared" si="5"/>
        <v>20416.666666666668</v>
      </c>
      <c r="J19" s="13">
        <f t="shared" si="5"/>
        <v>20416.666666666668</v>
      </c>
      <c r="K19" s="13">
        <f t="shared" si="5"/>
        <v>20416.666666666668</v>
      </c>
      <c r="L19" s="13">
        <f t="shared" si="5"/>
        <v>20416.666666666668</v>
      </c>
      <c r="M19" s="13">
        <f t="shared" si="5"/>
        <v>20416.666666666668</v>
      </c>
      <c r="N19" s="13">
        <f t="shared" si="5"/>
        <v>20416.666666666668</v>
      </c>
      <c r="O19" s="151">
        <f t="shared" si="2"/>
        <v>244999.99999999997</v>
      </c>
      <c r="P19" s="151"/>
    </row>
    <row r="20" spans="2:18">
      <c r="B20" s="42" t="s">
        <v>79</v>
      </c>
      <c r="C20" s="13">
        <f>100000/12</f>
        <v>8333.3333333333339</v>
      </c>
      <c r="D20" s="13">
        <f t="shared" ref="D20:N20" si="6">100000/12</f>
        <v>8333.3333333333339</v>
      </c>
      <c r="E20" s="13">
        <f t="shared" si="6"/>
        <v>8333.3333333333339</v>
      </c>
      <c r="F20" s="13">
        <f t="shared" si="6"/>
        <v>8333.3333333333339</v>
      </c>
      <c r="G20" s="13">
        <f t="shared" si="6"/>
        <v>8333.3333333333339</v>
      </c>
      <c r="H20" s="13">
        <f t="shared" si="6"/>
        <v>8333.3333333333339</v>
      </c>
      <c r="I20" s="13">
        <f t="shared" si="6"/>
        <v>8333.3333333333339</v>
      </c>
      <c r="J20" s="13">
        <f t="shared" si="6"/>
        <v>8333.3333333333339</v>
      </c>
      <c r="K20" s="13">
        <f t="shared" si="6"/>
        <v>8333.3333333333339</v>
      </c>
      <c r="L20" s="13">
        <f t="shared" si="6"/>
        <v>8333.3333333333339</v>
      </c>
      <c r="M20" s="13">
        <f t="shared" si="6"/>
        <v>8333.3333333333339</v>
      </c>
      <c r="N20" s="13">
        <f t="shared" si="6"/>
        <v>8333.3333333333339</v>
      </c>
      <c r="O20" s="151">
        <f t="shared" si="2"/>
        <v>99999.999999999985</v>
      </c>
      <c r="P20" s="151"/>
    </row>
    <row r="21" spans="2:18">
      <c r="B21" s="42" t="s">
        <v>80</v>
      </c>
      <c r="C21" s="13">
        <f>122406/12</f>
        <v>10200.5</v>
      </c>
      <c r="D21" s="13">
        <f t="shared" ref="D21:N21" si="7">122406/12</f>
        <v>10200.5</v>
      </c>
      <c r="E21" s="13">
        <f t="shared" si="7"/>
        <v>10200.5</v>
      </c>
      <c r="F21" s="13">
        <f t="shared" si="7"/>
        <v>10200.5</v>
      </c>
      <c r="G21" s="13">
        <f t="shared" si="7"/>
        <v>10200.5</v>
      </c>
      <c r="H21" s="13">
        <f t="shared" si="7"/>
        <v>10200.5</v>
      </c>
      <c r="I21" s="13">
        <f t="shared" si="7"/>
        <v>10200.5</v>
      </c>
      <c r="J21" s="13">
        <f t="shared" si="7"/>
        <v>10200.5</v>
      </c>
      <c r="K21" s="13">
        <f t="shared" si="7"/>
        <v>10200.5</v>
      </c>
      <c r="L21" s="13">
        <f t="shared" si="7"/>
        <v>10200.5</v>
      </c>
      <c r="M21" s="13">
        <f t="shared" si="7"/>
        <v>10200.5</v>
      </c>
      <c r="N21" s="13">
        <f t="shared" si="7"/>
        <v>10200.5</v>
      </c>
      <c r="O21" s="151">
        <f t="shared" si="2"/>
        <v>122406</v>
      </c>
      <c r="P21" s="151"/>
    </row>
    <row r="22" spans="2:18">
      <c r="B22" s="42" t="s">
        <v>81</v>
      </c>
      <c r="C22" s="13">
        <f>+(20000)/12</f>
        <v>1666.6666666666667</v>
      </c>
      <c r="D22" s="13">
        <f t="shared" ref="D22:N22" si="8">+(20000)/12</f>
        <v>1666.6666666666667</v>
      </c>
      <c r="E22" s="13">
        <f t="shared" si="8"/>
        <v>1666.6666666666667</v>
      </c>
      <c r="F22" s="13">
        <f t="shared" si="8"/>
        <v>1666.6666666666667</v>
      </c>
      <c r="G22" s="13">
        <f t="shared" si="8"/>
        <v>1666.6666666666667</v>
      </c>
      <c r="H22" s="13">
        <f t="shared" si="8"/>
        <v>1666.6666666666667</v>
      </c>
      <c r="I22" s="13">
        <f t="shared" si="8"/>
        <v>1666.6666666666667</v>
      </c>
      <c r="J22" s="13">
        <f t="shared" si="8"/>
        <v>1666.6666666666667</v>
      </c>
      <c r="K22" s="13">
        <f t="shared" si="8"/>
        <v>1666.6666666666667</v>
      </c>
      <c r="L22" s="13">
        <f t="shared" si="8"/>
        <v>1666.6666666666667</v>
      </c>
      <c r="M22" s="13">
        <f t="shared" si="8"/>
        <v>1666.6666666666667</v>
      </c>
      <c r="N22" s="13">
        <f t="shared" si="8"/>
        <v>1666.6666666666667</v>
      </c>
      <c r="O22" s="151">
        <f t="shared" si="2"/>
        <v>20000</v>
      </c>
      <c r="P22" s="151"/>
    </row>
    <row r="23" spans="2:18">
      <c r="B23" s="42" t="s">
        <v>11</v>
      </c>
      <c r="C23" s="13">
        <f>'Adaytum by Month'!C27</f>
        <v>0</v>
      </c>
      <c r="D23" s="151">
        <v>0</v>
      </c>
      <c r="E23" s="151">
        <v>0</v>
      </c>
      <c r="F23" s="151">
        <v>0</v>
      </c>
      <c r="G23" s="151">
        <v>0</v>
      </c>
      <c r="H23" s="151">
        <v>0</v>
      </c>
      <c r="I23" s="151">
        <v>0</v>
      </c>
      <c r="J23" s="151">
        <v>0</v>
      </c>
      <c r="K23" s="151">
        <v>0</v>
      </c>
      <c r="L23" s="151">
        <v>0</v>
      </c>
      <c r="M23" s="151">
        <v>0</v>
      </c>
      <c r="N23" s="151">
        <v>0</v>
      </c>
      <c r="O23" s="151">
        <v>0</v>
      </c>
      <c r="P23" s="151"/>
    </row>
    <row r="24" spans="2:18" ht="13.8" thickBot="1">
      <c r="B24" s="38" t="s">
        <v>12</v>
      </c>
      <c r="C24" s="393">
        <f>SUM(C15:C23)</f>
        <v>220819.75</v>
      </c>
      <c r="D24" s="393">
        <f t="shared" ref="D24:O24" si="9">SUM(D15:D23)</f>
        <v>220819.75</v>
      </c>
      <c r="E24" s="393">
        <f t="shared" si="9"/>
        <v>220819.75</v>
      </c>
      <c r="F24" s="393">
        <f t="shared" si="9"/>
        <v>220819.75</v>
      </c>
      <c r="G24" s="393">
        <f t="shared" si="9"/>
        <v>220819.75</v>
      </c>
      <c r="H24" s="393">
        <f t="shared" si="9"/>
        <v>220819.75</v>
      </c>
      <c r="I24" s="393">
        <f t="shared" si="9"/>
        <v>220819.75</v>
      </c>
      <c r="J24" s="393">
        <f t="shared" si="9"/>
        <v>220819.75</v>
      </c>
      <c r="K24" s="393">
        <f t="shared" si="9"/>
        <v>220819.75</v>
      </c>
      <c r="L24" s="393">
        <f t="shared" si="9"/>
        <v>220819.75</v>
      </c>
      <c r="M24" s="393">
        <f t="shared" si="9"/>
        <v>220819.75</v>
      </c>
      <c r="N24" s="393">
        <f t="shared" si="9"/>
        <v>220819.75</v>
      </c>
      <c r="O24" s="393">
        <f t="shared" si="9"/>
        <v>2649837</v>
      </c>
      <c r="P24" s="393"/>
      <c r="Q24" s="394"/>
      <c r="R24" s="394"/>
    </row>
    <row r="25" spans="2:18" ht="13.8" thickTop="1">
      <c r="B25" s="263"/>
      <c r="C25" s="151"/>
      <c r="D25" s="151"/>
      <c r="E25" s="151"/>
      <c r="F25" s="151"/>
      <c r="G25" s="151"/>
      <c r="H25" s="151"/>
      <c r="I25" s="151"/>
      <c r="J25" s="151"/>
      <c r="K25" s="151"/>
      <c r="L25" s="151"/>
      <c r="M25" s="151"/>
      <c r="N25" s="151"/>
      <c r="O25" s="151"/>
    </row>
    <row r="26" spans="2:18">
      <c r="B26" s="391" t="s">
        <v>260</v>
      </c>
      <c r="C26" s="151"/>
      <c r="D26" s="151"/>
      <c r="E26" s="151"/>
      <c r="F26" s="151"/>
      <c r="G26" s="151"/>
      <c r="H26" s="151"/>
      <c r="I26" s="151"/>
      <c r="J26" s="151"/>
      <c r="K26" s="151"/>
      <c r="L26" s="151"/>
      <c r="M26" s="151"/>
      <c r="N26" s="151"/>
      <c r="O26" s="151"/>
    </row>
    <row r="27" spans="2:18">
      <c r="B27" s="17" t="s">
        <v>0</v>
      </c>
      <c r="C27" s="151"/>
      <c r="D27" s="151"/>
      <c r="E27" s="151"/>
      <c r="F27" s="151"/>
      <c r="G27" s="151"/>
      <c r="H27" s="151"/>
      <c r="I27" s="151"/>
      <c r="J27" s="151"/>
      <c r="K27" s="151"/>
      <c r="L27" s="151"/>
      <c r="M27" s="151"/>
      <c r="N27" s="151"/>
      <c r="O27" s="151"/>
    </row>
    <row r="28" spans="2:18" ht="12.75" customHeight="1">
      <c r="B28" s="152" t="s">
        <v>82</v>
      </c>
      <c r="C28" s="19" t="s">
        <v>265</v>
      </c>
      <c r="D28" s="19" t="s">
        <v>1</v>
      </c>
      <c r="E28" s="151"/>
      <c r="F28" s="151"/>
      <c r="G28" s="151"/>
      <c r="H28" s="151"/>
      <c r="I28" s="151"/>
      <c r="J28" s="151"/>
      <c r="K28" s="151"/>
      <c r="L28" s="151"/>
      <c r="M28" s="151"/>
      <c r="N28" s="151"/>
      <c r="O28" s="151"/>
    </row>
    <row r="29" spans="2:18">
      <c r="C29" s="151"/>
      <c r="D29" s="151"/>
      <c r="E29" s="151"/>
      <c r="F29" s="151"/>
      <c r="G29" s="151"/>
      <c r="H29" s="151"/>
      <c r="I29" s="151"/>
      <c r="J29" s="151"/>
      <c r="K29" s="151"/>
      <c r="L29" s="151"/>
      <c r="M29" s="151"/>
      <c r="N29" s="151"/>
      <c r="O29" s="151"/>
    </row>
    <row r="30" spans="2:18">
      <c r="C30" s="532" t="s">
        <v>37</v>
      </c>
      <c r="D30" s="532" t="s">
        <v>38</v>
      </c>
      <c r="E30" s="532" t="s">
        <v>33</v>
      </c>
      <c r="F30" s="532" t="s">
        <v>13</v>
      </c>
      <c r="G30" s="532" t="s">
        <v>14</v>
      </c>
      <c r="H30" s="532" t="s">
        <v>15</v>
      </c>
      <c r="I30" s="532" t="s">
        <v>16</v>
      </c>
      <c r="J30" s="532" t="s">
        <v>17</v>
      </c>
      <c r="K30" s="533" t="s">
        <v>18</v>
      </c>
      <c r="L30" s="533" t="s">
        <v>19</v>
      </c>
      <c r="M30" s="533" t="s">
        <v>20</v>
      </c>
      <c r="N30" s="533" t="s">
        <v>21</v>
      </c>
      <c r="O30" s="5" t="s">
        <v>22</v>
      </c>
      <c r="P30" s="41" t="s">
        <v>248</v>
      </c>
      <c r="Q30" s="41" t="s">
        <v>250</v>
      </c>
    </row>
    <row r="31" spans="2:18" ht="13.8">
      <c r="B31" s="42" t="s">
        <v>2</v>
      </c>
      <c r="C31" s="534">
        <v>273488.65000000002</v>
      </c>
      <c r="D31" s="534">
        <v>192916.37</v>
      </c>
      <c r="E31" s="534">
        <v>245887.86</v>
      </c>
      <c r="F31" s="534">
        <v>393754.8</v>
      </c>
      <c r="G31" s="534">
        <v>200296.5</v>
      </c>
      <c r="H31" s="534">
        <v>141506.57999999999</v>
      </c>
      <c r="I31" s="534">
        <v>186815</v>
      </c>
      <c r="J31" s="534">
        <v>196041.46</v>
      </c>
      <c r="K31" s="535">
        <v>296101.64166666666</v>
      </c>
      <c r="L31" s="535">
        <v>315828.44166666671</v>
      </c>
      <c r="M31" s="535">
        <v>315828.44166666671</v>
      </c>
      <c r="N31" s="535">
        <v>315828.44166666671</v>
      </c>
      <c r="O31" s="535">
        <v>3074294.1866666665</v>
      </c>
      <c r="P31" s="425">
        <f>+'Input Data'!H57</f>
        <v>0</v>
      </c>
      <c r="Q31" s="426">
        <f>SUM(O31:P31)</f>
        <v>3074294.1866666665</v>
      </c>
    </row>
    <row r="32" spans="2:18" ht="13.8">
      <c r="B32" s="42" t="s">
        <v>4</v>
      </c>
      <c r="C32" s="536">
        <v>9454.2000000000007</v>
      </c>
      <c r="D32" s="536">
        <v>27605.9</v>
      </c>
      <c r="E32" s="536">
        <v>45642.43</v>
      </c>
      <c r="F32" s="536">
        <v>43687.839999999997</v>
      </c>
      <c r="G32" s="536">
        <v>26480.92</v>
      </c>
      <c r="H32" s="536">
        <v>36771.96</v>
      </c>
      <c r="I32" s="536">
        <v>50547.97</v>
      </c>
      <c r="J32" s="536">
        <v>17189.09</v>
      </c>
      <c r="K32" s="537">
        <v>198765</v>
      </c>
      <c r="L32" s="537">
        <v>198765</v>
      </c>
      <c r="M32" s="537">
        <v>198765</v>
      </c>
      <c r="N32" s="537">
        <v>198765</v>
      </c>
      <c r="O32" s="537">
        <v>1052440.31</v>
      </c>
      <c r="P32" s="425">
        <f>+'Input Data'!H59</f>
        <v>0</v>
      </c>
      <c r="Q32" s="426">
        <f t="shared" ref="Q32:Q39" si="10">SUM(O32:P32)</f>
        <v>1052440.31</v>
      </c>
    </row>
    <row r="33" spans="2:17" ht="13.8">
      <c r="B33" s="42" t="s">
        <v>5</v>
      </c>
      <c r="C33" s="536">
        <v>8038.87</v>
      </c>
      <c r="D33" s="536">
        <v>1827.13</v>
      </c>
      <c r="E33" s="536">
        <v>7785.33</v>
      </c>
      <c r="F33" s="536">
        <v>1301.98</v>
      </c>
      <c r="G33" s="536">
        <v>832.91</v>
      </c>
      <c r="H33" s="536">
        <v>930.78</v>
      </c>
      <c r="I33" s="536">
        <v>4894.4799999999996</v>
      </c>
      <c r="J33" s="536">
        <v>9519.27</v>
      </c>
      <c r="K33" s="537">
        <v>4996</v>
      </c>
      <c r="L33" s="537">
        <v>4996</v>
      </c>
      <c r="M33" s="537">
        <v>4996</v>
      </c>
      <c r="N33" s="537">
        <v>4996</v>
      </c>
      <c r="O33" s="537">
        <v>55114.75</v>
      </c>
      <c r="P33" s="425">
        <f>+'Input Data'!H61</f>
        <v>0</v>
      </c>
      <c r="Q33" s="426">
        <f t="shared" si="10"/>
        <v>55114.75</v>
      </c>
    </row>
    <row r="34" spans="2:17" ht="13.8">
      <c r="B34" s="42" t="s">
        <v>6</v>
      </c>
      <c r="C34" s="536">
        <v>78986.149999999994</v>
      </c>
      <c r="D34" s="536">
        <v>133337.01999999999</v>
      </c>
      <c r="E34" s="536">
        <v>78023.710000000006</v>
      </c>
      <c r="F34" s="536">
        <v>152519.09</v>
      </c>
      <c r="G34" s="536">
        <v>34053.129999999997</v>
      </c>
      <c r="H34" s="536">
        <v>40057.25</v>
      </c>
      <c r="I34" s="536">
        <v>197684.55</v>
      </c>
      <c r="J34" s="536">
        <v>123224.59</v>
      </c>
      <c r="K34" s="537">
        <v>125582</v>
      </c>
      <c r="L34" s="537">
        <v>125582</v>
      </c>
      <c r="M34" s="537">
        <v>125582</v>
      </c>
      <c r="N34" s="537">
        <v>125582</v>
      </c>
      <c r="O34" s="537">
        <v>1340213.49</v>
      </c>
      <c r="P34" s="425">
        <f>+'Input Data'!H63</f>
        <v>0</v>
      </c>
      <c r="Q34" s="426">
        <f t="shared" si="10"/>
        <v>1340213.49</v>
      </c>
    </row>
    <row r="35" spans="2:17" ht="13.8">
      <c r="B35" s="42" t="s">
        <v>7</v>
      </c>
      <c r="C35" s="536">
        <v>22098.37</v>
      </c>
      <c r="D35" s="536">
        <v>11431.29</v>
      </c>
      <c r="E35" s="536">
        <v>181549.67</v>
      </c>
      <c r="F35" s="536">
        <v>7912.5</v>
      </c>
      <c r="G35" s="536">
        <v>3700.14</v>
      </c>
      <c r="H35" s="536">
        <v>41142.71</v>
      </c>
      <c r="I35" s="536">
        <v>15036.74</v>
      </c>
      <c r="J35" s="536">
        <v>328993.15000000002</v>
      </c>
      <c r="K35" s="537">
        <v>615583</v>
      </c>
      <c r="L35" s="537">
        <v>615583</v>
      </c>
      <c r="M35" s="537">
        <v>615583</v>
      </c>
      <c r="N35" s="537">
        <v>615583</v>
      </c>
      <c r="O35" s="537">
        <v>3074196.57</v>
      </c>
      <c r="P35" s="425">
        <f>+'Input Data'!H65</f>
        <v>0</v>
      </c>
      <c r="Q35" s="426">
        <f t="shared" si="10"/>
        <v>3074196.57</v>
      </c>
    </row>
    <row r="36" spans="2:17" ht="13.8">
      <c r="B36" s="42" t="s">
        <v>8</v>
      </c>
      <c r="C36" s="536">
        <v>17385.79</v>
      </c>
      <c r="D36" s="536">
        <v>-20806.34</v>
      </c>
      <c r="E36" s="536">
        <v>28152.91</v>
      </c>
      <c r="F36" s="536">
        <v>23128.98</v>
      </c>
      <c r="G36" s="536">
        <v>11680.23</v>
      </c>
      <c r="H36" s="536">
        <v>27933.11</v>
      </c>
      <c r="I36" s="536">
        <v>20941.080000000002</v>
      </c>
      <c r="J36" s="536">
        <v>0</v>
      </c>
      <c r="K36" s="537">
        <v>5000</v>
      </c>
      <c r="L36" s="537">
        <v>5000</v>
      </c>
      <c r="M36" s="537">
        <v>5000</v>
      </c>
      <c r="N36" s="537">
        <v>5000</v>
      </c>
      <c r="O36" s="537">
        <v>128415.76</v>
      </c>
      <c r="P36" s="425">
        <f>+'Input Data'!H67</f>
        <v>0</v>
      </c>
      <c r="Q36" s="426">
        <f t="shared" si="10"/>
        <v>128415.76</v>
      </c>
    </row>
    <row r="37" spans="2:17" ht="13.8">
      <c r="B37" s="42" t="s">
        <v>9</v>
      </c>
      <c r="C37" s="536">
        <v>5361.69</v>
      </c>
      <c r="D37" s="536">
        <v>12875.81</v>
      </c>
      <c r="E37" s="536">
        <v>6736.32</v>
      </c>
      <c r="F37" s="536">
        <v>84356.66</v>
      </c>
      <c r="G37" s="536">
        <v>7075.33</v>
      </c>
      <c r="H37" s="536">
        <v>-1111.92</v>
      </c>
      <c r="I37" s="536">
        <v>26177</v>
      </c>
      <c r="J37" s="536">
        <v>14867.98</v>
      </c>
      <c r="K37" s="537">
        <v>16060</v>
      </c>
      <c r="L37" s="537">
        <v>16060</v>
      </c>
      <c r="M37" s="537">
        <v>16060</v>
      </c>
      <c r="N37" s="537">
        <v>16060</v>
      </c>
      <c r="O37" s="537">
        <v>220578.87</v>
      </c>
      <c r="P37" s="425">
        <f>+'Input Data'!H69</f>
        <v>0</v>
      </c>
      <c r="Q37" s="426">
        <f t="shared" si="10"/>
        <v>220578.87</v>
      </c>
    </row>
    <row r="38" spans="2:17" ht="13.8">
      <c r="B38" s="42" t="s">
        <v>10</v>
      </c>
      <c r="C38" s="536">
        <v>2649.07</v>
      </c>
      <c r="D38" s="536">
        <v>2145.1799999999998</v>
      </c>
      <c r="E38" s="536">
        <v>2792.03</v>
      </c>
      <c r="F38" s="536">
        <v>281.10000000000002</v>
      </c>
      <c r="G38" s="536">
        <v>5017.08</v>
      </c>
      <c r="H38" s="536">
        <v>2704.37</v>
      </c>
      <c r="I38" s="536">
        <v>5398.28</v>
      </c>
      <c r="J38" s="536">
        <v>5834.36</v>
      </c>
      <c r="K38" s="537">
        <v>10093</v>
      </c>
      <c r="L38" s="537">
        <v>10093</v>
      </c>
      <c r="M38" s="537">
        <v>10093</v>
      </c>
      <c r="N38" s="537">
        <v>10093</v>
      </c>
      <c r="O38" s="537">
        <v>67193.47</v>
      </c>
      <c r="P38" s="425">
        <f>+'Input Data'!H71</f>
        <v>0</v>
      </c>
      <c r="Q38" s="426">
        <f t="shared" si="10"/>
        <v>67193.47</v>
      </c>
    </row>
    <row r="39" spans="2:17" ht="13.8">
      <c r="B39" s="148" t="s">
        <v>11</v>
      </c>
      <c r="C39" s="536">
        <v>0</v>
      </c>
      <c r="D39" s="536">
        <v>0</v>
      </c>
      <c r="E39" s="536">
        <v>0</v>
      </c>
      <c r="F39" s="536">
        <v>0</v>
      </c>
      <c r="G39" s="536">
        <v>0</v>
      </c>
      <c r="H39" s="536">
        <v>0</v>
      </c>
      <c r="I39" s="536">
        <v>0</v>
      </c>
      <c r="J39" s="536">
        <v>0</v>
      </c>
      <c r="K39" s="537">
        <v>0</v>
      </c>
      <c r="L39" s="537">
        <v>0</v>
      </c>
      <c r="M39" s="537">
        <v>0</v>
      </c>
      <c r="N39" s="537">
        <v>0</v>
      </c>
      <c r="O39" s="537">
        <v>0</v>
      </c>
      <c r="P39" s="425">
        <f>+'Input Data'!H73</f>
        <v>0</v>
      </c>
      <c r="Q39" s="426">
        <f t="shared" si="10"/>
        <v>0</v>
      </c>
    </row>
    <row r="40" spans="2:17" ht="14.4" thickBot="1">
      <c r="B40" s="38" t="s">
        <v>12</v>
      </c>
      <c r="C40" s="538">
        <v>417462.79</v>
      </c>
      <c r="D40" s="538">
        <v>361332.36</v>
      </c>
      <c r="E40" s="538">
        <v>596570.26</v>
      </c>
      <c r="F40" s="538">
        <v>706942.95</v>
      </c>
      <c r="G40" s="538">
        <v>289136.24</v>
      </c>
      <c r="H40" s="538">
        <v>289934.84000000003</v>
      </c>
      <c r="I40" s="538">
        <v>507495.1</v>
      </c>
      <c r="J40" s="538">
        <v>695669.9</v>
      </c>
      <c r="K40" s="539">
        <v>1272180.6416666666</v>
      </c>
      <c r="L40" s="539">
        <v>1291907.4416666667</v>
      </c>
      <c r="M40" s="539">
        <v>1291907.4416666667</v>
      </c>
      <c r="N40" s="539">
        <v>1291907.4416666667</v>
      </c>
      <c r="O40" s="539">
        <v>9012447.4066666663</v>
      </c>
      <c r="P40" s="427">
        <f>SUM(P31:P39)</f>
        <v>0</v>
      </c>
      <c r="Q40" s="428">
        <f>SUM(Q31:Q39)</f>
        <v>9012447.4066666663</v>
      </c>
    </row>
    <row r="41" spans="2:17" ht="13.8" thickTop="1">
      <c r="C41" s="151"/>
      <c r="D41" s="151"/>
      <c r="E41" s="151"/>
      <c r="F41" s="151"/>
      <c r="G41" s="151"/>
      <c r="H41" s="151"/>
      <c r="I41" s="151"/>
      <c r="J41" s="151"/>
      <c r="K41" s="151"/>
      <c r="L41" s="151"/>
      <c r="M41" s="151"/>
      <c r="N41" s="151"/>
      <c r="O41" s="151"/>
    </row>
    <row r="42" spans="2:17" ht="13.8">
      <c r="B42" s="389" t="s">
        <v>196</v>
      </c>
      <c r="C42" s="151"/>
      <c r="D42" s="151"/>
      <c r="E42" s="151"/>
      <c r="F42" s="151"/>
      <c r="G42" s="151"/>
      <c r="H42" s="151"/>
      <c r="I42" s="151"/>
      <c r="J42" s="151"/>
      <c r="K42" s="151"/>
      <c r="L42" s="151"/>
      <c r="M42" s="151"/>
      <c r="N42" s="151" t="s">
        <v>252</v>
      </c>
      <c r="O42" s="151"/>
      <c r="P42" s="429">
        <f>(+P40/9)/1000</f>
        <v>0</v>
      </c>
    </row>
    <row r="43" spans="2:17">
      <c r="B43" s="17" t="s">
        <v>0</v>
      </c>
      <c r="C43" s="151"/>
      <c r="D43" s="151"/>
      <c r="E43" s="151"/>
      <c r="F43" s="151"/>
      <c r="G43" s="151"/>
      <c r="H43" s="151"/>
      <c r="I43" s="151"/>
      <c r="J43" s="151"/>
      <c r="K43" s="151"/>
      <c r="L43" s="151"/>
      <c r="M43" s="151"/>
      <c r="N43" s="151"/>
      <c r="O43" s="151"/>
    </row>
    <row r="44" spans="2:17" ht="12.75" customHeight="1">
      <c r="B44" s="378" t="s">
        <v>237</v>
      </c>
      <c r="C44" s="19" t="s">
        <v>265</v>
      </c>
      <c r="D44" s="19" t="s">
        <v>1</v>
      </c>
      <c r="E44" s="151"/>
      <c r="F44" s="151"/>
      <c r="G44" s="151"/>
      <c r="H44" s="151"/>
      <c r="I44" s="151"/>
      <c r="J44" s="151"/>
      <c r="K44" s="151"/>
      <c r="L44" s="151"/>
      <c r="M44" s="151"/>
      <c r="N44" s="151"/>
      <c r="O44" s="151"/>
    </row>
    <row r="45" spans="2:17">
      <c r="C45" s="151"/>
      <c r="D45" s="151"/>
      <c r="E45" s="151"/>
      <c r="F45" s="151"/>
      <c r="G45" s="151"/>
      <c r="H45" s="151"/>
      <c r="I45" s="151"/>
      <c r="J45" s="151"/>
      <c r="K45" s="151"/>
      <c r="L45" s="151"/>
      <c r="M45" s="151"/>
      <c r="N45" s="151"/>
      <c r="O45" s="151"/>
    </row>
    <row r="46" spans="2:17">
      <c r="C46" s="532" t="s">
        <v>37</v>
      </c>
      <c r="D46" s="532" t="s">
        <v>38</v>
      </c>
      <c r="E46" s="532" t="s">
        <v>33</v>
      </c>
      <c r="F46" s="532" t="s">
        <v>13</v>
      </c>
      <c r="G46" s="532" t="s">
        <v>14</v>
      </c>
      <c r="H46" s="532" t="s">
        <v>15</v>
      </c>
      <c r="I46" s="532" t="s">
        <v>16</v>
      </c>
      <c r="J46" s="532" t="s">
        <v>17</v>
      </c>
      <c r="K46" s="533" t="s">
        <v>18</v>
      </c>
      <c r="L46" s="533" t="s">
        <v>19</v>
      </c>
      <c r="M46" s="533" t="s">
        <v>20</v>
      </c>
      <c r="N46" s="533" t="s">
        <v>21</v>
      </c>
      <c r="O46" s="5" t="s">
        <v>22</v>
      </c>
    </row>
    <row r="47" spans="2:17">
      <c r="B47" s="42" t="s">
        <v>2</v>
      </c>
      <c r="C47" s="540">
        <v>430587.68656716408</v>
      </c>
      <c r="D47" s="540">
        <v>435790.76492537308</v>
      </c>
      <c r="E47" s="540">
        <v>435790.76492537308</v>
      </c>
      <c r="F47" s="540">
        <v>435790.76492537308</v>
      </c>
      <c r="G47" s="540">
        <v>435790.76492537308</v>
      </c>
      <c r="H47" s="540">
        <v>435790.76492537308</v>
      </c>
      <c r="I47" s="540">
        <v>446891.51119402982</v>
      </c>
      <c r="J47" s="540">
        <v>446891.51119402982</v>
      </c>
      <c r="K47" s="541">
        <v>446891.51119402982</v>
      </c>
      <c r="L47" s="541">
        <v>446891.51119402982</v>
      </c>
      <c r="M47" s="541">
        <v>446891.51119402982</v>
      </c>
      <c r="N47" s="541">
        <v>446891.51119402982</v>
      </c>
      <c r="O47" s="541">
        <v>5290890.5783582088</v>
      </c>
    </row>
    <row r="48" spans="2:17">
      <c r="B48" s="42" t="s">
        <v>4</v>
      </c>
      <c r="C48" s="542">
        <v>166170.14925373084</v>
      </c>
      <c r="D48" s="542">
        <v>166168.65671641784</v>
      </c>
      <c r="E48" s="542">
        <v>166168.65671641784</v>
      </c>
      <c r="F48" s="542">
        <v>166170.14925373084</v>
      </c>
      <c r="G48" s="542">
        <v>166168.65671641784</v>
      </c>
      <c r="H48" s="542">
        <v>166168.65671641784</v>
      </c>
      <c r="I48" s="542">
        <v>166170.14925373084</v>
      </c>
      <c r="J48" s="542">
        <v>166168.65671641784</v>
      </c>
      <c r="K48" s="543">
        <v>166168.65671641784</v>
      </c>
      <c r="L48" s="543">
        <v>166170.14925373084</v>
      </c>
      <c r="M48" s="543">
        <v>166168.65671641784</v>
      </c>
      <c r="N48" s="543">
        <v>166168.65671641784</v>
      </c>
      <c r="O48" s="543">
        <v>1994029.8507462661</v>
      </c>
    </row>
    <row r="49" spans="2:15">
      <c r="B49" s="42" t="s">
        <v>5</v>
      </c>
      <c r="C49" s="542">
        <v>3731.34328358209</v>
      </c>
      <c r="D49" s="542">
        <v>3731.34328358209</v>
      </c>
      <c r="E49" s="542">
        <v>3731.34328358209</v>
      </c>
      <c r="F49" s="542">
        <v>3731.34328358209</v>
      </c>
      <c r="G49" s="542">
        <v>3731.34328358209</v>
      </c>
      <c r="H49" s="542">
        <v>3731.34328358209</v>
      </c>
      <c r="I49" s="542">
        <v>3731.34328358209</v>
      </c>
      <c r="J49" s="542">
        <v>3731.34328358209</v>
      </c>
      <c r="K49" s="543">
        <v>3731.34328358209</v>
      </c>
      <c r="L49" s="543">
        <v>3731.34328358209</v>
      </c>
      <c r="M49" s="543">
        <v>3731.34328358209</v>
      </c>
      <c r="N49" s="543">
        <v>3731.34328358209</v>
      </c>
      <c r="O49" s="543">
        <v>44776.119402985081</v>
      </c>
    </row>
    <row r="50" spans="2:15">
      <c r="B50" s="42" t="s">
        <v>6</v>
      </c>
      <c r="C50" s="542">
        <v>106326.8656716418</v>
      </c>
      <c r="D50" s="542">
        <v>106326.8656716418</v>
      </c>
      <c r="E50" s="542">
        <v>106326.8656716418</v>
      </c>
      <c r="F50" s="542">
        <v>106326.8656716418</v>
      </c>
      <c r="G50" s="542">
        <v>106326.8656716418</v>
      </c>
      <c r="H50" s="542">
        <v>106326.8656716418</v>
      </c>
      <c r="I50" s="542">
        <v>106326.8656716418</v>
      </c>
      <c r="J50" s="542">
        <v>106326.8656716418</v>
      </c>
      <c r="K50" s="543">
        <v>106326.8656716418</v>
      </c>
      <c r="L50" s="543">
        <v>106326.8656716418</v>
      </c>
      <c r="M50" s="543">
        <v>106326.8656716418</v>
      </c>
      <c r="N50" s="543">
        <v>106326.8656716418</v>
      </c>
      <c r="O50" s="543">
        <v>1275922.3880597018</v>
      </c>
    </row>
    <row r="51" spans="2:15">
      <c r="B51" s="42" t="s">
        <v>7</v>
      </c>
      <c r="C51" s="542">
        <v>371277.611940298</v>
      </c>
      <c r="D51" s="542">
        <v>371277.611940298</v>
      </c>
      <c r="E51" s="542">
        <v>371277.611940298</v>
      </c>
      <c r="F51" s="542">
        <v>371277.611940298</v>
      </c>
      <c r="G51" s="542">
        <v>371277.611940298</v>
      </c>
      <c r="H51" s="542">
        <v>371277.611940298</v>
      </c>
      <c r="I51" s="542">
        <v>371277.611940298</v>
      </c>
      <c r="J51" s="542">
        <v>371277.611940298</v>
      </c>
      <c r="K51" s="543">
        <v>371277.611940298</v>
      </c>
      <c r="L51" s="543">
        <v>371277.611940298</v>
      </c>
      <c r="M51" s="543">
        <v>371277.611940298</v>
      </c>
      <c r="N51" s="543">
        <v>371277.611940298</v>
      </c>
      <c r="O51" s="543">
        <v>4455331.343283576</v>
      </c>
    </row>
    <row r="52" spans="2:15">
      <c r="B52" s="42" t="s">
        <v>8</v>
      </c>
      <c r="C52" s="542">
        <v>0</v>
      </c>
      <c r="D52" s="542">
        <v>0</v>
      </c>
      <c r="E52" s="542">
        <v>0</v>
      </c>
      <c r="F52" s="542">
        <v>0</v>
      </c>
      <c r="G52" s="542">
        <v>0</v>
      </c>
      <c r="H52" s="542">
        <v>0</v>
      </c>
      <c r="I52" s="542">
        <v>0</v>
      </c>
      <c r="J52" s="542">
        <v>0</v>
      </c>
      <c r="K52" s="543">
        <v>0</v>
      </c>
      <c r="L52" s="543">
        <v>0</v>
      </c>
      <c r="M52" s="543">
        <v>0</v>
      </c>
      <c r="N52" s="543">
        <v>0</v>
      </c>
      <c r="O52" s="543">
        <v>0</v>
      </c>
    </row>
    <row r="53" spans="2:15">
      <c r="B53" s="42" t="s">
        <v>9</v>
      </c>
      <c r="C53" s="542">
        <v>25498.507462686641</v>
      </c>
      <c r="D53" s="542">
        <v>25497.014925373136</v>
      </c>
      <c r="E53" s="542">
        <v>25497.014925373136</v>
      </c>
      <c r="F53" s="542">
        <v>25498.507462686641</v>
      </c>
      <c r="G53" s="542">
        <v>25497.014925373136</v>
      </c>
      <c r="H53" s="542">
        <v>25497.014925373136</v>
      </c>
      <c r="I53" s="542">
        <v>25498.507462686641</v>
      </c>
      <c r="J53" s="542">
        <v>25497.014925373136</v>
      </c>
      <c r="K53" s="543">
        <v>25497.014925373136</v>
      </c>
      <c r="L53" s="543">
        <v>25498.507462686641</v>
      </c>
      <c r="M53" s="543">
        <v>25497.014925373136</v>
      </c>
      <c r="N53" s="543">
        <v>25497.014925373136</v>
      </c>
      <c r="O53" s="543">
        <v>305970.14925373165</v>
      </c>
    </row>
    <row r="54" spans="2:15">
      <c r="B54" s="42" t="s">
        <v>10</v>
      </c>
      <c r="C54" s="542">
        <v>11194.029850746299</v>
      </c>
      <c r="D54" s="542">
        <v>11194.029850746299</v>
      </c>
      <c r="E54" s="542">
        <v>11194.029850746299</v>
      </c>
      <c r="F54" s="542">
        <v>11194.029850746299</v>
      </c>
      <c r="G54" s="542">
        <v>11194.029850746299</v>
      </c>
      <c r="H54" s="542">
        <v>11194.029850746299</v>
      </c>
      <c r="I54" s="542">
        <v>11194.029850746299</v>
      </c>
      <c r="J54" s="542">
        <v>11194.029850746299</v>
      </c>
      <c r="K54" s="543">
        <v>11194.029850746299</v>
      </c>
      <c r="L54" s="543">
        <v>11194.029850746299</v>
      </c>
      <c r="M54" s="543">
        <v>11194.029850746299</v>
      </c>
      <c r="N54" s="543">
        <v>11194.029850746299</v>
      </c>
      <c r="O54" s="543">
        <v>134328.35820895559</v>
      </c>
    </row>
    <row r="55" spans="2:15">
      <c r="B55" s="148" t="s">
        <v>11</v>
      </c>
      <c r="C55" s="555">
        <v>0</v>
      </c>
      <c r="D55" s="555">
        <v>0</v>
      </c>
      <c r="E55" s="555">
        <v>0</v>
      </c>
      <c r="F55" s="555">
        <v>0</v>
      </c>
      <c r="G55" s="555">
        <v>0</v>
      </c>
      <c r="H55" s="555">
        <v>0</v>
      </c>
      <c r="I55" s="555">
        <v>0</v>
      </c>
      <c r="J55" s="555">
        <v>0</v>
      </c>
      <c r="K55" s="556">
        <v>0</v>
      </c>
      <c r="L55" s="556">
        <v>0</v>
      </c>
      <c r="M55" s="556">
        <v>0</v>
      </c>
      <c r="N55" s="556">
        <v>0</v>
      </c>
      <c r="O55" s="543">
        <v>0</v>
      </c>
    </row>
    <row r="56" spans="2:15" ht="13.8" thickBot="1">
      <c r="B56" s="38" t="s">
        <v>12</v>
      </c>
      <c r="C56" s="544">
        <v>1114786.1940298497</v>
      </c>
      <c r="D56" s="544">
        <v>1119986.2873134322</v>
      </c>
      <c r="E56" s="544">
        <v>1119986.2873134322</v>
      </c>
      <c r="F56" s="544">
        <v>1119989.2723880587</v>
      </c>
      <c r="G56" s="544">
        <v>1119986.2873134322</v>
      </c>
      <c r="H56" s="544">
        <v>1119986.2873134322</v>
      </c>
      <c r="I56" s="544">
        <v>1131090.0186567155</v>
      </c>
      <c r="J56" s="544">
        <v>1131087.0335820892</v>
      </c>
      <c r="K56" s="545">
        <v>1131087.0335820892</v>
      </c>
      <c r="L56" s="545">
        <v>1131090.0186567155</v>
      </c>
      <c r="M56" s="545">
        <v>1131087.0335820892</v>
      </c>
      <c r="N56" s="545">
        <v>1131087.0335820892</v>
      </c>
      <c r="O56" s="545">
        <v>13501248.787313424</v>
      </c>
    </row>
    <row r="57" spans="2:15" ht="13.8" thickTop="1">
      <c r="C57" s="151"/>
      <c r="D57" s="151"/>
      <c r="E57" s="151"/>
      <c r="F57" s="151"/>
      <c r="G57" s="151"/>
      <c r="H57" s="151"/>
      <c r="I57" s="151"/>
      <c r="J57" s="151"/>
      <c r="K57" s="151"/>
      <c r="L57" s="151"/>
      <c r="M57" s="151"/>
      <c r="N57" s="151"/>
      <c r="O57" s="151"/>
    </row>
    <row r="58" spans="2:15">
      <c r="C58" s="151"/>
      <c r="D58" s="151"/>
      <c r="E58" s="151"/>
      <c r="F58" s="151"/>
      <c r="G58" s="151"/>
      <c r="H58" s="151"/>
      <c r="I58" s="151"/>
      <c r="J58" s="151"/>
      <c r="K58" s="151"/>
      <c r="L58" s="151"/>
      <c r="M58" s="151"/>
      <c r="N58" s="151"/>
      <c r="O58" s="151"/>
    </row>
    <row r="59" spans="2:15">
      <c r="C59" s="151"/>
      <c r="D59" s="151"/>
      <c r="E59" s="151"/>
      <c r="F59" s="151"/>
      <c r="G59" s="151"/>
      <c r="H59" s="151"/>
      <c r="I59" s="151"/>
      <c r="J59" s="151"/>
      <c r="K59" s="151"/>
      <c r="L59" s="151"/>
      <c r="M59" s="151"/>
      <c r="N59" s="151"/>
      <c r="O59" s="151"/>
    </row>
    <row r="60" spans="2:15">
      <c r="C60" s="151"/>
      <c r="D60" s="151"/>
      <c r="E60" s="151"/>
      <c r="F60" s="151"/>
      <c r="G60" s="151"/>
      <c r="H60" s="151"/>
      <c r="I60" s="151"/>
      <c r="J60" s="151"/>
      <c r="K60" s="151"/>
      <c r="L60" s="151"/>
      <c r="M60" s="151"/>
      <c r="N60" s="151"/>
      <c r="O60" s="151"/>
    </row>
    <row r="61" spans="2:15">
      <c r="C61" s="151"/>
      <c r="D61" s="151"/>
      <c r="E61" s="151"/>
      <c r="F61" s="151"/>
      <c r="G61" s="151"/>
      <c r="H61" s="151"/>
      <c r="I61" s="151"/>
      <c r="J61" s="151"/>
      <c r="K61" s="151"/>
      <c r="L61" s="151"/>
      <c r="M61" s="151"/>
      <c r="N61" s="151"/>
      <c r="O61" s="151"/>
    </row>
    <row r="62" spans="2:15">
      <c r="C62" s="151"/>
      <c r="D62" s="151"/>
      <c r="E62" s="151"/>
      <c r="F62" s="151"/>
      <c r="G62" s="151"/>
      <c r="H62" s="151"/>
      <c r="I62" s="151"/>
      <c r="J62" s="151"/>
      <c r="K62" s="151"/>
      <c r="L62" s="151"/>
      <c r="M62" s="151"/>
      <c r="N62" s="151"/>
      <c r="O62" s="151"/>
    </row>
    <row r="63" spans="2:15">
      <c r="C63" s="151"/>
      <c r="D63" s="151"/>
      <c r="E63" s="151"/>
      <c r="F63" s="151"/>
      <c r="G63" s="151"/>
      <c r="H63" s="151"/>
      <c r="I63" s="151"/>
      <c r="J63" s="151"/>
      <c r="K63" s="151"/>
      <c r="L63" s="151"/>
      <c r="M63" s="151"/>
      <c r="N63" s="151"/>
      <c r="O63" s="151"/>
    </row>
    <row r="64" spans="2:15">
      <c r="C64" s="151"/>
      <c r="D64" s="151"/>
      <c r="E64" s="151"/>
      <c r="F64" s="151"/>
      <c r="G64" s="151"/>
      <c r="H64" s="151"/>
      <c r="I64" s="151"/>
      <c r="J64" s="151"/>
      <c r="K64" s="151"/>
      <c r="L64" s="151"/>
      <c r="M64" s="151"/>
      <c r="N64" s="151"/>
      <c r="O64" s="151"/>
    </row>
    <row r="65" spans="3:15">
      <c r="C65" s="151"/>
      <c r="D65" s="151"/>
      <c r="E65" s="151"/>
      <c r="F65" s="151"/>
      <c r="G65" s="151"/>
      <c r="H65" s="151"/>
      <c r="I65" s="151"/>
      <c r="J65" s="151"/>
      <c r="K65" s="151"/>
      <c r="L65" s="151"/>
      <c r="M65" s="151"/>
      <c r="N65" s="151"/>
      <c r="O65" s="151"/>
    </row>
    <row r="66" spans="3:15">
      <c r="C66" s="151"/>
      <c r="D66" s="151"/>
      <c r="E66" s="151"/>
      <c r="F66" s="151"/>
      <c r="G66" s="151"/>
      <c r="H66" s="151"/>
      <c r="I66" s="151"/>
      <c r="J66" s="151"/>
      <c r="K66" s="151"/>
      <c r="L66" s="151"/>
      <c r="M66" s="151"/>
      <c r="N66" s="151"/>
      <c r="O66" s="151"/>
    </row>
    <row r="67" spans="3:15">
      <c r="C67" s="151"/>
      <c r="D67" s="151"/>
      <c r="E67" s="151"/>
      <c r="F67" s="151"/>
      <c r="G67" s="151"/>
      <c r="H67" s="151"/>
      <c r="I67" s="151"/>
      <c r="J67" s="151"/>
      <c r="K67" s="151"/>
      <c r="L67" s="151"/>
      <c r="M67" s="151"/>
      <c r="N67" s="151"/>
      <c r="O67" s="151"/>
    </row>
    <row r="68" spans="3:15">
      <c r="C68" s="151"/>
      <c r="D68" s="151"/>
      <c r="E68" s="151"/>
      <c r="F68" s="151"/>
      <c r="G68" s="151"/>
      <c r="H68" s="151"/>
      <c r="I68" s="151"/>
      <c r="J68" s="151"/>
      <c r="K68" s="151"/>
      <c r="L68" s="151"/>
      <c r="M68" s="151"/>
      <c r="N68" s="151"/>
      <c r="O68" s="151"/>
    </row>
    <row r="69" spans="3:15">
      <c r="C69" s="151"/>
      <c r="D69" s="151"/>
      <c r="E69" s="151"/>
      <c r="F69" s="151"/>
      <c r="G69" s="151"/>
      <c r="H69" s="151"/>
      <c r="I69" s="151"/>
      <c r="J69" s="151"/>
      <c r="K69" s="151"/>
      <c r="L69" s="151"/>
      <c r="M69" s="151"/>
      <c r="N69" s="151"/>
      <c r="O69" s="151"/>
    </row>
    <row r="70" spans="3:15">
      <c r="C70" s="151"/>
      <c r="D70" s="151"/>
      <c r="E70" s="151"/>
      <c r="F70" s="151"/>
      <c r="G70" s="151"/>
      <c r="H70" s="151"/>
      <c r="I70" s="151"/>
      <c r="J70" s="151"/>
      <c r="K70" s="151"/>
      <c r="L70" s="151"/>
      <c r="M70" s="151"/>
      <c r="N70" s="151"/>
      <c r="O70" s="151"/>
    </row>
    <row r="71" spans="3:15">
      <c r="C71" s="151"/>
      <c r="D71" s="151"/>
      <c r="E71" s="151"/>
      <c r="F71" s="151"/>
      <c r="G71" s="151"/>
      <c r="H71" s="151"/>
      <c r="I71" s="151"/>
      <c r="J71" s="151"/>
      <c r="K71" s="151"/>
      <c r="L71" s="151"/>
      <c r="M71" s="151"/>
      <c r="N71" s="151"/>
      <c r="O71" s="151"/>
    </row>
    <row r="72" spans="3:15">
      <c r="C72" s="151"/>
      <c r="D72" s="151"/>
      <c r="E72" s="151"/>
      <c r="F72" s="151"/>
      <c r="G72" s="151"/>
      <c r="H72" s="151"/>
      <c r="I72" s="151"/>
      <c r="J72" s="151"/>
      <c r="K72" s="151"/>
      <c r="L72" s="151"/>
      <c r="M72" s="151"/>
      <c r="N72" s="151"/>
      <c r="O72" s="151"/>
    </row>
    <row r="73" spans="3:15">
      <c r="C73" s="151"/>
      <c r="D73" s="151"/>
      <c r="E73" s="151"/>
      <c r="F73" s="151"/>
      <c r="G73" s="151"/>
      <c r="H73" s="151"/>
      <c r="I73" s="151"/>
      <c r="J73" s="151"/>
      <c r="K73" s="151"/>
      <c r="L73" s="151"/>
      <c r="M73" s="151"/>
      <c r="N73" s="151"/>
      <c r="O73" s="151"/>
    </row>
    <row r="74" spans="3:15">
      <c r="C74" s="151"/>
      <c r="D74" s="151"/>
      <c r="E74" s="151"/>
      <c r="F74" s="151"/>
      <c r="G74" s="151"/>
      <c r="H74" s="151"/>
      <c r="I74" s="151"/>
      <c r="J74" s="151"/>
      <c r="K74" s="151"/>
      <c r="L74" s="151"/>
      <c r="M74" s="151"/>
      <c r="N74" s="151"/>
      <c r="O74" s="151"/>
    </row>
    <row r="75" spans="3:15">
      <c r="C75" s="151"/>
      <c r="D75" s="151"/>
      <c r="E75" s="151"/>
      <c r="F75" s="151"/>
      <c r="G75" s="151"/>
      <c r="H75" s="151"/>
      <c r="I75" s="151"/>
      <c r="J75" s="151"/>
      <c r="K75" s="151"/>
      <c r="L75" s="151"/>
      <c r="M75" s="151"/>
      <c r="N75" s="151"/>
      <c r="O75" s="151"/>
    </row>
    <row r="76" spans="3:15">
      <c r="C76" s="151"/>
      <c r="D76" s="151"/>
      <c r="E76" s="151"/>
      <c r="F76" s="151"/>
      <c r="G76" s="151"/>
      <c r="H76" s="151"/>
      <c r="I76" s="151"/>
      <c r="J76" s="151"/>
      <c r="K76" s="151"/>
      <c r="L76" s="151"/>
      <c r="M76" s="151"/>
      <c r="N76" s="151"/>
      <c r="O76" s="151"/>
    </row>
    <row r="77" spans="3:15">
      <c r="C77" s="151"/>
      <c r="D77" s="151"/>
      <c r="E77" s="151"/>
      <c r="F77" s="151"/>
      <c r="G77" s="151"/>
      <c r="H77" s="151"/>
      <c r="I77" s="151"/>
      <c r="J77" s="151"/>
      <c r="K77" s="151"/>
      <c r="L77" s="151"/>
      <c r="M77" s="151"/>
      <c r="N77" s="151"/>
      <c r="O77" s="151"/>
    </row>
    <row r="78" spans="3:15">
      <c r="C78" s="151"/>
      <c r="D78" s="151"/>
      <c r="E78" s="151"/>
      <c r="F78" s="151"/>
      <c r="G78" s="151"/>
      <c r="H78" s="151"/>
      <c r="I78" s="151"/>
      <c r="J78" s="151"/>
      <c r="K78" s="151"/>
      <c r="L78" s="151"/>
      <c r="M78" s="151"/>
      <c r="N78" s="151"/>
      <c r="O78" s="151"/>
    </row>
    <row r="79" spans="3:15">
      <c r="C79" s="151"/>
      <c r="D79" s="151"/>
      <c r="E79" s="151"/>
      <c r="F79" s="151"/>
      <c r="G79" s="151"/>
      <c r="H79" s="151"/>
      <c r="I79" s="151"/>
      <c r="J79" s="151"/>
      <c r="K79" s="151"/>
      <c r="L79" s="151"/>
      <c r="M79" s="151"/>
      <c r="N79" s="151"/>
      <c r="O79" s="151"/>
    </row>
    <row r="80" spans="3:15">
      <c r="C80" s="151"/>
      <c r="D80" s="151"/>
      <c r="E80" s="151"/>
      <c r="F80" s="151"/>
      <c r="G80" s="151"/>
      <c r="H80" s="151"/>
      <c r="I80" s="151"/>
      <c r="J80" s="151"/>
      <c r="K80" s="151"/>
      <c r="L80" s="151"/>
      <c r="M80" s="151"/>
      <c r="N80" s="151"/>
      <c r="O80" s="151"/>
    </row>
    <row r="81" spans="3:15">
      <c r="C81" s="151"/>
      <c r="D81" s="151"/>
      <c r="E81" s="151"/>
      <c r="F81" s="151"/>
      <c r="G81" s="151"/>
      <c r="H81" s="151"/>
      <c r="I81" s="151"/>
      <c r="J81" s="151"/>
      <c r="K81" s="151"/>
      <c r="L81" s="151"/>
      <c r="M81" s="151"/>
      <c r="N81" s="151"/>
      <c r="O81" s="151"/>
    </row>
    <row r="82" spans="3:15">
      <c r="C82" s="151"/>
      <c r="D82" s="151"/>
      <c r="E82" s="151"/>
      <c r="F82" s="151"/>
      <c r="G82" s="151"/>
      <c r="H82" s="151"/>
      <c r="I82" s="151"/>
      <c r="J82" s="151"/>
      <c r="K82" s="151"/>
      <c r="L82" s="151"/>
      <c r="M82" s="151"/>
      <c r="N82" s="151"/>
      <c r="O82" s="151"/>
    </row>
    <row r="83" spans="3:15">
      <c r="C83" s="151"/>
      <c r="D83" s="151"/>
      <c r="E83" s="151"/>
      <c r="F83" s="151"/>
      <c r="G83" s="151"/>
      <c r="H83" s="151"/>
      <c r="I83" s="151"/>
      <c r="J83" s="151"/>
      <c r="K83" s="151"/>
      <c r="L83" s="151"/>
      <c r="M83" s="151"/>
      <c r="N83" s="151"/>
      <c r="O83" s="151"/>
    </row>
    <row r="84" spans="3:15">
      <c r="C84" s="151"/>
      <c r="D84" s="151"/>
      <c r="E84" s="151"/>
      <c r="F84" s="151"/>
      <c r="G84" s="151"/>
      <c r="H84" s="151"/>
      <c r="I84" s="151"/>
      <c r="J84" s="151"/>
      <c r="K84" s="151"/>
      <c r="L84" s="151"/>
      <c r="M84" s="151"/>
      <c r="N84" s="151"/>
      <c r="O84" s="151"/>
    </row>
    <row r="85" spans="3:15">
      <c r="C85" s="151"/>
      <c r="D85" s="151"/>
      <c r="E85" s="151"/>
      <c r="F85" s="151"/>
      <c r="G85" s="151"/>
      <c r="H85" s="151"/>
      <c r="I85" s="151"/>
      <c r="J85" s="151"/>
      <c r="K85" s="151"/>
      <c r="L85" s="151"/>
      <c r="M85" s="151"/>
      <c r="N85" s="151"/>
      <c r="O85" s="151"/>
    </row>
    <row r="86" spans="3:15">
      <c r="C86" s="151"/>
      <c r="D86" s="151"/>
      <c r="E86" s="151"/>
      <c r="F86" s="151"/>
      <c r="G86" s="151"/>
      <c r="H86" s="151"/>
      <c r="I86" s="151"/>
      <c r="J86" s="151"/>
      <c r="K86" s="151"/>
      <c r="L86" s="151"/>
      <c r="M86" s="151"/>
      <c r="N86" s="151"/>
      <c r="O86" s="151"/>
    </row>
    <row r="87" spans="3:15">
      <c r="C87" s="151"/>
      <c r="D87" s="151"/>
      <c r="E87" s="151"/>
      <c r="F87" s="151"/>
      <c r="G87" s="151"/>
      <c r="H87" s="151"/>
      <c r="I87" s="151"/>
      <c r="J87" s="151"/>
      <c r="K87" s="151"/>
      <c r="L87" s="151"/>
      <c r="M87" s="151"/>
      <c r="N87" s="151"/>
      <c r="O87" s="151"/>
    </row>
    <row r="88" spans="3:15">
      <c r="C88" s="151"/>
      <c r="D88" s="151"/>
      <c r="E88" s="151"/>
      <c r="F88" s="151"/>
      <c r="G88" s="151"/>
      <c r="H88" s="151"/>
      <c r="I88" s="151"/>
      <c r="J88" s="151"/>
      <c r="K88" s="151"/>
      <c r="L88" s="151"/>
      <c r="M88" s="151"/>
      <c r="N88" s="151"/>
      <c r="O88" s="151"/>
    </row>
    <row r="89" spans="3:15">
      <c r="C89" s="151"/>
      <c r="D89" s="151"/>
      <c r="E89" s="151"/>
      <c r="F89" s="151"/>
      <c r="G89" s="151"/>
      <c r="H89" s="151"/>
      <c r="I89" s="151"/>
      <c r="J89" s="151"/>
      <c r="K89" s="151"/>
      <c r="L89" s="151"/>
      <c r="M89" s="151"/>
      <c r="N89" s="151"/>
      <c r="O89" s="151"/>
    </row>
    <row r="90" spans="3:15">
      <c r="C90" s="151"/>
      <c r="D90" s="151"/>
      <c r="E90" s="151"/>
      <c r="F90" s="151"/>
      <c r="G90" s="151"/>
      <c r="H90" s="151"/>
      <c r="I90" s="151"/>
      <c r="J90" s="151"/>
      <c r="K90" s="151"/>
      <c r="L90" s="151"/>
      <c r="M90" s="151"/>
      <c r="N90" s="151"/>
      <c r="O90" s="151"/>
    </row>
    <row r="91" spans="3:15">
      <c r="C91" s="151"/>
      <c r="D91" s="151"/>
      <c r="E91" s="151"/>
      <c r="F91" s="151"/>
      <c r="G91" s="151"/>
      <c r="H91" s="151"/>
      <c r="I91" s="151"/>
      <c r="J91" s="151"/>
      <c r="K91" s="151"/>
      <c r="L91" s="151"/>
      <c r="M91" s="151"/>
      <c r="N91" s="151"/>
      <c r="O91" s="151"/>
    </row>
    <row r="92" spans="3:15">
      <c r="C92" s="151"/>
      <c r="D92" s="151"/>
      <c r="E92" s="151"/>
      <c r="F92" s="151"/>
      <c r="G92" s="151"/>
      <c r="H92" s="151"/>
      <c r="I92" s="151"/>
      <c r="J92" s="151"/>
      <c r="K92" s="151"/>
      <c r="L92" s="151"/>
      <c r="M92" s="151"/>
      <c r="N92" s="151"/>
      <c r="O92" s="151"/>
    </row>
    <row r="93" spans="3:15">
      <c r="C93" s="151"/>
      <c r="D93" s="151"/>
      <c r="E93" s="151"/>
      <c r="F93" s="151"/>
      <c r="G93" s="151"/>
      <c r="H93" s="151"/>
      <c r="I93" s="151"/>
      <c r="J93" s="151"/>
      <c r="K93" s="151"/>
      <c r="L93" s="151"/>
      <c r="M93" s="151"/>
      <c r="N93" s="151"/>
      <c r="O93" s="151"/>
    </row>
    <row r="94" spans="3:15">
      <c r="C94" s="151"/>
      <c r="D94" s="151"/>
      <c r="E94" s="151"/>
      <c r="F94" s="151"/>
      <c r="G94" s="151"/>
      <c r="H94" s="151"/>
      <c r="I94" s="151"/>
      <c r="J94" s="151"/>
      <c r="K94" s="151"/>
      <c r="L94" s="151"/>
      <c r="M94" s="151"/>
      <c r="N94" s="151"/>
      <c r="O94" s="151"/>
    </row>
    <row r="95" spans="3:15">
      <c r="C95" s="151"/>
      <c r="D95" s="151"/>
      <c r="E95" s="151"/>
      <c r="F95" s="151"/>
      <c r="G95" s="151"/>
      <c r="H95" s="151"/>
      <c r="I95" s="151"/>
      <c r="J95" s="151"/>
      <c r="K95" s="151"/>
      <c r="L95" s="151"/>
      <c r="M95" s="151"/>
      <c r="N95" s="151"/>
      <c r="O95" s="151"/>
    </row>
    <row r="96" spans="3:15">
      <c r="C96" s="151"/>
      <c r="D96" s="151"/>
      <c r="E96" s="151"/>
      <c r="F96" s="151"/>
      <c r="G96" s="151"/>
      <c r="H96" s="151"/>
      <c r="I96" s="151"/>
      <c r="J96" s="151"/>
      <c r="K96" s="151"/>
      <c r="L96" s="151"/>
      <c r="M96" s="151"/>
      <c r="N96" s="151"/>
      <c r="O96" s="151"/>
    </row>
    <row r="97" spans="3:15">
      <c r="C97" s="151"/>
      <c r="D97" s="151"/>
      <c r="E97" s="151"/>
      <c r="F97" s="151"/>
      <c r="G97" s="151"/>
      <c r="H97" s="151"/>
      <c r="I97" s="151"/>
      <c r="J97" s="151"/>
      <c r="K97" s="151"/>
      <c r="L97" s="151"/>
      <c r="M97" s="151"/>
      <c r="N97" s="151"/>
      <c r="O97" s="151"/>
    </row>
    <row r="98" spans="3:15">
      <c r="C98" s="151"/>
      <c r="D98" s="151"/>
      <c r="E98" s="151"/>
      <c r="F98" s="151"/>
      <c r="G98" s="151"/>
      <c r="H98" s="151"/>
      <c r="I98" s="151"/>
      <c r="J98" s="151"/>
      <c r="K98" s="151"/>
      <c r="L98" s="151"/>
      <c r="M98" s="151"/>
      <c r="N98" s="151"/>
      <c r="O98" s="151"/>
    </row>
    <row r="99" spans="3:15">
      <c r="C99" s="151"/>
      <c r="D99" s="151"/>
      <c r="E99" s="151"/>
      <c r="F99" s="151"/>
      <c r="G99" s="151"/>
      <c r="H99" s="151"/>
      <c r="I99" s="151"/>
      <c r="J99" s="151"/>
      <c r="K99" s="151"/>
      <c r="L99" s="151"/>
      <c r="M99" s="151"/>
      <c r="N99" s="151"/>
      <c r="O99" s="151"/>
    </row>
    <row r="100" spans="3:15">
      <c r="C100" s="151"/>
      <c r="D100" s="151"/>
      <c r="E100" s="151"/>
      <c r="F100" s="151"/>
      <c r="G100" s="151"/>
      <c r="H100" s="151"/>
      <c r="I100" s="151"/>
      <c r="J100" s="151"/>
      <c r="K100" s="151"/>
      <c r="L100" s="151"/>
      <c r="M100" s="151"/>
      <c r="N100" s="151"/>
      <c r="O100" s="151"/>
    </row>
    <row r="101" spans="3:15">
      <c r="C101" s="151"/>
      <c r="D101" s="151"/>
      <c r="E101" s="151"/>
      <c r="F101" s="151"/>
      <c r="G101" s="151"/>
      <c r="H101" s="151"/>
      <c r="I101" s="151"/>
      <c r="J101" s="151"/>
      <c r="K101" s="151"/>
      <c r="L101" s="151"/>
      <c r="M101" s="151"/>
      <c r="N101" s="151"/>
      <c r="O101" s="151"/>
    </row>
    <row r="102" spans="3:15">
      <c r="C102" s="151"/>
      <c r="D102" s="151"/>
      <c r="E102" s="151"/>
      <c r="F102" s="151"/>
      <c r="G102" s="151"/>
      <c r="H102" s="151"/>
      <c r="I102" s="151"/>
      <c r="J102" s="151"/>
      <c r="K102" s="151"/>
      <c r="L102" s="151"/>
      <c r="M102" s="151"/>
      <c r="N102" s="151"/>
      <c r="O102" s="151"/>
    </row>
    <row r="103" spans="3:15">
      <c r="C103" s="151"/>
      <c r="D103" s="151"/>
      <c r="E103" s="151"/>
      <c r="F103" s="151"/>
      <c r="G103" s="151"/>
      <c r="H103" s="151"/>
      <c r="I103" s="151"/>
      <c r="J103" s="151"/>
      <c r="K103" s="151"/>
      <c r="L103" s="151"/>
      <c r="M103" s="151"/>
      <c r="N103" s="151"/>
      <c r="O103" s="151"/>
    </row>
    <row r="104" spans="3:15">
      <c r="C104" s="151"/>
      <c r="D104" s="151"/>
      <c r="E104" s="151"/>
      <c r="F104" s="151"/>
      <c r="G104" s="151"/>
      <c r="H104" s="151"/>
      <c r="I104" s="151"/>
      <c r="J104" s="151"/>
      <c r="K104" s="151"/>
      <c r="L104" s="151"/>
      <c r="M104" s="151"/>
      <c r="N104" s="151"/>
      <c r="O104" s="151"/>
    </row>
    <row r="105" spans="3:15">
      <c r="C105" s="151"/>
      <c r="D105" s="151"/>
      <c r="E105" s="151"/>
      <c r="F105" s="151"/>
      <c r="G105" s="151"/>
      <c r="H105" s="151"/>
      <c r="I105" s="151"/>
      <c r="J105" s="151"/>
      <c r="K105" s="151"/>
      <c r="L105" s="151"/>
      <c r="M105" s="151"/>
      <c r="N105" s="151"/>
      <c r="O105" s="151"/>
    </row>
    <row r="106" spans="3:15">
      <c r="C106" s="151"/>
      <c r="D106" s="151"/>
      <c r="E106" s="151"/>
      <c r="F106" s="151"/>
      <c r="G106" s="151"/>
      <c r="H106" s="151"/>
      <c r="I106" s="151"/>
      <c r="J106" s="151"/>
      <c r="K106" s="151"/>
      <c r="L106" s="151"/>
      <c r="M106" s="151"/>
      <c r="N106" s="151"/>
      <c r="O106" s="151"/>
    </row>
    <row r="107" spans="3:15">
      <c r="C107" s="151"/>
      <c r="D107" s="151"/>
      <c r="E107" s="151"/>
      <c r="F107" s="151"/>
      <c r="G107" s="151"/>
      <c r="H107" s="151"/>
      <c r="I107" s="151"/>
      <c r="J107" s="151"/>
      <c r="K107" s="151"/>
      <c r="L107" s="151"/>
      <c r="M107" s="151"/>
      <c r="N107" s="151"/>
      <c r="O107" s="151"/>
    </row>
    <row r="108" spans="3:15">
      <c r="C108" s="151"/>
      <c r="D108" s="151"/>
      <c r="E108" s="151"/>
      <c r="F108" s="151"/>
      <c r="G108" s="151"/>
      <c r="H108" s="151"/>
      <c r="I108" s="151"/>
      <c r="J108" s="151"/>
      <c r="K108" s="151"/>
      <c r="L108" s="151"/>
      <c r="M108" s="151"/>
      <c r="N108" s="151"/>
      <c r="O108" s="151"/>
    </row>
    <row r="109" spans="3:15">
      <c r="C109" s="151"/>
      <c r="D109" s="151"/>
      <c r="E109" s="151"/>
      <c r="F109" s="151"/>
      <c r="G109" s="151"/>
      <c r="H109" s="151"/>
      <c r="I109" s="151"/>
      <c r="J109" s="151"/>
      <c r="K109" s="151"/>
      <c r="L109" s="151"/>
      <c r="M109" s="151"/>
      <c r="N109" s="151"/>
      <c r="O109" s="151"/>
    </row>
    <row r="110" spans="3:15">
      <c r="C110" s="151"/>
      <c r="D110" s="151"/>
      <c r="E110" s="151"/>
      <c r="F110" s="151"/>
      <c r="G110" s="151"/>
      <c r="H110" s="151"/>
      <c r="I110" s="151"/>
      <c r="J110" s="151"/>
      <c r="K110" s="151"/>
      <c r="L110" s="151"/>
      <c r="M110" s="151"/>
      <c r="N110" s="151"/>
      <c r="O110" s="151"/>
    </row>
    <row r="111" spans="3:15">
      <c r="C111" s="151"/>
      <c r="D111" s="151"/>
      <c r="E111" s="151"/>
      <c r="F111" s="151"/>
      <c r="G111" s="151"/>
      <c r="H111" s="151"/>
      <c r="I111" s="151"/>
      <c r="J111" s="151"/>
      <c r="K111" s="151"/>
      <c r="L111" s="151"/>
      <c r="M111" s="151"/>
      <c r="N111" s="151"/>
      <c r="O111" s="151"/>
    </row>
    <row r="112" spans="3:15">
      <c r="C112" s="151"/>
      <c r="D112" s="151"/>
      <c r="E112" s="151"/>
      <c r="F112" s="151"/>
      <c r="G112" s="151"/>
      <c r="H112" s="151"/>
      <c r="I112" s="151"/>
      <c r="J112" s="151"/>
      <c r="K112" s="151"/>
      <c r="L112" s="151"/>
      <c r="M112" s="151"/>
      <c r="N112" s="151"/>
      <c r="O112" s="151"/>
    </row>
    <row r="113" spans="3:15">
      <c r="C113" s="151"/>
      <c r="D113" s="151"/>
      <c r="E113" s="151"/>
      <c r="F113" s="151"/>
      <c r="G113" s="151"/>
      <c r="H113" s="151"/>
      <c r="I113" s="151"/>
      <c r="J113" s="151"/>
      <c r="K113" s="151"/>
      <c r="L113" s="151"/>
      <c r="M113" s="151"/>
      <c r="N113" s="151"/>
      <c r="O113" s="151"/>
    </row>
    <row r="114" spans="3:15">
      <c r="C114" s="151"/>
      <c r="D114" s="151"/>
      <c r="E114" s="151"/>
      <c r="F114" s="151"/>
      <c r="G114" s="151"/>
      <c r="H114" s="151"/>
      <c r="I114" s="151"/>
      <c r="J114" s="151"/>
      <c r="K114" s="151"/>
      <c r="L114" s="151"/>
      <c r="M114" s="151"/>
      <c r="N114" s="151"/>
      <c r="O114" s="151"/>
    </row>
    <row r="115" spans="3:15">
      <c r="C115" s="151"/>
      <c r="D115" s="151"/>
      <c r="E115" s="151"/>
      <c r="F115" s="151"/>
      <c r="G115" s="151"/>
      <c r="H115" s="151"/>
      <c r="I115" s="151"/>
      <c r="J115" s="151"/>
      <c r="K115" s="151"/>
      <c r="L115" s="151"/>
      <c r="M115" s="151"/>
      <c r="N115" s="151"/>
      <c r="O115" s="151"/>
    </row>
    <row r="116" spans="3:15">
      <c r="C116" s="151"/>
      <c r="D116" s="151"/>
      <c r="E116" s="151"/>
      <c r="F116" s="151"/>
      <c r="G116" s="151"/>
      <c r="H116" s="151"/>
      <c r="I116" s="151"/>
      <c r="J116" s="151"/>
      <c r="K116" s="151"/>
      <c r="L116" s="151"/>
      <c r="M116" s="151"/>
      <c r="N116" s="151"/>
      <c r="O116" s="151"/>
    </row>
    <row r="117" spans="3:15">
      <c r="C117" s="151"/>
      <c r="D117" s="151"/>
      <c r="E117" s="151"/>
      <c r="F117" s="151"/>
      <c r="G117" s="151"/>
      <c r="H117" s="151"/>
      <c r="I117" s="151"/>
      <c r="J117" s="151"/>
      <c r="K117" s="151"/>
      <c r="L117" s="151"/>
      <c r="M117" s="151"/>
      <c r="N117" s="151"/>
      <c r="O117" s="151"/>
    </row>
    <row r="118" spans="3:15">
      <c r="C118" s="151"/>
      <c r="D118" s="151"/>
      <c r="E118" s="151"/>
      <c r="F118" s="151"/>
      <c r="G118" s="151"/>
      <c r="H118" s="151"/>
      <c r="I118" s="151"/>
      <c r="J118" s="151"/>
      <c r="K118" s="151"/>
      <c r="L118" s="151"/>
      <c r="M118" s="151"/>
      <c r="N118" s="151"/>
      <c r="O118" s="151"/>
    </row>
    <row r="119" spans="3:15">
      <c r="C119" s="151"/>
      <c r="D119" s="151"/>
      <c r="E119" s="151"/>
      <c r="F119" s="151"/>
      <c r="G119" s="151"/>
      <c r="H119" s="151"/>
      <c r="I119" s="151"/>
      <c r="J119" s="151"/>
      <c r="K119" s="151"/>
      <c r="L119" s="151"/>
      <c r="M119" s="151"/>
      <c r="N119" s="151"/>
      <c r="O119" s="151"/>
    </row>
    <row r="120" spans="3:15">
      <c r="C120" s="151"/>
      <c r="D120" s="151"/>
      <c r="E120" s="151"/>
      <c r="F120" s="151"/>
      <c r="G120" s="151"/>
      <c r="H120" s="151"/>
      <c r="I120" s="151"/>
      <c r="J120" s="151"/>
      <c r="K120" s="151"/>
      <c r="L120" s="151"/>
      <c r="M120" s="151"/>
      <c r="N120" s="151"/>
      <c r="O120" s="151"/>
    </row>
    <row r="121" spans="3:15">
      <c r="C121" s="151"/>
      <c r="D121" s="151"/>
      <c r="E121" s="151"/>
      <c r="F121" s="151"/>
      <c r="G121" s="151"/>
      <c r="H121" s="151"/>
      <c r="I121" s="151"/>
      <c r="J121" s="151"/>
      <c r="K121" s="151"/>
      <c r="L121" s="151"/>
      <c r="M121" s="151"/>
      <c r="N121" s="151"/>
      <c r="O121" s="151"/>
    </row>
    <row r="122" spans="3:15">
      <c r="C122" s="151"/>
      <c r="D122" s="151"/>
      <c r="E122" s="151"/>
      <c r="F122" s="151"/>
      <c r="G122" s="151"/>
      <c r="H122" s="151"/>
      <c r="I122" s="151"/>
      <c r="J122" s="151"/>
      <c r="K122" s="151"/>
      <c r="L122" s="151"/>
      <c r="M122" s="151"/>
      <c r="N122" s="151"/>
      <c r="O122" s="151"/>
    </row>
    <row r="123" spans="3:15">
      <c r="C123" s="151"/>
      <c r="D123" s="151"/>
      <c r="E123" s="151"/>
      <c r="F123" s="151"/>
      <c r="G123" s="151"/>
      <c r="H123" s="151"/>
      <c r="I123" s="151"/>
      <c r="J123" s="151"/>
      <c r="K123" s="151"/>
      <c r="L123" s="151"/>
      <c r="M123" s="151"/>
      <c r="N123" s="151"/>
      <c r="O123" s="151"/>
    </row>
    <row r="124" spans="3:15">
      <c r="C124" s="151"/>
      <c r="D124" s="151"/>
      <c r="E124" s="151"/>
      <c r="F124" s="151"/>
      <c r="G124" s="151"/>
      <c r="H124" s="151"/>
      <c r="I124" s="151"/>
      <c r="J124" s="151"/>
      <c r="K124" s="151"/>
      <c r="L124" s="151"/>
      <c r="M124" s="151"/>
      <c r="N124" s="151"/>
      <c r="O124" s="151"/>
    </row>
    <row r="125" spans="3:15">
      <c r="C125" s="151"/>
      <c r="D125" s="151"/>
      <c r="E125" s="151"/>
      <c r="F125" s="151"/>
      <c r="G125" s="151"/>
      <c r="H125" s="151"/>
      <c r="I125" s="151"/>
      <c r="J125" s="151"/>
      <c r="K125" s="151"/>
      <c r="L125" s="151"/>
      <c r="M125" s="151"/>
      <c r="N125" s="151"/>
      <c r="O125" s="151"/>
    </row>
    <row r="126" spans="3:15">
      <c r="C126" s="151"/>
      <c r="D126" s="151"/>
      <c r="E126" s="151"/>
      <c r="F126" s="151"/>
      <c r="G126" s="151"/>
      <c r="H126" s="151"/>
      <c r="I126" s="151"/>
      <c r="J126" s="151"/>
      <c r="K126" s="151"/>
      <c r="L126" s="151"/>
      <c r="M126" s="151"/>
      <c r="N126" s="151"/>
      <c r="O126" s="151"/>
    </row>
    <row r="127" spans="3:15">
      <c r="C127" s="151"/>
      <c r="D127" s="151"/>
      <c r="E127" s="151"/>
      <c r="F127" s="151"/>
      <c r="G127" s="151"/>
      <c r="H127" s="151"/>
      <c r="I127" s="151"/>
      <c r="J127" s="151"/>
      <c r="K127" s="151"/>
      <c r="L127" s="151"/>
      <c r="M127" s="151"/>
      <c r="N127" s="151"/>
      <c r="O127" s="151"/>
    </row>
    <row r="128" spans="3:15">
      <c r="C128" s="151"/>
      <c r="D128" s="151"/>
      <c r="E128" s="151"/>
      <c r="F128" s="151"/>
      <c r="G128" s="151"/>
      <c r="H128" s="151"/>
      <c r="I128" s="151"/>
      <c r="J128" s="151"/>
      <c r="K128" s="151"/>
      <c r="L128" s="151"/>
      <c r="M128" s="151"/>
      <c r="N128" s="151"/>
      <c r="O128" s="151"/>
    </row>
    <row r="129" spans="3:15">
      <c r="C129" s="151"/>
      <c r="D129" s="151"/>
      <c r="E129" s="151"/>
      <c r="F129" s="151"/>
      <c r="G129" s="151"/>
      <c r="H129" s="151"/>
      <c r="I129" s="151"/>
      <c r="J129" s="151"/>
      <c r="K129" s="151"/>
      <c r="L129" s="151"/>
      <c r="M129" s="151"/>
      <c r="N129" s="151"/>
      <c r="O129" s="151"/>
    </row>
    <row r="130" spans="3:15">
      <c r="C130" s="151"/>
      <c r="D130" s="151"/>
      <c r="E130" s="151"/>
      <c r="F130" s="151"/>
      <c r="G130" s="151"/>
      <c r="H130" s="151"/>
      <c r="I130" s="151"/>
      <c r="J130" s="151"/>
      <c r="K130" s="151"/>
      <c r="L130" s="151"/>
      <c r="M130" s="151"/>
      <c r="N130" s="151"/>
      <c r="O130" s="151"/>
    </row>
    <row r="131" spans="3:15">
      <c r="C131" s="151"/>
      <c r="D131" s="151"/>
      <c r="E131" s="151"/>
      <c r="F131" s="151"/>
      <c r="G131" s="151"/>
      <c r="H131" s="151"/>
      <c r="I131" s="151"/>
      <c r="J131" s="151"/>
      <c r="K131" s="151"/>
      <c r="L131" s="151"/>
      <c r="M131" s="151"/>
      <c r="N131" s="151"/>
      <c r="O131" s="151"/>
    </row>
    <row r="132" spans="3:15">
      <c r="C132" s="151"/>
      <c r="D132" s="151"/>
      <c r="E132" s="151"/>
      <c r="F132" s="151"/>
      <c r="G132" s="151"/>
      <c r="H132" s="151"/>
      <c r="I132" s="151"/>
      <c r="J132" s="151"/>
      <c r="K132" s="151"/>
      <c r="L132" s="151"/>
      <c r="M132" s="151"/>
      <c r="N132" s="151"/>
      <c r="O132" s="151"/>
    </row>
    <row r="133" spans="3:15">
      <c r="C133" s="151"/>
      <c r="D133" s="151"/>
      <c r="E133" s="151"/>
      <c r="F133" s="151"/>
      <c r="G133" s="151"/>
      <c r="H133" s="151"/>
      <c r="I133" s="151"/>
      <c r="J133" s="151"/>
      <c r="K133" s="151"/>
      <c r="L133" s="151"/>
      <c r="M133" s="151"/>
      <c r="N133" s="151"/>
      <c r="O133" s="151"/>
    </row>
    <row r="134" spans="3:15">
      <c r="C134" s="151"/>
      <c r="D134" s="151"/>
      <c r="E134" s="151"/>
      <c r="F134" s="151"/>
      <c r="G134" s="151"/>
      <c r="H134" s="151"/>
      <c r="I134" s="151"/>
      <c r="J134" s="151"/>
      <c r="K134" s="151"/>
      <c r="L134" s="151"/>
      <c r="M134" s="151"/>
      <c r="N134" s="151"/>
      <c r="O134" s="151"/>
    </row>
    <row r="135" spans="3:15">
      <c r="C135" s="151"/>
      <c r="D135" s="151"/>
      <c r="E135" s="151"/>
      <c r="F135" s="151"/>
      <c r="G135" s="151"/>
      <c r="H135" s="151"/>
      <c r="I135" s="151"/>
      <c r="J135" s="151"/>
      <c r="K135" s="151"/>
      <c r="L135" s="151"/>
      <c r="M135" s="151"/>
      <c r="N135" s="151"/>
      <c r="O135" s="151"/>
    </row>
    <row r="136" spans="3:15">
      <c r="C136" s="151"/>
      <c r="D136" s="151"/>
      <c r="E136" s="151"/>
      <c r="F136" s="151"/>
      <c r="G136" s="151"/>
      <c r="H136" s="151"/>
      <c r="I136" s="151"/>
      <c r="J136" s="151"/>
      <c r="K136" s="151"/>
      <c r="L136" s="151"/>
      <c r="M136" s="151"/>
      <c r="N136" s="151"/>
      <c r="O136" s="151"/>
    </row>
    <row r="137" spans="3:15">
      <c r="C137" s="151"/>
      <c r="D137" s="151"/>
      <c r="E137" s="151"/>
      <c r="F137" s="151"/>
      <c r="G137" s="151"/>
      <c r="H137" s="151"/>
      <c r="I137" s="151"/>
      <c r="J137" s="151"/>
      <c r="K137" s="151"/>
      <c r="L137" s="151"/>
      <c r="M137" s="151"/>
      <c r="N137" s="151"/>
      <c r="O137" s="151"/>
    </row>
    <row r="138" spans="3:15">
      <c r="C138" s="151"/>
      <c r="D138" s="151"/>
      <c r="E138" s="151"/>
      <c r="F138" s="151"/>
      <c r="G138" s="151"/>
      <c r="H138" s="151"/>
      <c r="I138" s="151"/>
      <c r="J138" s="151"/>
      <c r="K138" s="151"/>
      <c r="L138" s="151"/>
      <c r="M138" s="151"/>
      <c r="N138" s="151"/>
      <c r="O138" s="151"/>
    </row>
    <row r="139" spans="3:15">
      <c r="C139" s="151"/>
      <c r="D139" s="151"/>
      <c r="E139" s="151"/>
      <c r="F139" s="151"/>
      <c r="G139" s="151"/>
      <c r="H139" s="151"/>
      <c r="I139" s="151"/>
      <c r="J139" s="151"/>
      <c r="K139" s="151"/>
      <c r="L139" s="151"/>
      <c r="M139" s="151"/>
      <c r="N139" s="151"/>
      <c r="O139" s="151"/>
    </row>
    <row r="140" spans="3:15">
      <c r="C140" s="151"/>
      <c r="D140" s="151"/>
      <c r="E140" s="151"/>
      <c r="F140" s="151"/>
      <c r="G140" s="151"/>
      <c r="H140" s="151"/>
      <c r="I140" s="151"/>
      <c r="J140" s="151"/>
      <c r="K140" s="151"/>
      <c r="L140" s="151"/>
      <c r="M140" s="151"/>
      <c r="N140" s="151"/>
      <c r="O140" s="151"/>
    </row>
    <row r="141" spans="3:15">
      <c r="C141" s="151"/>
      <c r="D141" s="151"/>
      <c r="E141" s="151"/>
      <c r="F141" s="151"/>
      <c r="G141" s="151"/>
      <c r="H141" s="151"/>
      <c r="I141" s="151"/>
      <c r="J141" s="151"/>
      <c r="K141" s="151"/>
      <c r="L141" s="151"/>
      <c r="M141" s="151"/>
      <c r="N141" s="151"/>
      <c r="O141" s="151"/>
    </row>
    <row r="142" spans="3:15">
      <c r="C142" s="151"/>
      <c r="D142" s="151"/>
      <c r="E142" s="151"/>
      <c r="F142" s="151"/>
      <c r="G142" s="151"/>
      <c r="H142" s="151"/>
      <c r="I142" s="151"/>
      <c r="J142" s="151"/>
      <c r="K142" s="151"/>
      <c r="L142" s="151"/>
      <c r="M142" s="151"/>
      <c r="N142" s="151"/>
      <c r="O142" s="151"/>
    </row>
    <row r="143" spans="3:15">
      <c r="C143" s="151"/>
      <c r="D143" s="151"/>
      <c r="E143" s="151"/>
      <c r="F143" s="151"/>
      <c r="G143" s="151"/>
      <c r="H143" s="151"/>
      <c r="I143" s="151"/>
      <c r="J143" s="151"/>
      <c r="K143" s="151"/>
      <c r="L143" s="151"/>
      <c r="M143" s="151"/>
      <c r="N143" s="151"/>
      <c r="O143" s="151"/>
    </row>
    <row r="144" spans="3:15">
      <c r="C144" s="151"/>
      <c r="D144" s="151"/>
      <c r="E144" s="151"/>
      <c r="F144" s="151"/>
      <c r="G144" s="151"/>
      <c r="H144" s="151"/>
      <c r="I144" s="151"/>
      <c r="J144" s="151"/>
      <c r="K144" s="151"/>
      <c r="L144" s="151"/>
      <c r="M144" s="151"/>
      <c r="N144" s="151"/>
      <c r="O144" s="151"/>
    </row>
    <row r="145" spans="3:15">
      <c r="C145" s="151"/>
      <c r="D145" s="151"/>
      <c r="E145" s="151"/>
      <c r="F145" s="151"/>
      <c r="G145" s="151"/>
      <c r="H145" s="151"/>
      <c r="I145" s="151"/>
      <c r="J145" s="151"/>
      <c r="K145" s="151"/>
      <c r="L145" s="151"/>
      <c r="M145" s="151"/>
      <c r="N145" s="151"/>
      <c r="O145" s="151"/>
    </row>
    <row r="146" spans="3:15">
      <c r="C146" s="151"/>
      <c r="D146" s="151"/>
      <c r="E146" s="151"/>
      <c r="F146" s="151"/>
      <c r="G146" s="151"/>
      <c r="H146" s="151"/>
      <c r="I146" s="151"/>
      <c r="J146" s="151"/>
      <c r="K146" s="151"/>
      <c r="L146" s="151"/>
      <c r="M146" s="151"/>
      <c r="N146" s="151"/>
      <c r="O146" s="151"/>
    </row>
    <row r="147" spans="3:15">
      <c r="C147" s="151"/>
      <c r="D147" s="151"/>
      <c r="E147" s="151"/>
      <c r="F147" s="151"/>
      <c r="G147" s="151"/>
      <c r="H147" s="151"/>
      <c r="I147" s="151"/>
      <c r="J147" s="151"/>
      <c r="K147" s="151"/>
      <c r="L147" s="151"/>
      <c r="M147" s="151"/>
      <c r="N147" s="151"/>
      <c r="O147" s="151"/>
    </row>
    <row r="148" spans="3:15">
      <c r="C148" s="151"/>
      <c r="D148" s="151"/>
      <c r="E148" s="151"/>
      <c r="F148" s="151"/>
      <c r="G148" s="151"/>
      <c r="H148" s="151"/>
      <c r="I148" s="151"/>
      <c r="J148" s="151"/>
      <c r="K148" s="151"/>
      <c r="L148" s="151"/>
      <c r="M148" s="151"/>
      <c r="N148" s="151"/>
      <c r="O148" s="151"/>
    </row>
    <row r="149" spans="3:15">
      <c r="C149" s="151"/>
      <c r="D149" s="151"/>
      <c r="E149" s="151"/>
      <c r="F149" s="151"/>
      <c r="G149" s="151"/>
      <c r="H149" s="151"/>
      <c r="I149" s="151"/>
      <c r="J149" s="151"/>
      <c r="K149" s="151"/>
      <c r="L149" s="151"/>
      <c r="M149" s="151"/>
      <c r="N149" s="151"/>
      <c r="O149" s="151"/>
    </row>
    <row r="150" spans="3:15">
      <c r="C150" s="151"/>
      <c r="D150" s="151"/>
      <c r="E150" s="151"/>
      <c r="F150" s="151"/>
      <c r="G150" s="151"/>
      <c r="H150" s="151"/>
      <c r="I150" s="151"/>
      <c r="J150" s="151"/>
      <c r="K150" s="151"/>
      <c r="L150" s="151"/>
      <c r="M150" s="151"/>
      <c r="N150" s="151"/>
      <c r="O150" s="151"/>
    </row>
    <row r="151" spans="3:15">
      <c r="C151" s="151"/>
      <c r="D151" s="151"/>
      <c r="E151" s="151"/>
      <c r="F151" s="151"/>
      <c r="G151" s="151"/>
      <c r="H151" s="151"/>
      <c r="I151" s="151"/>
      <c r="J151" s="151"/>
      <c r="K151" s="151"/>
      <c r="L151" s="151"/>
      <c r="M151" s="151"/>
      <c r="N151" s="151"/>
      <c r="O151" s="151"/>
    </row>
  </sheetData>
  <phoneticPr fontId="0" type="noConversion"/>
  <pageMargins left="0.75" right="0.75" top="1" bottom="1" header="0.5" footer="0.5"/>
  <pageSetup paperSize="9" scale="6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9792" r:id="rId4" name="adaytum_page_2_drop_1">
              <controlPr defaultSize="0" print="0" autoFill="0" autoPict="0" macro="[1]!AdaytumDropDown">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9793" r:id="rId5" name="adaytum_page_2_drop_2">
              <controlPr defaultSize="0" print="0" autoFill="0" autoPict="0" macro="[1]!AdaytumDropDown">
                <anchor moveWithCells="1">
                  <from>
                    <xdr:col>2</xdr:col>
                    <xdr:colOff>0</xdr:colOff>
                    <xdr:row>27</xdr:row>
                    <xdr:rowOff>0</xdr:rowOff>
                  </from>
                  <to>
                    <xdr:col>3</xdr:col>
                    <xdr:colOff>0</xdr:colOff>
                    <xdr:row>28</xdr:row>
                    <xdr:rowOff>0</xdr:rowOff>
                  </to>
                </anchor>
              </controlPr>
            </control>
          </mc:Choice>
        </mc:AlternateContent>
        <mc:AlternateContent xmlns:mc="http://schemas.openxmlformats.org/markup-compatibility/2006">
          <mc:Choice Requires="x14">
            <control shapeId="29794" r:id="rId6" name="adaytum_page_2_drop_3">
              <controlPr defaultSize="0" print="0" autoFill="0" autoPict="0" macro="[1]!AdaytumDropDown">
                <anchor moveWithCells="1">
                  <from>
                    <xdr:col>3</xdr:col>
                    <xdr:colOff>0</xdr:colOff>
                    <xdr:row>27</xdr:row>
                    <xdr:rowOff>0</xdr:rowOff>
                  </from>
                  <to>
                    <xdr:col>4</xdr:col>
                    <xdr:colOff>0</xdr:colOff>
                    <xdr:row>28</xdr:row>
                    <xdr:rowOff>0</xdr:rowOff>
                  </to>
                </anchor>
              </controlPr>
            </control>
          </mc:Choice>
        </mc:AlternateContent>
        <mc:AlternateContent xmlns:mc="http://schemas.openxmlformats.org/markup-compatibility/2006">
          <mc:Choice Requires="x14">
            <control shapeId="29920" r:id="rId7" name="adaytum_page_3_drop_1">
              <controlPr defaultSize="0" print="0" autoFill="0" autoPict="0" macro="[1]!AdaytumDropDown">
                <anchor moveWithCells="1">
                  <from>
                    <xdr:col>1</xdr:col>
                    <xdr:colOff>0</xdr:colOff>
                    <xdr:row>43</xdr:row>
                    <xdr:rowOff>0</xdr:rowOff>
                  </from>
                  <to>
                    <xdr:col>2</xdr:col>
                    <xdr:colOff>0</xdr:colOff>
                    <xdr:row>44</xdr:row>
                    <xdr:rowOff>0</xdr:rowOff>
                  </to>
                </anchor>
              </controlPr>
            </control>
          </mc:Choice>
        </mc:AlternateContent>
        <mc:AlternateContent xmlns:mc="http://schemas.openxmlformats.org/markup-compatibility/2006">
          <mc:Choice Requires="x14">
            <control shapeId="29921" r:id="rId8" name="adaytum_page_3_drop_2">
              <controlPr defaultSize="0" print="0" autoFill="0" autoPict="0" macro="[1]!AdaytumDropDown">
                <anchor moveWithCells="1">
                  <from>
                    <xdr:col>2</xdr:col>
                    <xdr:colOff>0</xdr:colOff>
                    <xdr:row>43</xdr:row>
                    <xdr:rowOff>0</xdr:rowOff>
                  </from>
                  <to>
                    <xdr:col>3</xdr:col>
                    <xdr:colOff>0</xdr:colOff>
                    <xdr:row>44</xdr:row>
                    <xdr:rowOff>0</xdr:rowOff>
                  </to>
                </anchor>
              </controlPr>
            </control>
          </mc:Choice>
        </mc:AlternateContent>
        <mc:AlternateContent xmlns:mc="http://schemas.openxmlformats.org/markup-compatibility/2006">
          <mc:Choice Requires="x14">
            <control shapeId="29922" r:id="rId9" name="adaytum_page_3_drop_3">
              <controlPr defaultSize="0" print="0" autoFill="0" autoPict="0" macro="[1]!AdaytumDropDown">
                <anchor moveWithCells="1">
                  <from>
                    <xdr:col>3</xdr:col>
                    <xdr:colOff>0</xdr:colOff>
                    <xdr:row>43</xdr:row>
                    <xdr:rowOff>0</xdr:rowOff>
                  </from>
                  <to>
                    <xdr:col>4</xdr:col>
                    <xdr:colOff>0</xdr:colOff>
                    <xdr:row>44</xdr:row>
                    <xdr:rowOff>0</xdr:rowOff>
                  </to>
                </anchor>
              </controlPr>
            </control>
          </mc:Choice>
        </mc:AlternateContent>
        <mc:AlternateContent xmlns:mc="http://schemas.openxmlformats.org/markup-compatibility/2006">
          <mc:Choice Requires="x14">
            <control shapeId="30002" r:id="rId10" name="adaytum_page_1_drop_1">
              <controlPr defaultSize="0" print="0" autoFill="0" autoPict="0" macro="[1]!AdaytumDropDown">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30004" r:id="rId11" name="adaytum_page_1_drop_2">
              <controlPr defaultSize="0" print="0" autoFill="0" autoPict="0" macro="[1]!AdaytumDropDown">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30006" r:id="rId12" name="adaytum_page_1_drop_3">
              <controlPr defaultSize="0" print="0" autoFill="0" autoPict="0" macro="[1]!AdaytumDropDown">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30008" r:id="rId13" name="adaytum_page_1_drop_4">
              <controlPr defaultSize="0" print="0" autoFill="0" autoPict="0" macro="[1]!AdaytumDropDown">
                <anchor moveWithCells="1">
                  <from>
                    <xdr:col>4</xdr:col>
                    <xdr:colOff>0</xdr:colOff>
                    <xdr:row>11</xdr:row>
                    <xdr:rowOff>0</xdr:rowOff>
                  </from>
                  <to>
                    <xdr:col>5</xdr:col>
                    <xdr:colOff>0</xdr:colOff>
                    <xdr:row>12</xdr:row>
                    <xdr:rowOff>0</xdr:rowOff>
                  </to>
                </anchor>
              </controlPr>
            </control>
          </mc:Choice>
        </mc:AlternateContent>
      </controls>
    </mc:Choice>
  </mc:AlternateConten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pageSetUpPr fitToPage="1"/>
  </sheetPr>
  <dimension ref="B8:X31"/>
  <sheetViews>
    <sheetView topLeftCell="A5" zoomScale="75" workbookViewId="0">
      <selection activeCell="F74" sqref="F74"/>
    </sheetView>
  </sheetViews>
  <sheetFormatPr defaultColWidth="9.109375" defaultRowHeight="13.2"/>
  <cols>
    <col min="1" max="1" width="9.109375" style="16"/>
    <col min="2" max="2" width="10" style="16" customWidth="1"/>
    <col min="3" max="3" width="15" style="16" customWidth="1"/>
    <col min="4" max="4" width="18.88671875" style="16" customWidth="1"/>
    <col min="5" max="5" width="16.88671875" style="16" customWidth="1"/>
    <col min="6" max="6" width="18.88671875" style="16" customWidth="1"/>
    <col min="7" max="7" width="15.33203125" style="16" customWidth="1"/>
    <col min="8" max="15" width="15.6640625" style="16" customWidth="1"/>
    <col min="16" max="16" width="9.6640625" style="16" customWidth="1"/>
    <col min="17" max="17" width="12.44140625" style="16" customWidth="1"/>
    <col min="18" max="16384" width="9.109375" style="16"/>
  </cols>
  <sheetData>
    <row r="8" spans="2:5">
      <c r="B8" s="290" t="s">
        <v>232</v>
      </c>
      <c r="C8" s="282"/>
      <c r="D8" s="282"/>
    </row>
    <row r="10" spans="2:5">
      <c r="B10" s="391" t="s">
        <v>36</v>
      </c>
    </row>
    <row r="12" spans="2:5">
      <c r="B12" s="147" t="s">
        <v>0</v>
      </c>
    </row>
    <row r="13" spans="2:5" ht="12.75" customHeight="1">
      <c r="B13" s="149" t="s">
        <v>72</v>
      </c>
      <c r="C13" s="149" t="s">
        <v>73</v>
      </c>
      <c r="D13" s="149" t="s">
        <v>21</v>
      </c>
      <c r="E13" s="149" t="s">
        <v>74</v>
      </c>
    </row>
    <row r="14" spans="2:5">
      <c r="E14" s="27" t="s">
        <v>39</v>
      </c>
    </row>
    <row r="15" spans="2:5" ht="26.4">
      <c r="C15" s="327" t="s">
        <v>265</v>
      </c>
    </row>
    <row r="16" spans="2:5">
      <c r="B16" s="263" t="s">
        <v>32</v>
      </c>
      <c r="C16" s="127">
        <v>10</v>
      </c>
      <c r="E16" s="380">
        <f>SUM(C16:D16)</f>
        <v>10</v>
      </c>
    </row>
    <row r="19" spans="2:24">
      <c r="B19" s="391" t="s">
        <v>89</v>
      </c>
    </row>
    <row r="21" spans="2:24">
      <c r="B21" s="147" t="s">
        <v>0</v>
      </c>
    </row>
    <row r="22" spans="2:24" ht="12.75" customHeight="1">
      <c r="B22" s="149" t="s">
        <v>21</v>
      </c>
    </row>
    <row r="24" spans="2:24" ht="26.4">
      <c r="C24" s="327" t="s">
        <v>265</v>
      </c>
      <c r="D24" s="327"/>
      <c r="E24" s="327"/>
      <c r="F24" s="327"/>
      <c r="G24" s="327"/>
      <c r="H24" s="327"/>
      <c r="I24" s="327"/>
      <c r="J24" s="327"/>
      <c r="K24" s="327"/>
      <c r="L24" s="327"/>
      <c r="M24" s="327"/>
      <c r="N24" s="327"/>
      <c r="O24" s="327"/>
      <c r="P24" s="327"/>
      <c r="Q24" s="327"/>
      <c r="R24" s="327"/>
      <c r="S24" s="327"/>
      <c r="T24" s="327"/>
      <c r="U24" s="327"/>
      <c r="V24" s="327"/>
      <c r="W24" s="327"/>
      <c r="X24" s="327"/>
    </row>
    <row r="25" spans="2:24">
      <c r="B25" s="263" t="s">
        <v>82</v>
      </c>
      <c r="C25" s="127">
        <v>25</v>
      </c>
      <c r="E25" s="380">
        <f>SUM(C25:D25)</f>
        <v>25</v>
      </c>
    </row>
    <row r="28" spans="2:24">
      <c r="B28" s="391">
        <v>2000</v>
      </c>
    </row>
    <row r="30" spans="2:24">
      <c r="C30" s="127"/>
      <c r="D30" s="127"/>
      <c r="E30" s="127"/>
      <c r="F30" s="127"/>
      <c r="G30" s="127"/>
      <c r="H30" s="127"/>
      <c r="I30" s="127"/>
      <c r="J30" s="127"/>
      <c r="K30" s="127"/>
      <c r="L30" s="127"/>
      <c r="M30" s="127"/>
      <c r="N30" s="127"/>
      <c r="O30" s="127"/>
    </row>
    <row r="31" spans="2:24">
      <c r="B31" s="41" t="s">
        <v>236</v>
      </c>
      <c r="C31" s="127"/>
      <c r="D31" s="127"/>
      <c r="F31" s="127"/>
      <c r="G31" s="127"/>
      <c r="H31" s="127"/>
      <c r="I31" s="127"/>
      <c r="J31" s="127"/>
      <c r="K31" s="127"/>
      <c r="L31" s="127"/>
      <c r="M31" s="127"/>
      <c r="N31" s="127"/>
      <c r="O31" s="127"/>
      <c r="Q31" s="380">
        <f>+'Input Data'!F52</f>
        <v>21</v>
      </c>
    </row>
  </sheetData>
  <phoneticPr fontId="0" type="noConversion"/>
  <pageMargins left="0.75" right="0.75" top="1" bottom="1" header="0.5" footer="0.5"/>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8540" r:id="rId4" name="adaytum_page_3_drop_1">
              <controlPr defaultSize="0" print="0" autoFill="0" autoPict="0" macro="[1]!AdaytumDropDown">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58542" r:id="rId5" name="adaytum_page_3_drop_2">
              <controlPr defaultSize="0" print="0" autoFill="0" autoPict="0" macro="[1]!AdaytumDropDown">
                <anchor moveWithCells="1">
                  <from>
                    <xdr:col>2</xdr:col>
                    <xdr:colOff>0</xdr:colOff>
                    <xdr:row>12</xdr:row>
                    <xdr:rowOff>0</xdr:rowOff>
                  </from>
                  <to>
                    <xdr:col>2</xdr:col>
                    <xdr:colOff>640080</xdr:colOff>
                    <xdr:row>13</xdr:row>
                    <xdr:rowOff>0</xdr:rowOff>
                  </to>
                </anchor>
              </controlPr>
            </control>
          </mc:Choice>
        </mc:AlternateContent>
        <mc:AlternateContent xmlns:mc="http://schemas.openxmlformats.org/markup-compatibility/2006">
          <mc:Choice Requires="x14">
            <control shapeId="58544" r:id="rId6" name="adaytum_page_3_drop_3">
              <controlPr defaultSize="0" print="0" autoFill="0" autoPict="0" macro="[1]!AdaytumDropDown">
                <anchor moveWithCells="1">
                  <from>
                    <xdr:col>3</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58546" r:id="rId7" name="adaytum_page_3_drop_4">
              <controlPr defaultSize="0" print="0" autoFill="0" autoPict="0" macro="[1]!AdaytumDropDown">
                <anchor moveWithCells="1">
                  <from>
                    <xdr:col>4</xdr:col>
                    <xdr:colOff>0</xdr:colOff>
                    <xdr:row>12</xdr:row>
                    <xdr:rowOff>0</xdr:rowOff>
                  </from>
                  <to>
                    <xdr:col>5</xdr:col>
                    <xdr:colOff>0</xdr:colOff>
                    <xdr:row>13</xdr:row>
                    <xdr:rowOff>0</xdr:rowOff>
                  </to>
                </anchor>
              </controlPr>
            </control>
          </mc:Choice>
        </mc:AlternateContent>
        <mc:AlternateContent xmlns:mc="http://schemas.openxmlformats.org/markup-compatibility/2006">
          <mc:Choice Requires="x14">
            <control shapeId="58560" r:id="rId8" name="adaytum_page_1_drop_1">
              <controlPr defaultSize="0" print="0" autoFill="0" autoPict="0" macro="[1]!AdaytumDropDown">
                <anchor moveWithCells="1">
                  <from>
                    <xdr:col>1</xdr:col>
                    <xdr:colOff>0</xdr:colOff>
                    <xdr:row>21</xdr:row>
                    <xdr:rowOff>0</xdr:rowOff>
                  </from>
                  <to>
                    <xdr:col>2</xdr:col>
                    <xdr:colOff>0</xdr:colOff>
                    <xdr:row>22</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Z133"/>
  <sheetViews>
    <sheetView tabSelected="1" zoomScale="75" workbookViewId="0">
      <selection activeCell="C9" sqref="C9"/>
    </sheetView>
  </sheetViews>
  <sheetFormatPr defaultColWidth="9.109375" defaultRowHeight="13.2"/>
  <cols>
    <col min="1" max="1" width="12" style="16" customWidth="1"/>
    <col min="2" max="2" width="13.88671875" style="16" customWidth="1"/>
    <col min="3" max="3" width="12" style="16" customWidth="1"/>
    <col min="4" max="4" width="27" style="16" bestFit="1" customWidth="1"/>
    <col min="5" max="10" width="15.44140625" style="16" customWidth="1"/>
    <col min="11" max="11" width="17" style="16" customWidth="1"/>
    <col min="12" max="12" width="15.44140625" style="16" customWidth="1"/>
    <col min="13" max="13" width="15.88671875" style="16" customWidth="1"/>
    <col min="14" max="14" width="16" style="16" customWidth="1"/>
    <col min="15" max="15" width="24.6640625" style="16" customWidth="1"/>
    <col min="16" max="18" width="12" style="16" customWidth="1"/>
    <col min="19" max="16384" width="9.109375" style="16"/>
  </cols>
  <sheetData>
    <row r="1" spans="1:26">
      <c r="A1" s="195"/>
      <c r="B1" s="196"/>
      <c r="C1" s="196"/>
      <c r="D1" s="196"/>
      <c r="E1" s="196"/>
      <c r="F1" s="196"/>
      <c r="G1" s="196"/>
      <c r="H1" s="196"/>
      <c r="I1" s="196"/>
      <c r="J1" s="196"/>
      <c r="K1" s="196"/>
      <c r="L1" s="196"/>
      <c r="M1" s="196"/>
      <c r="N1" s="196"/>
      <c r="O1" s="196"/>
      <c r="P1" s="196"/>
      <c r="Q1" s="196"/>
      <c r="R1" s="166"/>
      <c r="S1" s="127"/>
      <c r="T1" s="127"/>
      <c r="U1" s="127"/>
      <c r="V1" s="127"/>
      <c r="W1" s="127"/>
      <c r="X1" s="127"/>
      <c r="Y1" s="127"/>
      <c r="Z1" s="127"/>
    </row>
    <row r="2" spans="1:26">
      <c r="A2" s="197"/>
      <c r="B2" s="127"/>
      <c r="C2" s="127"/>
      <c r="D2" s="127"/>
      <c r="E2" s="127"/>
      <c r="F2" s="127"/>
      <c r="G2" s="127"/>
      <c r="H2" s="127"/>
      <c r="I2" s="127"/>
      <c r="J2" s="127"/>
      <c r="K2" s="127"/>
      <c r="L2" s="127"/>
      <c r="M2" s="127"/>
      <c r="N2" s="127"/>
      <c r="O2" s="127"/>
      <c r="P2" s="127"/>
      <c r="Q2" s="127"/>
      <c r="R2" s="167"/>
      <c r="S2" s="127"/>
      <c r="T2" s="127"/>
      <c r="U2" s="127"/>
      <c r="V2" s="127"/>
      <c r="W2" s="127"/>
      <c r="X2" s="127"/>
      <c r="Y2" s="127"/>
      <c r="Z2" s="127"/>
    </row>
    <row r="3" spans="1:26">
      <c r="A3" s="197"/>
      <c r="B3" s="127"/>
      <c r="C3" s="127"/>
      <c r="D3" s="127"/>
      <c r="E3" s="127"/>
      <c r="F3" s="127"/>
      <c r="G3" s="127"/>
      <c r="H3" s="127"/>
      <c r="I3" s="127"/>
      <c r="J3" s="127"/>
      <c r="K3" s="127"/>
      <c r="L3" s="127"/>
      <c r="M3" s="127"/>
      <c r="N3" s="127"/>
      <c r="O3" s="127"/>
      <c r="P3" s="127"/>
      <c r="Q3" s="127"/>
      <c r="R3" s="167"/>
      <c r="S3" s="127"/>
      <c r="T3" s="127"/>
      <c r="U3" s="127"/>
      <c r="V3" s="127"/>
      <c r="W3" s="127"/>
      <c r="X3" s="127"/>
      <c r="Y3" s="127"/>
      <c r="Z3" s="127"/>
    </row>
    <row r="4" spans="1:26">
      <c r="A4" s="197"/>
      <c r="B4" s="127"/>
      <c r="C4" s="127"/>
      <c r="D4" s="127"/>
      <c r="E4" s="127"/>
      <c r="F4" s="127"/>
      <c r="G4" s="127"/>
      <c r="H4" s="127"/>
      <c r="I4" s="127"/>
      <c r="J4" s="127"/>
      <c r="K4" s="127"/>
      <c r="L4" s="127"/>
      <c r="M4" s="127"/>
      <c r="N4" s="127"/>
      <c r="O4" s="127"/>
      <c r="P4" s="127"/>
      <c r="Q4" s="127"/>
      <c r="R4" s="167"/>
      <c r="S4" s="127"/>
      <c r="T4" s="127"/>
      <c r="U4" s="127"/>
      <c r="V4" s="127"/>
      <c r="W4" s="127"/>
      <c r="X4" s="127"/>
      <c r="Y4" s="127"/>
      <c r="Z4" s="127"/>
    </row>
    <row r="5" spans="1:26">
      <c r="A5" s="197"/>
      <c r="B5" s="127"/>
      <c r="C5" s="127"/>
      <c r="D5" s="127"/>
      <c r="E5" s="127"/>
      <c r="F5" s="127"/>
      <c r="G5" s="127"/>
      <c r="H5" s="127"/>
      <c r="I5" s="127"/>
      <c r="J5" s="127"/>
      <c r="K5" s="127"/>
      <c r="L5" s="127"/>
      <c r="M5" s="127"/>
      <c r="N5" s="127"/>
      <c r="O5" s="127"/>
      <c r="P5" s="127"/>
      <c r="Q5" s="127"/>
      <c r="R5" s="167"/>
      <c r="S5" s="127"/>
      <c r="T5" s="127"/>
      <c r="U5" s="127"/>
      <c r="V5" s="127"/>
      <c r="W5" s="127"/>
      <c r="X5" s="127"/>
      <c r="Y5" s="127"/>
      <c r="Z5" s="127"/>
    </row>
    <row r="6" spans="1:26">
      <c r="A6" s="197"/>
      <c r="B6" s="127"/>
      <c r="C6" s="127"/>
      <c r="D6" s="127"/>
      <c r="E6" s="127"/>
      <c r="F6" s="127"/>
      <c r="G6" s="127"/>
      <c r="H6" s="127"/>
      <c r="I6" s="127"/>
      <c r="J6" s="127"/>
      <c r="K6" s="127"/>
      <c r="L6" s="127"/>
      <c r="M6" s="127"/>
      <c r="N6" s="127"/>
      <c r="O6" s="127"/>
      <c r="P6" s="127"/>
      <c r="Q6" s="127"/>
      <c r="R6" s="167"/>
      <c r="S6" s="127"/>
      <c r="T6" s="127"/>
      <c r="U6" s="127"/>
      <c r="V6" s="127"/>
      <c r="W6" s="127"/>
      <c r="X6" s="127"/>
      <c r="Y6" s="127"/>
      <c r="Z6" s="127"/>
    </row>
    <row r="7" spans="1:26">
      <c r="A7" s="197"/>
      <c r="B7" s="127"/>
      <c r="C7" s="127"/>
      <c r="D7" s="127"/>
      <c r="E7" s="127"/>
      <c r="F7" s="127"/>
      <c r="G7" s="127"/>
      <c r="H7" s="127"/>
      <c r="I7" s="127"/>
      <c r="J7" s="127"/>
      <c r="K7" s="127"/>
      <c r="L7" s="127"/>
      <c r="M7" s="127"/>
      <c r="N7" s="127"/>
      <c r="O7" s="127"/>
      <c r="P7" s="127"/>
      <c r="Q7" s="127"/>
      <c r="R7" s="167"/>
      <c r="S7" s="127"/>
      <c r="T7" s="127"/>
      <c r="U7" s="127"/>
      <c r="V7" s="127"/>
      <c r="W7" s="127"/>
      <c r="X7" s="127"/>
      <c r="Y7" s="127"/>
      <c r="Z7" s="127"/>
    </row>
    <row r="8" spans="1:26" ht="13.8" thickBot="1">
      <c r="A8" s="197"/>
      <c r="B8" s="127"/>
      <c r="C8" s="127"/>
      <c r="D8" s="127"/>
      <c r="E8" s="127"/>
      <c r="F8" s="127"/>
      <c r="G8" s="127"/>
      <c r="H8" s="127"/>
      <c r="I8" s="127"/>
      <c r="J8" s="127"/>
      <c r="K8" s="127"/>
      <c r="L8" s="127"/>
      <c r="M8" s="127"/>
      <c r="N8" s="127"/>
      <c r="O8" s="127"/>
      <c r="P8" s="127"/>
      <c r="Q8" s="127"/>
      <c r="R8" s="167"/>
      <c r="S8" s="127"/>
      <c r="T8" s="127"/>
      <c r="U8" s="127"/>
      <c r="V8" s="127"/>
      <c r="W8" s="127"/>
      <c r="X8" s="127"/>
      <c r="Y8" s="127"/>
      <c r="Z8" s="127"/>
    </row>
    <row r="9" spans="1:26" ht="15.6">
      <c r="A9" s="197"/>
      <c r="B9" s="127"/>
      <c r="C9" s="195"/>
      <c r="D9" s="196"/>
      <c r="E9" s="196"/>
      <c r="F9" s="912"/>
      <c r="G9" s="196"/>
      <c r="H9" s="196"/>
      <c r="I9" s="196"/>
      <c r="J9" s="196"/>
      <c r="K9" s="196"/>
      <c r="L9" s="196"/>
      <c r="M9" s="166"/>
      <c r="N9" s="127"/>
      <c r="O9" s="127"/>
      <c r="P9" s="127"/>
      <c r="Q9" s="127"/>
      <c r="R9" s="167"/>
      <c r="S9" s="127"/>
      <c r="T9" s="127"/>
      <c r="U9" s="127"/>
      <c r="V9" s="127"/>
      <c r="W9" s="127"/>
      <c r="X9" s="127"/>
      <c r="Y9" s="127"/>
      <c r="Z9" s="127"/>
    </row>
    <row r="10" spans="1:26" ht="13.8" thickBot="1">
      <c r="A10" s="197"/>
      <c r="B10" s="127"/>
      <c r="C10" s="197"/>
      <c r="D10" s="127"/>
      <c r="E10" s="127"/>
      <c r="F10" s="127"/>
      <c r="G10" s="127"/>
      <c r="H10" s="127"/>
      <c r="I10" s="127"/>
      <c r="J10" s="127"/>
      <c r="K10" s="127"/>
      <c r="L10" s="127"/>
      <c r="M10" s="167"/>
      <c r="N10" s="127"/>
      <c r="O10" s="127"/>
      <c r="P10" s="127"/>
      <c r="Q10" s="127"/>
      <c r="R10" s="167"/>
    </row>
    <row r="11" spans="1:26" ht="31.5" customHeight="1">
      <c r="A11" s="197"/>
      <c r="B11" s="127"/>
      <c r="C11" s="197"/>
      <c r="D11" s="127"/>
      <c r="E11" s="924">
        <v>2001</v>
      </c>
      <c r="F11" s="913"/>
      <c r="G11" s="914" t="s">
        <v>86</v>
      </c>
      <c r="H11" s="127"/>
      <c r="I11" s="925">
        <v>2002</v>
      </c>
      <c r="J11" s="127"/>
      <c r="K11" s="926" t="s">
        <v>91</v>
      </c>
      <c r="L11" s="127"/>
      <c r="M11" s="167"/>
      <c r="N11" s="127"/>
      <c r="O11" s="127"/>
      <c r="P11" s="127"/>
      <c r="Q11" s="127"/>
      <c r="R11" s="167"/>
    </row>
    <row r="12" spans="1:26" ht="30.75" customHeight="1" thickBot="1">
      <c r="A12" s="197"/>
      <c r="B12" s="127"/>
      <c r="C12" s="197"/>
      <c r="D12" s="127"/>
      <c r="E12" s="445" t="s">
        <v>682</v>
      </c>
      <c r="F12" s="25"/>
      <c r="G12" s="914"/>
      <c r="H12" s="127"/>
      <c r="I12" s="455"/>
      <c r="J12" s="127"/>
      <c r="K12" s="447"/>
      <c r="L12" s="127"/>
      <c r="M12" s="167"/>
      <c r="N12" s="127"/>
      <c r="O12" s="127"/>
      <c r="P12" s="127"/>
      <c r="Q12" s="127"/>
      <c r="R12" s="167"/>
    </row>
    <row r="13" spans="1:26" ht="21" customHeight="1">
      <c r="A13" s="197"/>
      <c r="B13" s="127"/>
      <c r="C13" s="197"/>
      <c r="D13" s="127"/>
      <c r="E13" s="441">
        <v>5186</v>
      </c>
      <c r="F13" s="915"/>
      <c r="G13" s="915" t="s">
        <v>24</v>
      </c>
      <c r="H13" s="916"/>
      <c r="I13" s="441">
        <v>2675</v>
      </c>
      <c r="J13" s="916"/>
      <c r="K13" s="441">
        <f>+I13-E13</f>
        <v>-2511</v>
      </c>
      <c r="L13" s="127"/>
      <c r="M13" s="167"/>
      <c r="N13" s="127"/>
      <c r="O13" s="127"/>
      <c r="P13" s="127"/>
      <c r="Q13" s="127"/>
      <c r="R13" s="167"/>
    </row>
    <row r="14" spans="1:26" ht="18.75" customHeight="1">
      <c r="A14" s="197"/>
      <c r="B14" s="127"/>
      <c r="C14" s="197"/>
      <c r="D14" s="127"/>
      <c r="E14" s="442">
        <v>146</v>
      </c>
      <c r="F14" s="917"/>
      <c r="G14" s="915" t="s">
        <v>678</v>
      </c>
      <c r="H14" s="916"/>
      <c r="I14" s="442">
        <v>213</v>
      </c>
      <c r="J14" s="916"/>
      <c r="K14" s="273">
        <f>+I14-E14</f>
        <v>67</v>
      </c>
      <c r="L14" s="127"/>
      <c r="M14" s="167"/>
      <c r="N14" s="127"/>
      <c r="O14" s="127"/>
      <c r="P14" s="332"/>
      <c r="Q14" s="332"/>
      <c r="R14" s="333"/>
      <c r="S14" s="143"/>
      <c r="T14" s="143"/>
      <c r="U14" s="143"/>
      <c r="V14" s="143"/>
      <c r="W14" s="143"/>
      <c r="X14" s="143"/>
      <c r="Y14" s="143"/>
      <c r="Z14" s="127"/>
    </row>
    <row r="15" spans="1:26" ht="22.5" customHeight="1" thickBot="1">
      <c r="A15" s="197"/>
      <c r="B15" s="127"/>
      <c r="C15" s="197"/>
      <c r="D15" s="127"/>
      <c r="E15" s="442">
        <v>-5332</v>
      </c>
      <c r="F15" s="917"/>
      <c r="G15" s="915" t="s">
        <v>95</v>
      </c>
      <c r="H15" s="916"/>
      <c r="I15" s="442">
        <v>-2888</v>
      </c>
      <c r="J15" s="916"/>
      <c r="K15" s="448">
        <f>+I15-E15</f>
        <v>2444</v>
      </c>
      <c r="L15" s="127"/>
      <c r="M15" s="167"/>
      <c r="N15" s="127"/>
      <c r="O15" s="127"/>
      <c r="P15" s="332"/>
      <c r="Q15" s="332"/>
      <c r="R15" s="333"/>
      <c r="S15" s="143"/>
      <c r="T15" s="143"/>
      <c r="U15" s="143"/>
      <c r="V15" s="143"/>
      <c r="W15" s="143"/>
      <c r="X15" s="143"/>
      <c r="Y15" s="143"/>
      <c r="Z15" s="127"/>
    </row>
    <row r="16" spans="1:26" ht="22.5" customHeight="1" thickBot="1">
      <c r="A16" s="197"/>
      <c r="B16" s="127"/>
      <c r="C16" s="197"/>
      <c r="D16" s="127"/>
      <c r="E16" s="443">
        <v>0</v>
      </c>
      <c r="F16" s="918"/>
      <c r="G16" s="915" t="s">
        <v>679</v>
      </c>
      <c r="H16" s="918"/>
      <c r="I16" s="443">
        <v>0</v>
      </c>
      <c r="J16" s="918"/>
      <c r="K16" s="449">
        <f>+I16-E16</f>
        <v>0</v>
      </c>
      <c r="L16" s="127"/>
      <c r="M16" s="167"/>
      <c r="N16" s="127"/>
      <c r="O16" s="127"/>
      <c r="P16" s="145"/>
      <c r="Q16" s="145"/>
      <c r="R16" s="334"/>
      <c r="S16" s="145"/>
      <c r="T16" s="145"/>
      <c r="U16" s="145"/>
      <c r="V16" s="145"/>
      <c r="W16" s="145"/>
      <c r="X16" s="145"/>
      <c r="Y16" s="145"/>
      <c r="Z16" s="127"/>
    </row>
    <row r="17" spans="1:26" ht="15">
      <c r="A17" s="197"/>
      <c r="B17" s="146"/>
      <c r="C17" s="197"/>
      <c r="D17" s="127"/>
      <c r="E17" s="127"/>
      <c r="F17" s="127"/>
      <c r="G17" s="127"/>
      <c r="H17" s="127"/>
      <c r="I17" s="127"/>
      <c r="J17" s="127"/>
      <c r="K17" s="127"/>
      <c r="L17" s="127"/>
      <c r="M17" s="167"/>
      <c r="N17" s="127"/>
      <c r="O17" s="127"/>
      <c r="P17" s="145"/>
      <c r="Q17" s="145"/>
      <c r="R17" s="334"/>
      <c r="S17" s="145"/>
      <c r="T17" s="145"/>
      <c r="U17" s="145"/>
      <c r="V17" s="145"/>
      <c r="W17" s="145"/>
      <c r="X17" s="145"/>
      <c r="Y17" s="145"/>
      <c r="Z17" s="127"/>
    </row>
    <row r="18" spans="1:26">
      <c r="A18" s="197"/>
      <c r="B18" s="127"/>
      <c r="C18" s="205"/>
      <c r="D18" s="127"/>
      <c r="E18" s="25">
        <v>19</v>
      </c>
      <c r="F18" s="25"/>
      <c r="G18" s="127"/>
      <c r="H18" s="25"/>
      <c r="I18" s="919">
        <v>10</v>
      </c>
      <c r="J18" s="25"/>
      <c r="K18" s="920">
        <f>I18-E18</f>
        <v>-9</v>
      </c>
      <c r="L18" s="127"/>
      <c r="M18" s="167"/>
      <c r="N18" s="127"/>
      <c r="O18" s="127"/>
      <c r="P18" s="145"/>
      <c r="Q18" s="145"/>
      <c r="R18" s="334"/>
      <c r="S18" s="145"/>
      <c r="T18" s="145"/>
      <c r="U18" s="145"/>
      <c r="V18" s="145"/>
      <c r="W18" s="145"/>
      <c r="X18" s="145"/>
      <c r="Y18" s="145"/>
      <c r="Z18" s="127"/>
    </row>
    <row r="19" spans="1:26">
      <c r="A19" s="197"/>
      <c r="B19" s="127"/>
      <c r="C19" s="205"/>
      <c r="D19" s="127"/>
      <c r="E19" s="921"/>
      <c r="F19" s="25"/>
      <c r="G19" s="127"/>
      <c r="H19" s="25"/>
      <c r="I19" s="922"/>
      <c r="J19" s="25"/>
      <c r="K19" s="920"/>
      <c r="L19" s="127"/>
      <c r="M19" s="167"/>
      <c r="N19" s="127"/>
      <c r="O19" s="127"/>
      <c r="P19" s="145"/>
      <c r="Q19" s="145"/>
      <c r="R19" s="334"/>
      <c r="S19" s="145"/>
      <c r="T19" s="145"/>
      <c r="U19" s="145"/>
      <c r="V19" s="145"/>
      <c r="W19" s="145"/>
      <c r="X19" s="145"/>
      <c r="Y19" s="145"/>
      <c r="Z19" s="127"/>
    </row>
    <row r="20" spans="1:26" ht="15.6">
      <c r="A20" s="197"/>
      <c r="B20" s="127"/>
      <c r="C20" s="205"/>
      <c r="D20" s="923" t="s">
        <v>680</v>
      </c>
      <c r="E20" s="25">
        <v>18</v>
      </c>
      <c r="F20" s="25"/>
      <c r="G20" s="127"/>
      <c r="H20" s="25"/>
      <c r="I20" s="919">
        <v>9</v>
      </c>
      <c r="J20" s="25"/>
      <c r="K20" s="920"/>
      <c r="L20" s="127"/>
      <c r="M20" s="167"/>
      <c r="N20" s="127"/>
      <c r="O20" s="127"/>
      <c r="P20" s="145"/>
      <c r="Q20" s="145"/>
      <c r="R20" s="334"/>
      <c r="S20" s="145"/>
      <c r="T20" s="145"/>
      <c r="U20" s="145"/>
      <c r="V20" s="145"/>
      <c r="W20" s="145"/>
      <c r="X20" s="145"/>
      <c r="Y20" s="145"/>
      <c r="Z20" s="127"/>
    </row>
    <row r="21" spans="1:26" ht="15.6">
      <c r="A21" s="197"/>
      <c r="B21" s="127"/>
      <c r="C21" s="205"/>
      <c r="D21" s="923" t="s">
        <v>681</v>
      </c>
      <c r="E21" s="25">
        <v>1</v>
      </c>
      <c r="F21" s="25"/>
      <c r="G21" s="127"/>
      <c r="H21" s="25"/>
      <c r="I21" s="919">
        <v>1</v>
      </c>
      <c r="J21" s="25"/>
      <c r="K21" s="920"/>
      <c r="L21" s="127"/>
      <c r="M21" s="167"/>
      <c r="N21" s="127"/>
      <c r="O21" s="127"/>
      <c r="P21" s="145"/>
      <c r="Q21" s="145"/>
      <c r="R21" s="334"/>
      <c r="S21" s="145"/>
      <c r="T21" s="145"/>
      <c r="U21" s="145"/>
      <c r="V21" s="145"/>
      <c r="W21" s="145"/>
      <c r="X21" s="145"/>
      <c r="Y21" s="145"/>
      <c r="Z21" s="127"/>
    </row>
    <row r="22" spans="1:26" ht="13.8" thickBot="1">
      <c r="A22" s="197"/>
      <c r="B22" s="127"/>
      <c r="C22" s="198"/>
      <c r="D22" s="199"/>
      <c r="E22" s="199"/>
      <c r="F22" s="199"/>
      <c r="G22" s="199"/>
      <c r="H22" s="199"/>
      <c r="I22" s="199"/>
      <c r="J22" s="199"/>
      <c r="K22" s="199"/>
      <c r="L22" s="199"/>
      <c r="M22" s="168"/>
      <c r="N22" s="127"/>
      <c r="O22" s="127"/>
      <c r="P22" s="145"/>
      <c r="Q22" s="145"/>
      <c r="R22" s="334"/>
      <c r="S22" s="145"/>
      <c r="T22" s="145"/>
      <c r="U22" s="145"/>
      <c r="V22" s="145"/>
      <c r="W22" s="145"/>
      <c r="X22" s="145"/>
      <c r="Y22" s="145"/>
      <c r="Z22" s="127"/>
    </row>
    <row r="23" spans="1:26" ht="15.6">
      <c r="A23" s="197"/>
      <c r="B23" s="127"/>
      <c r="C23" s="127"/>
      <c r="D23" s="127"/>
      <c r="E23" s="127"/>
      <c r="F23" s="330"/>
      <c r="G23" s="127"/>
      <c r="H23" s="127"/>
      <c r="I23" s="127"/>
      <c r="J23" s="127"/>
      <c r="K23" s="127"/>
      <c r="L23" s="127"/>
      <c r="M23" s="127"/>
      <c r="N23" s="127"/>
      <c r="O23" s="127"/>
      <c r="P23" s="127"/>
      <c r="Q23" s="127"/>
      <c r="R23" s="167"/>
      <c r="S23" s="127"/>
      <c r="T23" s="127"/>
      <c r="U23" s="127"/>
      <c r="V23" s="127"/>
      <c r="W23" s="127"/>
      <c r="X23" s="127"/>
      <c r="Y23" s="127"/>
      <c r="Z23" s="127"/>
    </row>
    <row r="24" spans="1:26" ht="15.6">
      <c r="A24" s="197"/>
      <c r="B24" s="127"/>
      <c r="C24" s="134" t="s">
        <v>710</v>
      </c>
      <c r="D24" s="127"/>
      <c r="E24" s="127"/>
      <c r="F24" s="330"/>
      <c r="G24" s="127"/>
      <c r="H24" s="127"/>
      <c r="I24" s="127"/>
      <c r="J24" s="127"/>
      <c r="K24" s="127"/>
      <c r="L24" s="127"/>
      <c r="M24" s="127"/>
      <c r="N24" s="127"/>
      <c r="O24" s="127"/>
      <c r="P24" s="127"/>
      <c r="Q24" s="127"/>
      <c r="R24" s="167"/>
      <c r="S24" s="127"/>
      <c r="T24" s="127"/>
      <c r="U24" s="127"/>
      <c r="V24" s="127"/>
      <c r="W24" s="127"/>
      <c r="X24" s="127"/>
      <c r="Y24" s="127"/>
      <c r="Z24" s="127"/>
    </row>
    <row r="25" spans="1:26" ht="15.6">
      <c r="A25" s="197"/>
      <c r="B25" s="127"/>
      <c r="C25" s="127"/>
      <c r="D25" s="127"/>
      <c r="E25" s="127"/>
      <c r="F25" s="330"/>
      <c r="G25" s="127"/>
      <c r="H25" s="127"/>
      <c r="I25" s="127"/>
      <c r="J25" s="127"/>
      <c r="K25" s="127"/>
      <c r="L25" s="127"/>
      <c r="M25" s="127"/>
      <c r="N25" s="127"/>
      <c r="O25" s="127"/>
      <c r="P25" s="127"/>
      <c r="Q25" s="127"/>
      <c r="R25" s="167"/>
      <c r="S25" s="127"/>
      <c r="T25" s="127"/>
      <c r="U25" s="127"/>
      <c r="V25" s="127"/>
      <c r="W25" s="127"/>
      <c r="X25" s="127"/>
      <c r="Y25" s="127"/>
      <c r="Z25" s="127"/>
    </row>
    <row r="26" spans="1:26" ht="15.6">
      <c r="A26" s="197"/>
      <c r="B26" s="127"/>
      <c r="C26" s="127"/>
      <c r="D26" s="127"/>
      <c r="E26" s="127"/>
      <c r="F26" s="330"/>
      <c r="G26" s="127"/>
      <c r="H26" s="127"/>
      <c r="I26" s="127"/>
      <c r="J26" s="127"/>
      <c r="K26" s="127"/>
      <c r="L26" s="127"/>
      <c r="M26" s="127"/>
      <c r="N26" s="127"/>
      <c r="O26" s="127"/>
      <c r="P26" s="127"/>
      <c r="Q26" s="127"/>
      <c r="R26" s="167"/>
      <c r="S26" s="127"/>
      <c r="T26" s="127"/>
      <c r="U26" s="127"/>
      <c r="V26" s="127"/>
      <c r="W26" s="127"/>
      <c r="X26" s="127"/>
      <c r="Y26" s="127"/>
      <c r="Z26" s="127"/>
    </row>
    <row r="27" spans="1:26">
      <c r="A27" s="197"/>
      <c r="B27" s="185"/>
      <c r="C27" s="127"/>
      <c r="D27" s="127"/>
      <c r="E27" s="127"/>
      <c r="F27" s="127"/>
      <c r="G27" s="127"/>
      <c r="H27" s="127"/>
      <c r="I27" s="127"/>
      <c r="J27" s="127"/>
      <c r="K27" s="127"/>
      <c r="L27" s="127"/>
      <c r="M27" s="127"/>
      <c r="N27" s="127"/>
      <c r="O27" s="127"/>
      <c r="P27" s="127"/>
      <c r="Q27" s="127"/>
      <c r="R27" s="167"/>
    </row>
    <row r="28" spans="1:26">
      <c r="A28" s="197"/>
      <c r="B28" s="127"/>
      <c r="C28" s="127"/>
      <c r="D28" s="127"/>
      <c r="E28" s="127"/>
      <c r="F28" s="127"/>
      <c r="G28" s="127"/>
      <c r="H28" s="127"/>
      <c r="I28" s="127"/>
      <c r="J28" s="127"/>
      <c r="K28" s="127"/>
      <c r="L28" s="127"/>
      <c r="M28" s="127"/>
      <c r="N28" s="127"/>
      <c r="O28" s="127"/>
      <c r="P28" s="127"/>
      <c r="Q28" s="127"/>
      <c r="R28" s="167"/>
    </row>
    <row r="29" spans="1:26">
      <c r="A29" s="197"/>
      <c r="B29" s="127"/>
      <c r="C29" s="127"/>
      <c r="D29" s="127"/>
      <c r="E29" s="127"/>
      <c r="F29" s="127"/>
      <c r="G29" s="127"/>
      <c r="H29" s="127"/>
      <c r="I29" s="127"/>
      <c r="J29" s="127"/>
      <c r="K29" s="127"/>
      <c r="L29" s="127"/>
      <c r="M29" s="127"/>
      <c r="N29" s="127"/>
      <c r="O29" s="127"/>
      <c r="P29" s="127"/>
      <c r="Q29" s="127"/>
      <c r="R29" s="167"/>
    </row>
    <row r="30" spans="1:26">
      <c r="A30" s="197"/>
      <c r="B30" s="127"/>
      <c r="C30" s="127"/>
      <c r="D30" s="127"/>
      <c r="E30" s="127"/>
      <c r="F30" s="127"/>
      <c r="G30" s="127"/>
      <c r="H30" s="127"/>
      <c r="I30" s="127"/>
      <c r="J30" s="127"/>
      <c r="K30" s="127"/>
      <c r="L30" s="127"/>
      <c r="M30" s="127"/>
      <c r="N30" s="127"/>
      <c r="O30" s="127"/>
      <c r="P30" s="127"/>
      <c r="Q30" s="127"/>
      <c r="R30" s="167"/>
    </row>
    <row r="31" spans="1:26" ht="15">
      <c r="A31" s="197"/>
      <c r="B31" s="127"/>
      <c r="C31" s="127"/>
      <c r="D31" s="127"/>
      <c r="E31" s="127"/>
      <c r="F31" s="127"/>
      <c r="G31" s="127"/>
      <c r="H31" s="127"/>
      <c r="I31" s="127"/>
      <c r="J31" s="127"/>
      <c r="K31" s="146"/>
      <c r="L31" s="127"/>
      <c r="M31" s="127"/>
      <c r="N31" s="127"/>
      <c r="O31" s="127"/>
      <c r="P31" s="332"/>
      <c r="Q31" s="332"/>
      <c r="R31" s="333"/>
      <c r="S31" s="143"/>
      <c r="T31" s="143"/>
      <c r="U31" s="143"/>
      <c r="V31" s="143"/>
      <c r="W31" s="143"/>
      <c r="X31" s="143"/>
      <c r="Y31" s="143"/>
      <c r="Z31" s="127"/>
    </row>
    <row r="32" spans="1:26" ht="15">
      <c r="A32" s="197"/>
      <c r="B32" s="127"/>
      <c r="C32" s="127"/>
      <c r="D32" s="127"/>
      <c r="E32" s="127"/>
      <c r="F32" s="127"/>
      <c r="G32" s="127"/>
      <c r="H32" s="127"/>
      <c r="I32" s="127"/>
      <c r="J32" s="127"/>
      <c r="K32" s="127"/>
      <c r="L32" s="127"/>
      <c r="M32" s="127"/>
      <c r="N32" s="127"/>
      <c r="O32" s="127"/>
      <c r="P32" s="332"/>
      <c r="Q32" s="332"/>
      <c r="R32" s="333"/>
      <c r="S32" s="143"/>
      <c r="T32" s="143"/>
      <c r="U32" s="143"/>
      <c r="V32" s="143"/>
      <c r="W32" s="143"/>
      <c r="X32" s="143"/>
      <c r="Y32" s="143"/>
      <c r="Z32" s="127"/>
    </row>
    <row r="33" spans="1:26">
      <c r="A33" s="197"/>
      <c r="B33" s="127"/>
      <c r="C33" s="127"/>
      <c r="D33" s="127"/>
      <c r="E33" s="127"/>
      <c r="F33" s="127"/>
      <c r="G33" s="127"/>
      <c r="H33" s="127"/>
      <c r="I33" s="127"/>
      <c r="J33" s="127"/>
      <c r="K33" s="127"/>
      <c r="L33" s="127"/>
      <c r="M33" s="127"/>
      <c r="N33" s="127"/>
      <c r="O33" s="127"/>
      <c r="P33" s="145"/>
      <c r="Q33" s="145"/>
      <c r="R33" s="334"/>
      <c r="S33" s="145"/>
      <c r="T33" s="145"/>
      <c r="U33" s="145"/>
      <c r="V33" s="145"/>
      <c r="W33" s="145"/>
      <c r="X33" s="145"/>
      <c r="Y33" s="145"/>
      <c r="Z33" s="127"/>
    </row>
    <row r="34" spans="1:26" ht="15">
      <c r="A34" s="197"/>
      <c r="B34" s="146"/>
      <c r="C34" s="127"/>
      <c r="D34" s="127"/>
      <c r="E34" s="127"/>
      <c r="F34" s="127"/>
      <c r="G34" s="127"/>
      <c r="H34" s="127"/>
      <c r="I34" s="127"/>
      <c r="J34" s="127"/>
      <c r="K34" s="127"/>
      <c r="L34" s="127"/>
      <c r="M34" s="127"/>
      <c r="N34" s="127"/>
      <c r="O34" s="127"/>
      <c r="P34" s="145"/>
      <c r="Q34" s="145"/>
      <c r="R34" s="334"/>
      <c r="S34" s="145"/>
      <c r="T34" s="145"/>
      <c r="U34" s="145"/>
      <c r="V34" s="145"/>
      <c r="W34" s="145"/>
      <c r="X34" s="145"/>
      <c r="Y34" s="145"/>
      <c r="Z34" s="127"/>
    </row>
    <row r="35" spans="1:26">
      <c r="A35" s="197"/>
      <c r="B35" s="127"/>
      <c r="C35" s="127"/>
      <c r="D35" s="127"/>
      <c r="E35" s="127"/>
      <c r="F35" s="127"/>
      <c r="G35" s="127"/>
      <c r="H35" s="127"/>
      <c r="I35" s="127"/>
      <c r="J35" s="127"/>
      <c r="K35" s="127"/>
      <c r="L35" s="127"/>
      <c r="M35" s="127"/>
      <c r="N35" s="127"/>
      <c r="O35" s="127"/>
      <c r="P35" s="145"/>
      <c r="Q35" s="145"/>
      <c r="R35" s="334"/>
      <c r="S35" s="145"/>
      <c r="T35" s="145"/>
      <c r="U35" s="145"/>
      <c r="V35" s="145"/>
      <c r="W35" s="145"/>
      <c r="X35" s="145"/>
      <c r="Y35" s="145"/>
      <c r="Z35" s="127"/>
    </row>
    <row r="36" spans="1:26">
      <c r="A36" s="197"/>
      <c r="B36" s="127"/>
      <c r="C36" s="127"/>
      <c r="D36" s="127"/>
      <c r="E36" s="127"/>
      <c r="F36" s="127"/>
      <c r="G36" s="127"/>
      <c r="H36" s="127"/>
      <c r="I36" s="127"/>
      <c r="J36" s="127"/>
      <c r="K36" s="127"/>
      <c r="L36" s="127"/>
      <c r="M36" s="127"/>
      <c r="N36" s="127"/>
      <c r="O36" s="127"/>
      <c r="P36" s="145"/>
      <c r="Q36" s="145"/>
      <c r="R36" s="334"/>
      <c r="S36" s="145"/>
      <c r="T36" s="145"/>
      <c r="U36" s="145"/>
      <c r="V36" s="145"/>
      <c r="W36" s="145"/>
      <c r="X36" s="145"/>
      <c r="Y36" s="145"/>
      <c r="Z36" s="127"/>
    </row>
    <row r="37" spans="1:26" ht="13.8" thickBot="1">
      <c r="A37" s="197"/>
      <c r="B37" s="127"/>
      <c r="C37" s="127"/>
      <c r="D37" s="127"/>
      <c r="E37" s="127"/>
      <c r="F37" s="127"/>
      <c r="G37" s="127"/>
      <c r="H37" s="127"/>
      <c r="I37" s="127"/>
      <c r="J37" s="127"/>
      <c r="K37" s="127"/>
      <c r="L37" s="127"/>
      <c r="M37" s="127"/>
      <c r="N37" s="127"/>
      <c r="O37" s="127"/>
      <c r="P37" s="145"/>
      <c r="Q37" s="145"/>
      <c r="R37" s="334"/>
      <c r="S37" s="145"/>
      <c r="T37" s="145"/>
      <c r="U37" s="145"/>
      <c r="V37" s="145"/>
      <c r="W37" s="145"/>
      <c r="X37" s="145"/>
      <c r="Y37" s="145"/>
      <c r="Z37" s="127"/>
    </row>
    <row r="38" spans="1:26" ht="23.25" customHeight="1" thickBot="1">
      <c r="A38" s="197"/>
      <c r="B38" s="127"/>
      <c r="C38" s="127"/>
      <c r="D38" s="127"/>
      <c r="E38" s="127"/>
      <c r="F38" s="127"/>
      <c r="G38" s="127"/>
      <c r="H38" s="127"/>
      <c r="I38" s="127"/>
      <c r="J38" s="127"/>
      <c r="K38" s="127"/>
      <c r="L38" s="127"/>
      <c r="M38" s="127"/>
      <c r="N38" s="127"/>
      <c r="O38" s="424" t="s">
        <v>264</v>
      </c>
      <c r="P38" s="435" t="s">
        <v>226</v>
      </c>
      <c r="Q38" s="145"/>
      <c r="R38" s="334"/>
      <c r="S38" s="145"/>
      <c r="T38" s="145"/>
      <c r="U38" s="145"/>
      <c r="V38" s="145"/>
      <c r="W38" s="145"/>
      <c r="X38" s="145"/>
      <c r="Y38" s="145"/>
      <c r="Z38" s="127"/>
    </row>
    <row r="39" spans="1:26" ht="15">
      <c r="A39" s="197"/>
      <c r="B39" s="127"/>
      <c r="C39" s="127"/>
      <c r="D39" s="331"/>
      <c r="E39" s="331"/>
      <c r="F39" s="331"/>
      <c r="G39" s="331"/>
      <c r="H39" s="331"/>
      <c r="I39" s="331"/>
      <c r="J39" s="331"/>
      <c r="K39" s="127"/>
      <c r="L39" s="331"/>
      <c r="M39" s="331"/>
      <c r="N39" s="331"/>
      <c r="O39" s="436" t="s">
        <v>36</v>
      </c>
      <c r="P39" s="437">
        <v>2674</v>
      </c>
      <c r="Q39" s="145"/>
      <c r="R39" s="334"/>
      <c r="S39" s="145"/>
      <c r="T39" s="145"/>
      <c r="U39" s="145"/>
      <c r="V39" s="145"/>
      <c r="W39" s="145"/>
      <c r="X39" s="145"/>
      <c r="Y39" s="145"/>
      <c r="Z39" s="127"/>
    </row>
    <row r="40" spans="1:26" ht="15">
      <c r="A40" s="197"/>
      <c r="B40" s="127"/>
      <c r="C40" s="127"/>
      <c r="D40" s="331"/>
      <c r="E40" s="331"/>
      <c r="F40" s="331"/>
      <c r="G40" s="331"/>
      <c r="H40" s="331"/>
      <c r="I40" s="331"/>
      <c r="J40" s="331"/>
      <c r="K40" s="127"/>
      <c r="L40" s="331"/>
      <c r="M40" s="331"/>
      <c r="N40" s="331"/>
      <c r="O40" s="436" t="s">
        <v>223</v>
      </c>
      <c r="P40" s="438">
        <f>+N97</f>
        <v>9012.4474066666662</v>
      </c>
      <c r="Q40" s="145"/>
      <c r="R40" s="334"/>
      <c r="S40" s="145"/>
      <c r="T40" s="145"/>
      <c r="U40" s="145"/>
      <c r="V40" s="145"/>
      <c r="W40" s="145"/>
      <c r="X40" s="145"/>
      <c r="Y40" s="145"/>
      <c r="Z40" s="127"/>
    </row>
    <row r="41" spans="1:26" ht="15">
      <c r="A41" s="197"/>
      <c r="B41" s="127"/>
      <c r="C41" s="127"/>
      <c r="D41" s="331"/>
      <c r="E41" s="331"/>
      <c r="F41" s="331"/>
      <c r="G41" s="331"/>
      <c r="H41" s="331"/>
      <c r="I41" s="331"/>
      <c r="J41" s="331"/>
      <c r="K41" s="145"/>
      <c r="L41" s="331"/>
      <c r="M41" s="331"/>
      <c r="N41" s="331"/>
      <c r="O41" s="436" t="s">
        <v>196</v>
      </c>
      <c r="P41" s="438">
        <f>+N98</f>
        <v>13501.248787313425</v>
      </c>
      <c r="Q41" s="145"/>
      <c r="R41" s="334"/>
      <c r="S41" s="145"/>
      <c r="T41" s="145"/>
      <c r="U41" s="145"/>
      <c r="V41" s="145"/>
      <c r="W41" s="145"/>
      <c r="X41" s="145"/>
      <c r="Y41" s="145"/>
      <c r="Z41" s="127"/>
    </row>
    <row r="42" spans="1:26" ht="15">
      <c r="A42" s="197"/>
      <c r="B42" s="127"/>
      <c r="C42" s="127"/>
      <c r="D42" s="331"/>
      <c r="E42" s="331"/>
      <c r="F42" s="331"/>
      <c r="G42" s="331"/>
      <c r="H42" s="331"/>
      <c r="I42" s="331"/>
      <c r="J42" s="331"/>
      <c r="K42" s="145"/>
      <c r="L42" s="331"/>
      <c r="M42" s="331"/>
      <c r="N42" s="331"/>
      <c r="O42" s="436" t="s">
        <v>221</v>
      </c>
      <c r="P42" s="438">
        <f>+N99</f>
        <v>8111.2026659999983</v>
      </c>
      <c r="Q42" s="145"/>
      <c r="R42" s="334"/>
      <c r="S42" s="145"/>
      <c r="T42" s="145"/>
      <c r="U42" s="145"/>
      <c r="V42" s="145"/>
      <c r="W42" s="145"/>
      <c r="X42" s="145"/>
      <c r="Y42" s="145"/>
      <c r="Z42" s="127"/>
    </row>
    <row r="43" spans="1:26" ht="15.6">
      <c r="A43" s="197"/>
      <c r="B43" s="127"/>
      <c r="C43" s="127"/>
      <c r="D43" s="331"/>
      <c r="E43" s="331"/>
      <c r="F43" s="331"/>
      <c r="G43" s="331"/>
      <c r="H43" s="331"/>
      <c r="I43" s="331"/>
      <c r="J43" s="331"/>
      <c r="K43" s="144"/>
      <c r="L43" s="331"/>
      <c r="M43" s="331"/>
      <c r="N43" s="331"/>
      <c r="O43" s="436" t="s">
        <v>222</v>
      </c>
      <c r="P43" s="438">
        <f>+N100</f>
        <v>7209.9579253333313</v>
      </c>
      <c r="Q43" s="145"/>
      <c r="R43" s="334"/>
      <c r="S43" s="145"/>
      <c r="T43" s="145"/>
      <c r="U43" s="145"/>
      <c r="V43" s="145"/>
      <c r="W43" s="145"/>
      <c r="X43" s="145"/>
      <c r="Y43" s="145"/>
      <c r="Z43" s="127"/>
    </row>
    <row r="44" spans="1:26" ht="15.6" thickBot="1">
      <c r="A44" s="197"/>
      <c r="B44" s="127"/>
      <c r="C44" s="127"/>
      <c r="D44" s="331"/>
      <c r="E44" s="331"/>
      <c r="F44" s="331"/>
      <c r="G44" s="331"/>
      <c r="H44" s="331"/>
      <c r="I44" s="331"/>
      <c r="J44" s="331"/>
      <c r="K44" s="145"/>
      <c r="L44" s="331"/>
      <c r="M44" s="331"/>
      <c r="N44" s="331"/>
      <c r="O44" s="439" t="s">
        <v>224</v>
      </c>
      <c r="P44" s="440">
        <f>+N102</f>
        <v>4355.3590000000004</v>
      </c>
      <c r="Q44" s="145"/>
      <c r="R44" s="334"/>
      <c r="S44" s="145"/>
      <c r="T44" s="145"/>
      <c r="U44" s="145"/>
      <c r="V44" s="145"/>
      <c r="W44" s="145"/>
      <c r="X44" s="145"/>
      <c r="Y44" s="145"/>
      <c r="Z44" s="127"/>
    </row>
    <row r="45" spans="1:26" ht="15">
      <c r="A45" s="197"/>
      <c r="B45" s="127"/>
      <c r="C45" s="127"/>
      <c r="D45" s="331"/>
      <c r="E45" s="331"/>
      <c r="F45" s="331"/>
      <c r="G45" s="331"/>
      <c r="H45" s="331"/>
      <c r="I45" s="331"/>
      <c r="J45" s="331"/>
      <c r="K45" s="146"/>
      <c r="L45" s="331"/>
      <c r="M45" s="331"/>
      <c r="N45" s="331"/>
      <c r="O45" s="331"/>
      <c r="P45" s="145"/>
      <c r="Q45" s="145"/>
      <c r="R45" s="334"/>
      <c r="S45" s="145"/>
      <c r="T45" s="145"/>
      <c r="U45" s="145"/>
      <c r="V45" s="145"/>
      <c r="W45" s="145"/>
      <c r="X45" s="145"/>
      <c r="Y45" s="145"/>
      <c r="Z45" s="127"/>
    </row>
    <row r="46" spans="1:26" ht="15">
      <c r="A46" s="197"/>
      <c r="B46" s="127"/>
      <c r="C46" s="127"/>
      <c r="D46" s="331"/>
      <c r="E46" s="331"/>
      <c r="F46" s="331"/>
      <c r="G46" s="331"/>
      <c r="H46" s="331"/>
      <c r="I46" s="331"/>
      <c r="J46" s="331"/>
      <c r="K46" s="145"/>
      <c r="L46" s="331"/>
      <c r="M46" s="331"/>
      <c r="N46" s="331"/>
      <c r="O46" s="331"/>
      <c r="P46" s="145"/>
      <c r="Q46" s="145"/>
      <c r="R46" s="334"/>
      <c r="S46" s="145"/>
      <c r="T46" s="145"/>
      <c r="U46" s="145"/>
      <c r="V46" s="145"/>
      <c r="W46" s="145"/>
      <c r="X46" s="145"/>
      <c r="Y46" s="145"/>
      <c r="Z46" s="127"/>
    </row>
    <row r="47" spans="1:26" ht="15">
      <c r="A47" s="197"/>
      <c r="B47" s="127"/>
      <c r="C47" s="127"/>
      <c r="D47" s="331"/>
      <c r="E47" s="331"/>
      <c r="F47" s="331"/>
      <c r="G47" s="331"/>
      <c r="H47" s="331"/>
      <c r="I47" s="331"/>
      <c r="J47" s="331"/>
      <c r="K47" s="146"/>
      <c r="L47" s="331"/>
      <c r="M47" s="331"/>
      <c r="N47" s="331"/>
      <c r="O47" s="331"/>
      <c r="P47" s="145"/>
      <c r="Q47" s="145"/>
      <c r="R47" s="334"/>
      <c r="S47" s="145"/>
      <c r="T47" s="145"/>
      <c r="U47" s="145"/>
      <c r="V47" s="145"/>
      <c r="W47" s="145"/>
      <c r="X47" s="145"/>
      <c r="Y47" s="145"/>
      <c r="Z47" s="127"/>
    </row>
    <row r="48" spans="1:26" ht="15">
      <c r="A48" s="197"/>
      <c r="B48" s="127"/>
      <c r="C48" s="127"/>
      <c r="D48" s="331"/>
      <c r="E48" s="331"/>
      <c r="F48" s="331"/>
      <c r="G48" s="331"/>
      <c r="H48" s="331"/>
      <c r="I48" s="331"/>
      <c r="J48" s="331"/>
      <c r="K48" s="145"/>
      <c r="L48" s="331"/>
      <c r="M48" s="331"/>
      <c r="N48" s="331"/>
      <c r="O48" s="331"/>
      <c r="P48" s="145"/>
      <c r="Q48" s="145"/>
      <c r="R48" s="334"/>
      <c r="S48" s="145"/>
      <c r="T48" s="145"/>
      <c r="U48" s="145"/>
      <c r="V48" s="145"/>
      <c r="W48" s="145"/>
      <c r="X48" s="145"/>
      <c r="Y48" s="145"/>
      <c r="Z48" s="127"/>
    </row>
    <row r="49" spans="1:26" ht="15">
      <c r="A49" s="197"/>
      <c r="B49" s="127"/>
      <c r="C49" s="127"/>
      <c r="D49" s="127"/>
      <c r="E49" s="127"/>
      <c r="F49" s="127"/>
      <c r="G49" s="127"/>
      <c r="H49" s="127"/>
      <c r="I49" s="127"/>
      <c r="J49" s="127"/>
      <c r="K49" s="146"/>
      <c r="L49" s="127"/>
      <c r="M49" s="127"/>
      <c r="N49" s="127"/>
      <c r="O49" s="127"/>
      <c r="P49" s="145"/>
      <c r="Q49" s="145"/>
      <c r="R49" s="334"/>
      <c r="S49" s="145"/>
      <c r="T49" s="145"/>
      <c r="U49" s="145"/>
      <c r="V49" s="145"/>
      <c r="W49" s="145"/>
      <c r="X49" s="145"/>
      <c r="Y49" s="145"/>
      <c r="Z49" s="127"/>
    </row>
    <row r="50" spans="1:26">
      <c r="A50" s="197"/>
      <c r="B50" s="127"/>
      <c r="C50" s="127"/>
      <c r="D50" s="127"/>
      <c r="E50" s="127"/>
      <c r="F50" s="127"/>
      <c r="G50" s="127"/>
      <c r="H50" s="127"/>
      <c r="I50" s="127"/>
      <c r="J50" s="127"/>
      <c r="K50" s="127"/>
      <c r="L50" s="127"/>
      <c r="M50" s="127"/>
      <c r="N50" s="127"/>
      <c r="O50" s="127"/>
      <c r="P50" s="145"/>
      <c r="Q50" s="145"/>
      <c r="R50" s="334"/>
      <c r="S50" s="145"/>
      <c r="T50" s="145"/>
      <c r="U50" s="145"/>
      <c r="V50" s="145"/>
      <c r="W50" s="145"/>
      <c r="X50" s="145"/>
      <c r="Y50" s="145"/>
      <c r="Z50" s="127"/>
    </row>
    <row r="51" spans="1:26">
      <c r="A51" s="197"/>
      <c r="B51" s="127"/>
      <c r="C51" s="127"/>
      <c r="D51" s="127"/>
      <c r="E51" s="127"/>
      <c r="F51" s="127"/>
      <c r="G51" s="127"/>
      <c r="H51" s="127"/>
      <c r="I51" s="127"/>
      <c r="J51" s="127"/>
      <c r="K51" s="127"/>
      <c r="L51" s="127"/>
      <c r="M51" s="127"/>
      <c r="N51" s="127"/>
      <c r="O51" s="127"/>
      <c r="P51" s="145"/>
      <c r="Q51" s="145"/>
      <c r="R51" s="334"/>
      <c r="S51" s="145"/>
      <c r="T51" s="145"/>
      <c r="U51" s="145"/>
      <c r="V51" s="145"/>
      <c r="W51" s="145"/>
      <c r="X51" s="145"/>
      <c r="Y51" s="145"/>
      <c r="Z51" s="127"/>
    </row>
    <row r="52" spans="1:26">
      <c r="A52" s="197"/>
      <c r="B52" s="127"/>
      <c r="C52" s="127"/>
      <c r="D52" s="127"/>
      <c r="E52" s="127"/>
      <c r="F52" s="127"/>
      <c r="G52" s="127"/>
      <c r="H52" s="127"/>
      <c r="I52" s="127"/>
      <c r="J52" s="127"/>
      <c r="K52" s="127"/>
      <c r="L52" s="127"/>
      <c r="M52" s="127"/>
      <c r="N52" s="127"/>
      <c r="O52" s="145"/>
      <c r="P52" s="145"/>
      <c r="Q52" s="145"/>
      <c r="R52" s="334"/>
      <c r="S52" s="145"/>
      <c r="T52" s="145"/>
      <c r="U52" s="145"/>
      <c r="V52" s="145"/>
      <c r="W52" s="145"/>
      <c r="X52" s="145"/>
      <c r="Y52" s="145"/>
      <c r="Z52" s="127"/>
    </row>
    <row r="53" spans="1:26" ht="15">
      <c r="A53" s="197"/>
      <c r="B53" s="127"/>
      <c r="C53" s="127"/>
      <c r="D53" s="331"/>
      <c r="E53" s="331"/>
      <c r="F53" s="331"/>
      <c r="G53" s="331"/>
      <c r="H53" s="331"/>
      <c r="I53" s="331"/>
      <c r="J53" s="331"/>
      <c r="K53" s="331"/>
      <c r="L53" s="331"/>
      <c r="M53" s="331"/>
      <c r="N53" s="331"/>
      <c r="O53" s="143"/>
      <c r="P53" s="145"/>
      <c r="Q53" s="145"/>
      <c r="R53" s="334"/>
      <c r="S53" s="145"/>
      <c r="T53" s="145"/>
      <c r="U53" s="145"/>
      <c r="V53" s="145"/>
      <c r="W53" s="145"/>
      <c r="X53" s="145"/>
      <c r="Y53" s="145"/>
      <c r="Z53" s="127"/>
    </row>
    <row r="54" spans="1:26" ht="15.6">
      <c r="A54" s="197"/>
      <c r="B54" s="127"/>
      <c r="C54" s="127"/>
      <c r="D54" s="331"/>
      <c r="E54" s="331"/>
      <c r="F54" s="331"/>
      <c r="G54" s="331"/>
      <c r="H54" s="331"/>
      <c r="I54" s="144"/>
      <c r="J54" s="331"/>
      <c r="K54" s="331"/>
      <c r="L54" s="331"/>
      <c r="M54" s="331"/>
      <c r="N54" s="331"/>
      <c r="O54" s="143"/>
      <c r="P54" s="145"/>
      <c r="Q54" s="145"/>
      <c r="R54" s="334"/>
      <c r="S54" s="145"/>
      <c r="T54" s="145"/>
      <c r="U54" s="145"/>
      <c r="V54" s="145"/>
      <c r="W54" s="145"/>
      <c r="X54" s="145"/>
      <c r="Y54" s="145"/>
      <c r="Z54" s="127"/>
    </row>
    <row r="55" spans="1:26" ht="15.6">
      <c r="A55" s="197"/>
      <c r="B55" s="144"/>
      <c r="C55" s="127"/>
      <c r="D55" s="331"/>
      <c r="E55" s="331"/>
      <c r="F55" s="331"/>
      <c r="G55" s="331"/>
      <c r="H55" s="331"/>
      <c r="I55" s="331"/>
      <c r="J55" s="144"/>
      <c r="K55" s="331"/>
      <c r="L55" s="331"/>
      <c r="M55" s="331"/>
      <c r="N55" s="331"/>
      <c r="O55" s="143"/>
      <c r="P55" s="145"/>
      <c r="Q55" s="145"/>
      <c r="R55" s="334"/>
      <c r="S55" s="145"/>
      <c r="T55" s="145"/>
      <c r="U55" s="145"/>
      <c r="V55" s="145"/>
      <c r="W55" s="145"/>
      <c r="X55" s="145"/>
      <c r="Y55" s="145"/>
      <c r="Z55" s="127"/>
    </row>
    <row r="56" spans="1:26" ht="15.6">
      <c r="A56" s="197"/>
      <c r="B56" s="909" t="s">
        <v>663</v>
      </c>
      <c r="C56" s="127"/>
      <c r="D56" s="331"/>
      <c r="E56" s="331"/>
      <c r="F56" s="331"/>
      <c r="G56" s="331"/>
      <c r="H56" s="331"/>
      <c r="I56" s="134"/>
      <c r="J56" s="134"/>
      <c r="K56" s="331"/>
      <c r="L56" s="331"/>
      <c r="M56" s="331"/>
      <c r="N56" s="331"/>
      <c r="O56" s="144"/>
      <c r="P56" s="145"/>
      <c r="Q56" s="145"/>
      <c r="R56" s="334"/>
      <c r="S56" s="145"/>
      <c r="T56" s="145"/>
      <c r="U56" s="145"/>
      <c r="V56" s="145"/>
      <c r="W56" s="145"/>
      <c r="X56" s="145"/>
      <c r="Y56" s="145"/>
      <c r="Z56" s="127"/>
    </row>
    <row r="57" spans="1:26" ht="15.6">
      <c r="A57" s="197"/>
      <c r="B57" s="127"/>
      <c r="C57" s="127"/>
      <c r="D57" s="331"/>
      <c r="E57" s="331"/>
      <c r="F57" s="331"/>
      <c r="G57" s="331"/>
      <c r="H57" s="331"/>
      <c r="I57" s="127"/>
      <c r="J57" s="347"/>
      <c r="K57" s="331"/>
      <c r="L57" s="331"/>
      <c r="M57" s="331"/>
      <c r="N57" s="331"/>
      <c r="O57" s="143"/>
      <c r="P57" s="145"/>
      <c r="Q57" s="145"/>
      <c r="R57" s="334"/>
      <c r="S57" s="145"/>
      <c r="T57" s="145"/>
      <c r="U57" s="145"/>
      <c r="V57" s="145"/>
      <c r="W57" s="145"/>
      <c r="X57" s="145"/>
      <c r="Y57" s="145"/>
      <c r="Z57" s="127"/>
    </row>
    <row r="58" spans="1:26" ht="15.6">
      <c r="A58" s="197"/>
      <c r="B58" s="453" t="s">
        <v>712</v>
      </c>
      <c r="C58" s="145"/>
      <c r="D58" s="127"/>
      <c r="E58" s="127"/>
      <c r="F58" s="127"/>
      <c r="G58" s="127"/>
      <c r="H58" s="127"/>
      <c r="I58" s="134"/>
      <c r="J58" s="347"/>
      <c r="K58" s="127"/>
      <c r="L58" s="127"/>
      <c r="M58" s="127"/>
      <c r="N58" s="127"/>
      <c r="O58" s="335"/>
      <c r="P58" s="145"/>
      <c r="Q58" s="145"/>
      <c r="R58" s="334"/>
      <c r="S58" s="145"/>
      <c r="T58" s="145"/>
      <c r="U58" s="145"/>
      <c r="V58" s="145"/>
      <c r="W58" s="145"/>
      <c r="X58" s="145"/>
      <c r="Y58" s="145"/>
      <c r="Z58" s="127"/>
    </row>
    <row r="59" spans="1:26" ht="15.6">
      <c r="A59" s="197"/>
      <c r="B59" s="453" t="s">
        <v>713</v>
      </c>
      <c r="C59" s="145"/>
      <c r="D59" s="127"/>
      <c r="E59" s="127"/>
      <c r="F59" s="127"/>
      <c r="G59" s="127"/>
      <c r="H59" s="127"/>
      <c r="I59" s="134"/>
      <c r="J59" s="347"/>
      <c r="K59" s="127"/>
      <c r="L59" s="127"/>
      <c r="M59" s="127"/>
      <c r="N59" s="127"/>
      <c r="O59" s="335"/>
      <c r="P59" s="145"/>
      <c r="Q59" s="145"/>
      <c r="R59" s="334"/>
      <c r="S59" s="145"/>
      <c r="T59" s="145"/>
      <c r="U59" s="145"/>
      <c r="V59" s="145"/>
      <c r="W59" s="145"/>
      <c r="X59" s="145"/>
      <c r="Y59" s="145"/>
      <c r="Z59" s="127"/>
    </row>
    <row r="60" spans="1:26" ht="15.6">
      <c r="A60" s="197"/>
      <c r="B60" s="453" t="s">
        <v>676</v>
      </c>
      <c r="C60" s="127"/>
      <c r="D60" s="127"/>
      <c r="E60" s="127"/>
      <c r="F60" s="127"/>
      <c r="G60" s="127"/>
      <c r="H60" s="127"/>
      <c r="I60" s="127"/>
      <c r="J60" s="347"/>
      <c r="K60" s="127"/>
      <c r="L60" s="127"/>
      <c r="M60" s="127"/>
      <c r="N60" s="127"/>
      <c r="O60" s="336"/>
      <c r="P60" s="145"/>
      <c r="Q60" s="145"/>
      <c r="R60" s="334"/>
      <c r="S60" s="145"/>
      <c r="T60" s="145"/>
      <c r="U60" s="145"/>
      <c r="V60" s="145"/>
      <c r="W60" s="145"/>
      <c r="X60" s="145"/>
      <c r="Y60" s="145"/>
      <c r="Z60" s="127"/>
    </row>
    <row r="61" spans="1:26" ht="15">
      <c r="A61" s="197"/>
      <c r="B61" s="453" t="s">
        <v>677</v>
      </c>
      <c r="C61" s="127"/>
      <c r="D61" s="127"/>
      <c r="E61" s="127"/>
      <c r="F61" s="127"/>
      <c r="G61" s="127"/>
      <c r="H61" s="127"/>
      <c r="I61" s="134"/>
      <c r="J61" s="386"/>
      <c r="K61" s="127"/>
      <c r="L61" s="127"/>
      <c r="M61" s="127"/>
      <c r="N61" s="127"/>
      <c r="O61" s="336"/>
      <c r="P61" s="145"/>
      <c r="Q61" s="145"/>
      <c r="R61" s="334"/>
      <c r="S61" s="145"/>
      <c r="T61" s="145"/>
      <c r="U61" s="145"/>
      <c r="V61" s="145"/>
      <c r="W61" s="145"/>
      <c r="X61" s="145"/>
      <c r="Y61" s="145"/>
      <c r="Z61" s="127"/>
    </row>
    <row r="62" spans="1:26" ht="15">
      <c r="A62" s="197"/>
      <c r="B62" s="453" t="s">
        <v>664</v>
      </c>
      <c r="C62" s="127"/>
      <c r="D62" s="127"/>
      <c r="E62" s="127"/>
      <c r="F62" s="127"/>
      <c r="G62" s="127"/>
      <c r="H62" s="127"/>
      <c r="I62" s="127"/>
      <c r="J62" s="386"/>
      <c r="K62" s="127"/>
      <c r="L62" s="127"/>
      <c r="M62" s="127"/>
      <c r="N62" s="127"/>
      <c r="O62" s="335"/>
      <c r="P62" s="145"/>
      <c r="Q62" s="145"/>
      <c r="R62" s="334"/>
      <c r="S62" s="145"/>
      <c r="T62" s="145"/>
      <c r="U62" s="145"/>
      <c r="V62" s="145"/>
      <c r="W62" s="145"/>
      <c r="X62" s="145"/>
      <c r="Y62" s="145"/>
      <c r="Z62" s="127"/>
    </row>
    <row r="63" spans="1:26" ht="15">
      <c r="A63" s="197"/>
      <c r="B63" s="127"/>
      <c r="C63" s="127"/>
      <c r="D63" s="127"/>
      <c r="E63" s="127"/>
      <c r="F63" s="127"/>
      <c r="G63" s="127"/>
      <c r="H63" s="127"/>
      <c r="I63" s="134"/>
      <c r="J63" s="386"/>
      <c r="K63" s="127"/>
      <c r="L63" s="127"/>
      <c r="M63" s="127"/>
      <c r="N63" s="127"/>
      <c r="O63" s="336"/>
      <c r="P63" s="145"/>
      <c r="Q63" s="145"/>
      <c r="R63" s="334"/>
      <c r="S63" s="145"/>
      <c r="T63" s="145"/>
      <c r="U63" s="145"/>
      <c r="V63" s="145"/>
      <c r="W63" s="145"/>
      <c r="X63" s="145"/>
      <c r="Y63" s="145"/>
      <c r="Z63" s="127"/>
    </row>
    <row r="64" spans="1:26" ht="15">
      <c r="A64" s="197"/>
      <c r="B64" s="127"/>
      <c r="C64" s="127"/>
      <c r="D64" s="127"/>
      <c r="E64" s="127"/>
      <c r="F64" s="127"/>
      <c r="G64" s="127"/>
      <c r="H64" s="127"/>
      <c r="I64" s="134"/>
      <c r="J64" s="386"/>
      <c r="K64" s="127"/>
      <c r="L64" s="127"/>
      <c r="M64" s="127"/>
      <c r="N64" s="127"/>
      <c r="O64" s="336"/>
      <c r="P64" s="145"/>
      <c r="Q64" s="145"/>
      <c r="R64" s="334"/>
      <c r="S64" s="145"/>
      <c r="T64" s="145"/>
      <c r="U64" s="145"/>
      <c r="V64" s="145"/>
      <c r="W64" s="145"/>
      <c r="X64" s="145"/>
      <c r="Y64" s="145"/>
      <c r="Z64" s="127"/>
    </row>
    <row r="65" spans="1:26" ht="15.6">
      <c r="A65" s="197"/>
      <c r="B65" s="909" t="s">
        <v>665</v>
      </c>
      <c r="C65" s="127"/>
      <c r="D65" s="127"/>
      <c r="E65" s="127"/>
      <c r="F65" s="127"/>
      <c r="G65" s="127"/>
      <c r="H65" s="127"/>
      <c r="I65" s="134"/>
      <c r="J65" s="347"/>
      <c r="K65" s="127"/>
      <c r="L65" s="127"/>
      <c r="M65" s="127"/>
      <c r="N65" s="127"/>
      <c r="O65" s="145"/>
      <c r="P65" s="145"/>
      <c r="Q65" s="145"/>
      <c r="R65" s="334"/>
      <c r="S65" s="145"/>
      <c r="T65" s="145"/>
      <c r="U65" s="145"/>
      <c r="V65" s="145"/>
      <c r="W65" s="145"/>
      <c r="X65" s="145"/>
      <c r="Y65" s="145"/>
      <c r="Z65" s="127"/>
    </row>
    <row r="66" spans="1:26" ht="15.6">
      <c r="A66" s="197"/>
      <c r="B66" s="146"/>
      <c r="C66" s="127"/>
      <c r="D66" s="127"/>
      <c r="E66" s="127"/>
      <c r="F66" s="127"/>
      <c r="G66" s="127"/>
      <c r="H66" s="127"/>
      <c r="I66" s="127"/>
      <c r="J66" s="347"/>
      <c r="K66" s="127"/>
      <c r="L66" s="127"/>
      <c r="M66" s="127"/>
      <c r="N66" s="127"/>
      <c r="O66" s="335"/>
      <c r="P66" s="145"/>
      <c r="Q66" s="145"/>
      <c r="R66" s="334"/>
      <c r="S66" s="145"/>
      <c r="T66" s="145"/>
      <c r="U66" s="145"/>
      <c r="V66" s="145"/>
      <c r="W66" s="145"/>
      <c r="X66" s="145"/>
      <c r="Y66" s="145"/>
      <c r="Z66" s="127"/>
    </row>
    <row r="67" spans="1:26" ht="15.6">
      <c r="A67" s="197"/>
      <c r="B67" s="453" t="s">
        <v>666</v>
      </c>
      <c r="C67" s="127"/>
      <c r="D67" s="127"/>
      <c r="E67" s="127"/>
      <c r="F67" s="127"/>
      <c r="G67" s="127"/>
      <c r="H67" s="127"/>
      <c r="I67" s="134"/>
      <c r="J67" s="347"/>
      <c r="K67" s="127"/>
      <c r="L67" s="127"/>
      <c r="M67" s="127"/>
      <c r="N67" s="127"/>
      <c r="O67" s="336"/>
      <c r="P67" s="145"/>
      <c r="Q67" s="145"/>
      <c r="R67" s="334"/>
      <c r="S67" s="145"/>
      <c r="T67" s="145"/>
      <c r="U67" s="145"/>
      <c r="V67" s="145"/>
      <c r="W67" s="145"/>
      <c r="X67" s="145"/>
      <c r="Y67" s="145"/>
      <c r="Z67" s="127"/>
    </row>
    <row r="68" spans="1:26" ht="13.8">
      <c r="A68" s="197"/>
      <c r="B68" s="127"/>
      <c r="C68" s="127"/>
      <c r="D68" s="127"/>
      <c r="E68" s="127"/>
      <c r="F68" s="127"/>
      <c r="G68" s="127"/>
      <c r="H68" s="127"/>
      <c r="I68" s="127"/>
      <c r="J68" s="127"/>
      <c r="K68" s="127"/>
      <c r="L68" s="127"/>
      <c r="M68" s="127"/>
      <c r="N68" s="127"/>
      <c r="O68" s="336"/>
      <c r="P68" s="145"/>
      <c r="Q68" s="145"/>
      <c r="R68" s="334"/>
      <c r="S68" s="145"/>
      <c r="T68" s="145"/>
      <c r="U68" s="145"/>
      <c r="V68" s="145"/>
      <c r="W68" s="145"/>
      <c r="X68" s="145"/>
      <c r="Y68" s="145"/>
      <c r="Z68" s="127"/>
    </row>
    <row r="69" spans="1:26">
      <c r="A69" s="197"/>
      <c r="B69" s="127"/>
      <c r="C69" s="127"/>
      <c r="D69" s="127"/>
      <c r="E69" s="127"/>
      <c r="F69" s="127"/>
      <c r="G69" s="127"/>
      <c r="H69" s="127"/>
      <c r="I69" s="134"/>
      <c r="J69" s="127"/>
      <c r="K69" s="127"/>
      <c r="L69" s="127"/>
      <c r="M69" s="127"/>
      <c r="N69" s="127"/>
      <c r="O69" s="145"/>
      <c r="P69" s="145"/>
      <c r="Q69" s="145"/>
      <c r="R69" s="334"/>
      <c r="S69" s="145"/>
      <c r="T69" s="145"/>
      <c r="U69" s="145"/>
      <c r="V69" s="145"/>
      <c r="W69" s="145"/>
      <c r="X69" s="145"/>
      <c r="Y69" s="145"/>
      <c r="Z69" s="127"/>
    </row>
    <row r="70" spans="1:26" ht="13.8">
      <c r="A70" s="197"/>
      <c r="B70" s="909" t="s">
        <v>668</v>
      </c>
      <c r="C70" s="127"/>
      <c r="D70" s="127"/>
      <c r="E70" s="127"/>
      <c r="F70" s="127"/>
      <c r="G70" s="127"/>
      <c r="H70" s="127"/>
      <c r="I70" s="134"/>
      <c r="J70" s="127"/>
      <c r="K70" s="127"/>
      <c r="L70" s="127"/>
      <c r="M70" s="127"/>
      <c r="N70" s="127"/>
      <c r="O70" s="335"/>
      <c r="P70" s="145"/>
      <c r="Q70" s="145"/>
      <c r="R70" s="334"/>
      <c r="S70" s="145"/>
      <c r="T70" s="145"/>
      <c r="U70" s="145"/>
      <c r="V70" s="145"/>
      <c r="W70" s="145"/>
      <c r="X70" s="145"/>
      <c r="Y70" s="145"/>
      <c r="Z70" s="127"/>
    </row>
    <row r="71" spans="1:26" ht="13.8">
      <c r="A71" s="197"/>
      <c r="B71" s="127"/>
      <c r="C71" s="127"/>
      <c r="D71" s="127"/>
      <c r="E71" s="127"/>
      <c r="F71" s="127"/>
      <c r="G71" s="127"/>
      <c r="H71" s="127"/>
      <c r="I71" s="134"/>
      <c r="J71" s="127"/>
      <c r="K71" s="127"/>
      <c r="L71" s="127"/>
      <c r="M71" s="127"/>
      <c r="N71" s="127"/>
      <c r="O71" s="336"/>
      <c r="P71" s="145"/>
      <c r="Q71" s="145"/>
      <c r="R71" s="334"/>
      <c r="S71" s="145"/>
      <c r="T71" s="145"/>
      <c r="U71" s="145"/>
      <c r="V71" s="145"/>
      <c r="W71" s="145"/>
      <c r="X71" s="145"/>
      <c r="Y71" s="145"/>
      <c r="Z71" s="127"/>
    </row>
    <row r="72" spans="1:26" ht="12.75" customHeight="1">
      <c r="A72" s="197"/>
      <c r="B72" s="453" t="s">
        <v>667</v>
      </c>
      <c r="C72" s="127"/>
      <c r="D72" s="127"/>
      <c r="E72" s="127"/>
      <c r="F72" s="127"/>
      <c r="G72" s="127"/>
      <c r="H72" s="127"/>
      <c r="I72" s="134"/>
      <c r="J72" s="127"/>
      <c r="K72" s="127"/>
      <c r="L72" s="127"/>
      <c r="M72" s="127"/>
      <c r="N72" s="127"/>
      <c r="O72" s="336"/>
      <c r="P72" s="145"/>
      <c r="Q72" s="145"/>
      <c r="R72" s="334"/>
      <c r="S72" s="145"/>
      <c r="T72" s="145"/>
      <c r="U72" s="145"/>
      <c r="V72" s="145"/>
      <c r="W72" s="145"/>
      <c r="X72" s="145"/>
      <c r="Y72" s="145"/>
      <c r="Z72" s="127"/>
    </row>
    <row r="73" spans="1:26">
      <c r="A73" s="197"/>
      <c r="B73" s="127"/>
      <c r="C73" s="127"/>
      <c r="D73" s="127"/>
      <c r="E73" s="127"/>
      <c r="F73" s="127"/>
      <c r="G73" s="127"/>
      <c r="H73" s="127"/>
      <c r="I73" s="127"/>
      <c r="J73" s="127"/>
      <c r="K73" s="127"/>
      <c r="L73" s="127"/>
      <c r="M73" s="127"/>
      <c r="N73" s="127"/>
      <c r="O73" s="337"/>
      <c r="P73" s="145"/>
      <c r="Q73" s="145"/>
      <c r="R73" s="334"/>
      <c r="S73" s="145"/>
      <c r="T73" s="145"/>
      <c r="U73" s="145"/>
      <c r="V73" s="145"/>
      <c r="W73" s="145"/>
      <c r="X73" s="145"/>
      <c r="Y73" s="145"/>
      <c r="Z73" s="127"/>
    </row>
    <row r="74" spans="1:26" ht="13.8">
      <c r="A74" s="197"/>
      <c r="B74" s="127"/>
      <c r="C74" s="127"/>
      <c r="D74" s="127"/>
      <c r="E74" s="127"/>
      <c r="F74" s="127"/>
      <c r="G74" s="127"/>
      <c r="H74" s="127"/>
      <c r="I74" s="127"/>
      <c r="J74" s="127"/>
      <c r="K74" s="127"/>
      <c r="L74" s="127"/>
      <c r="M74" s="127"/>
      <c r="N74" s="127"/>
      <c r="O74" s="335"/>
      <c r="P74" s="145"/>
      <c r="Q74" s="145"/>
      <c r="R74" s="334"/>
      <c r="S74" s="145"/>
      <c r="T74" s="145"/>
      <c r="U74" s="145"/>
      <c r="V74" s="145"/>
      <c r="W74" s="145"/>
      <c r="X74" s="145"/>
      <c r="Y74" s="145"/>
      <c r="Z74" s="127"/>
    </row>
    <row r="75" spans="1:26" ht="13.8">
      <c r="A75" s="197"/>
      <c r="B75" s="127"/>
      <c r="C75" s="127"/>
      <c r="D75" s="127"/>
      <c r="E75" s="127"/>
      <c r="F75" s="127"/>
      <c r="G75" s="127"/>
      <c r="H75" s="127"/>
      <c r="I75" s="134"/>
      <c r="J75" s="127"/>
      <c r="K75" s="127"/>
      <c r="L75" s="127"/>
      <c r="M75" s="127"/>
      <c r="N75" s="127"/>
      <c r="O75" s="336"/>
      <c r="P75" s="145"/>
      <c r="Q75" s="145"/>
      <c r="R75" s="334"/>
      <c r="S75" s="145"/>
      <c r="T75" s="145"/>
      <c r="U75" s="145"/>
      <c r="V75" s="145"/>
      <c r="W75" s="145"/>
      <c r="X75" s="145"/>
      <c r="Y75" s="145"/>
      <c r="Z75" s="127"/>
    </row>
    <row r="76" spans="1:26" ht="13.8">
      <c r="A76" s="197"/>
      <c r="B76" s="127"/>
      <c r="C76" s="127"/>
      <c r="D76" s="127"/>
      <c r="E76" s="127"/>
      <c r="F76" s="127"/>
      <c r="G76" s="127"/>
      <c r="H76" s="127"/>
      <c r="I76" s="127"/>
      <c r="J76" s="127"/>
      <c r="K76" s="127"/>
      <c r="L76" s="127"/>
      <c r="M76" s="127"/>
      <c r="N76" s="127"/>
      <c r="O76" s="336"/>
      <c r="P76" s="145"/>
      <c r="Q76" s="145"/>
      <c r="R76" s="334"/>
      <c r="S76" s="145"/>
      <c r="T76" s="145"/>
      <c r="U76" s="145"/>
      <c r="V76" s="145"/>
      <c r="W76" s="145"/>
      <c r="X76" s="145"/>
      <c r="Y76" s="145"/>
      <c r="Z76" s="127"/>
    </row>
    <row r="77" spans="1:26">
      <c r="A77" s="197"/>
      <c r="B77" s="127"/>
      <c r="C77" s="127"/>
      <c r="D77" s="127"/>
      <c r="E77" s="127"/>
      <c r="F77" s="127"/>
      <c r="G77" s="127"/>
      <c r="H77" s="127"/>
      <c r="I77" s="127"/>
      <c r="J77" s="127"/>
      <c r="K77" s="127"/>
      <c r="L77" s="127"/>
      <c r="M77" s="127"/>
      <c r="N77" s="127"/>
      <c r="O77" s="145"/>
      <c r="P77" s="145"/>
      <c r="Q77" s="145"/>
      <c r="R77" s="334"/>
      <c r="S77" s="145"/>
      <c r="T77" s="145"/>
      <c r="U77" s="145"/>
      <c r="V77" s="145"/>
      <c r="W77" s="145"/>
      <c r="X77" s="145"/>
      <c r="Y77" s="145"/>
      <c r="Z77" s="127"/>
    </row>
    <row r="78" spans="1:26" ht="13.8">
      <c r="A78" s="197"/>
      <c r="B78" s="127"/>
      <c r="C78" s="127"/>
      <c r="D78" s="127"/>
      <c r="E78" s="127"/>
      <c r="F78" s="127"/>
      <c r="G78" s="127"/>
      <c r="H78" s="127"/>
      <c r="I78" s="134"/>
      <c r="J78" s="127"/>
      <c r="K78" s="127"/>
      <c r="L78" s="127"/>
      <c r="M78" s="127"/>
      <c r="N78" s="127"/>
      <c r="O78" s="335"/>
      <c r="P78" s="145"/>
      <c r="Q78" s="145"/>
      <c r="R78" s="334"/>
      <c r="S78" s="145"/>
      <c r="T78" s="145"/>
      <c r="U78" s="145"/>
      <c r="V78" s="145"/>
      <c r="W78" s="145"/>
      <c r="X78" s="145"/>
      <c r="Y78" s="145"/>
      <c r="Z78" s="127"/>
    </row>
    <row r="79" spans="1:26" ht="13.8">
      <c r="A79" s="197"/>
      <c r="B79" s="127"/>
      <c r="C79" s="127"/>
      <c r="D79" s="127"/>
      <c r="E79" s="127"/>
      <c r="F79" s="127"/>
      <c r="G79" s="127"/>
      <c r="H79" s="127"/>
      <c r="I79" s="127"/>
      <c r="J79" s="127"/>
      <c r="K79" s="127"/>
      <c r="L79" s="127"/>
      <c r="M79" s="127"/>
      <c r="N79" s="127"/>
      <c r="O79" s="336"/>
      <c r="P79" s="145"/>
      <c r="Q79" s="145"/>
      <c r="R79" s="334"/>
      <c r="S79" s="145"/>
      <c r="T79" s="145"/>
      <c r="U79" s="145"/>
      <c r="V79" s="145"/>
      <c r="W79" s="145"/>
      <c r="X79" s="145"/>
      <c r="Y79" s="145"/>
      <c r="Z79" s="127"/>
    </row>
    <row r="80" spans="1:26" ht="13.8">
      <c r="A80" s="197"/>
      <c r="B80" s="127"/>
      <c r="C80" s="127"/>
      <c r="D80" s="127"/>
      <c r="E80" s="127"/>
      <c r="F80" s="127"/>
      <c r="G80" s="127"/>
      <c r="H80" s="127"/>
      <c r="I80" s="127"/>
      <c r="J80" s="127"/>
      <c r="K80" s="127"/>
      <c r="L80" s="127"/>
      <c r="M80" s="127"/>
      <c r="N80" s="127"/>
      <c r="O80" s="336"/>
      <c r="P80" s="145"/>
      <c r="Q80" s="145"/>
      <c r="R80" s="334"/>
      <c r="S80" s="145"/>
      <c r="T80" s="145"/>
      <c r="U80" s="145"/>
      <c r="V80" s="145"/>
      <c r="W80" s="145"/>
      <c r="X80" s="145"/>
      <c r="Y80" s="145"/>
      <c r="Z80" s="127"/>
    </row>
    <row r="81" spans="1:26">
      <c r="A81" s="197"/>
      <c r="B81" s="127"/>
      <c r="C81" s="127"/>
      <c r="D81" s="127"/>
      <c r="E81" s="127"/>
      <c r="F81" s="127"/>
      <c r="G81" s="127"/>
      <c r="H81" s="127"/>
      <c r="I81" s="134"/>
      <c r="J81" s="127"/>
      <c r="K81" s="127"/>
      <c r="L81" s="127"/>
      <c r="M81" s="127"/>
      <c r="N81" s="127"/>
      <c r="O81" s="145"/>
      <c r="P81" s="145"/>
      <c r="Q81" s="145"/>
      <c r="R81" s="334"/>
      <c r="S81" s="145"/>
      <c r="T81" s="145"/>
      <c r="U81" s="145"/>
      <c r="V81" s="145"/>
      <c r="W81" s="145"/>
      <c r="X81" s="145"/>
      <c r="Y81" s="145"/>
      <c r="Z81" s="127"/>
    </row>
    <row r="82" spans="1:26" ht="13.8">
      <c r="A82" s="197"/>
      <c r="B82" s="127"/>
      <c r="C82" s="127"/>
      <c r="D82" s="127"/>
      <c r="E82" s="127"/>
      <c r="F82" s="127"/>
      <c r="G82" s="127"/>
      <c r="H82" s="127"/>
      <c r="I82" s="127"/>
      <c r="J82" s="127"/>
      <c r="K82" s="127"/>
      <c r="L82" s="127"/>
      <c r="M82" s="127"/>
      <c r="N82" s="127"/>
      <c r="O82" s="335"/>
      <c r="P82" s="145"/>
      <c r="Q82" s="145"/>
      <c r="R82" s="334"/>
      <c r="S82" s="145"/>
      <c r="T82" s="145"/>
      <c r="U82" s="145"/>
      <c r="V82" s="145"/>
      <c r="W82" s="145"/>
      <c r="X82" s="145"/>
      <c r="Y82" s="145"/>
      <c r="Z82" s="127"/>
    </row>
    <row r="83" spans="1:26" ht="13.8">
      <c r="A83" s="197"/>
      <c r="B83" s="127"/>
      <c r="C83" s="127"/>
      <c r="D83" s="127"/>
      <c r="E83" s="127"/>
      <c r="F83" s="127"/>
      <c r="G83" s="127"/>
      <c r="H83" s="127"/>
      <c r="I83" s="127"/>
      <c r="J83" s="127"/>
      <c r="K83" s="127"/>
      <c r="L83" s="127"/>
      <c r="M83" s="127"/>
      <c r="N83" s="127"/>
      <c r="O83" s="336"/>
      <c r="P83" s="145"/>
      <c r="Q83" s="145"/>
      <c r="R83" s="334"/>
      <c r="S83" s="145"/>
      <c r="T83" s="145"/>
      <c r="U83" s="145"/>
      <c r="V83" s="145"/>
      <c r="W83" s="145"/>
      <c r="X83" s="145"/>
      <c r="Y83" s="145"/>
      <c r="Z83" s="127"/>
    </row>
    <row r="84" spans="1:26" ht="13.8">
      <c r="A84" s="197"/>
      <c r="B84" s="134"/>
      <c r="C84" s="134"/>
      <c r="D84" s="134"/>
      <c r="E84" s="127"/>
      <c r="F84" s="127"/>
      <c r="G84" s="127"/>
      <c r="H84" s="127"/>
      <c r="I84" s="127"/>
      <c r="J84" s="127"/>
      <c r="K84" s="127"/>
      <c r="L84" s="127"/>
      <c r="M84" s="127"/>
      <c r="N84" s="127"/>
      <c r="O84" s="336"/>
      <c r="P84" s="145"/>
      <c r="Q84" s="145"/>
      <c r="R84" s="334"/>
      <c r="S84" s="145"/>
      <c r="T84" s="145"/>
      <c r="U84" s="145"/>
      <c r="V84" s="145"/>
      <c r="W84" s="145"/>
      <c r="X84" s="145"/>
      <c r="Y84" s="145"/>
      <c r="Z84" s="127"/>
    </row>
    <row r="85" spans="1:26">
      <c r="A85" s="197"/>
      <c r="B85" s="134"/>
      <c r="C85" s="134"/>
      <c r="D85" s="134"/>
      <c r="E85" s="127"/>
      <c r="F85" s="127"/>
      <c r="G85" s="127"/>
      <c r="H85" s="127"/>
      <c r="I85" s="127"/>
      <c r="J85" s="127"/>
      <c r="K85" s="127"/>
      <c r="L85" s="127"/>
      <c r="M85" s="127"/>
      <c r="N85" s="127"/>
      <c r="O85" s="145"/>
      <c r="P85" s="145"/>
      <c r="Q85" s="145"/>
      <c r="R85" s="334"/>
      <c r="S85" s="145"/>
      <c r="T85" s="145"/>
      <c r="U85" s="145"/>
      <c r="V85" s="145"/>
      <c r="W85" s="145"/>
      <c r="X85" s="145"/>
      <c r="Y85" s="145"/>
      <c r="Z85" s="127"/>
    </row>
    <row r="86" spans="1:26" ht="13.8">
      <c r="A86" s="197"/>
      <c r="B86" s="134"/>
      <c r="C86" s="134"/>
      <c r="D86" s="134"/>
      <c r="E86" s="127"/>
      <c r="F86" s="127"/>
      <c r="G86" s="127"/>
      <c r="H86" s="127"/>
      <c r="I86" s="127"/>
      <c r="J86" s="127"/>
      <c r="K86" s="127"/>
      <c r="L86" s="127"/>
      <c r="M86" s="127"/>
      <c r="N86" s="127"/>
      <c r="O86" s="335"/>
      <c r="P86" s="145"/>
      <c r="Q86" s="145"/>
      <c r="R86" s="334"/>
      <c r="S86" s="145"/>
      <c r="T86" s="145"/>
      <c r="U86" s="145"/>
      <c r="V86" s="145"/>
      <c r="W86" s="145"/>
      <c r="X86" s="145"/>
      <c r="Y86" s="145"/>
      <c r="Z86" s="127"/>
    </row>
    <row r="87" spans="1:26" ht="13.8" thickBot="1">
      <c r="A87" s="198"/>
      <c r="B87" s="199"/>
      <c r="C87" s="199"/>
      <c r="D87" s="199"/>
      <c r="E87" s="199"/>
      <c r="F87" s="199"/>
      <c r="G87" s="199"/>
      <c r="H87" s="199"/>
      <c r="I87" s="199"/>
      <c r="J87" s="199"/>
      <c r="K87" s="199"/>
      <c r="L87" s="199"/>
      <c r="M87" s="199"/>
      <c r="N87" s="199"/>
      <c r="O87" s="199"/>
      <c r="P87" s="199"/>
      <c r="Q87" s="199"/>
      <c r="R87" s="168"/>
    </row>
    <row r="91" spans="1:26">
      <c r="B91" s="283" t="s">
        <v>173</v>
      </c>
      <c r="C91" s="283"/>
      <c r="D91" s="282"/>
    </row>
    <row r="93" spans="1:26" ht="13.8" thickBot="1"/>
    <row r="94" spans="1:26">
      <c r="B94" s="311"/>
      <c r="C94" s="348"/>
      <c r="D94" s="348"/>
      <c r="E94" s="348"/>
      <c r="F94" s="348"/>
      <c r="G94" s="348"/>
      <c r="H94" s="348"/>
      <c r="I94" s="348"/>
      <c r="J94" s="348"/>
      <c r="K94" s="348"/>
      <c r="L94" s="348"/>
      <c r="M94" s="348"/>
      <c r="N94" s="349"/>
    </row>
    <row r="95" spans="1:26">
      <c r="B95" s="491" t="s">
        <v>225</v>
      </c>
      <c r="C95" s="492" t="s">
        <v>37</v>
      </c>
      <c r="D95" s="492" t="s">
        <v>38</v>
      </c>
      <c r="E95" s="492" t="s">
        <v>33</v>
      </c>
      <c r="F95" s="492" t="s">
        <v>13</v>
      </c>
      <c r="G95" s="492" t="s">
        <v>14</v>
      </c>
      <c r="H95" s="492" t="s">
        <v>15</v>
      </c>
      <c r="I95" s="492" t="s">
        <v>16</v>
      </c>
      <c r="J95" s="492" t="s">
        <v>17</v>
      </c>
      <c r="K95" s="492" t="s">
        <v>18</v>
      </c>
      <c r="L95" s="492" t="s">
        <v>19</v>
      </c>
      <c r="M95" s="492" t="s">
        <v>20</v>
      </c>
      <c r="N95" s="493" t="s">
        <v>226</v>
      </c>
    </row>
    <row r="96" spans="1:26" ht="13.8">
      <c r="B96" s="312" t="s">
        <v>36</v>
      </c>
      <c r="C96" s="350">
        <f>+'Mnth Appendices 2002 Plan '!C21/1000</f>
        <v>222.90308333333331</v>
      </c>
      <c r="D96" s="350">
        <f>(+'Mnth Appendices 2002 Plan '!D21/1000)+C96</f>
        <v>445.80616666666663</v>
      </c>
      <c r="E96" s="350">
        <f>(+'Mnth Appendices 2002 Plan '!E21/1000)+D96</f>
        <v>668.70924999999988</v>
      </c>
      <c r="F96" s="350">
        <f>(+'Mnth Appendices 2002 Plan '!F21/1000)+E96</f>
        <v>891.61233333333325</v>
      </c>
      <c r="G96" s="350">
        <f>(+'Mnth Appendices 2002 Plan '!G21/1000)+F96</f>
        <v>1114.5154166666666</v>
      </c>
      <c r="H96" s="350">
        <f>(+'Mnth Appendices 2002 Plan '!H21/1000)+G96</f>
        <v>1337.4185</v>
      </c>
      <c r="I96" s="350">
        <f>(+'Mnth Appendices 2002 Plan '!I21/1000)+H96</f>
        <v>1560.3215833333334</v>
      </c>
      <c r="J96" s="350">
        <f>(+'Mnth Appendices 2002 Plan '!J21/1000)+I96</f>
        <v>1783.2246666666667</v>
      </c>
      <c r="K96" s="350">
        <f>(+'Mnth Appendices 2002 Plan '!K21/1000)+J96</f>
        <v>2006.1277500000001</v>
      </c>
      <c r="L96" s="350">
        <f>(+'Mnth Appendices 2002 Plan '!L21/1000)+K96</f>
        <v>2229.0308333333332</v>
      </c>
      <c r="M96" s="350">
        <f>(+'Mnth Appendices 2002 Plan '!M21/1000)+L96</f>
        <v>2451.9339166666664</v>
      </c>
      <c r="N96" s="384">
        <f>(+'Mnth Appendices 2002 Plan '!N21/1000)+M96</f>
        <v>2674.8369999999995</v>
      </c>
    </row>
    <row r="97" spans="2:14" ht="13.8">
      <c r="B97" s="312" t="s">
        <v>223</v>
      </c>
      <c r="C97" s="313">
        <f>(+'Adaytum by Month'!C40/1000)+'Adaytum by Month'!P42</f>
        <v>417.46278999999998</v>
      </c>
      <c r="D97" s="313">
        <f>(+'Adaytum by Month'!D40/1000)+C97+'Adaytum by Month'!P42</f>
        <v>778.79514999999992</v>
      </c>
      <c r="E97" s="313">
        <f>(+'Adaytum by Month'!E40/1000)+D97+'Adaytum by Month'!P42</f>
        <v>1375.3654099999999</v>
      </c>
      <c r="F97" s="313">
        <f>(+'Adaytum by Month'!F40/1000)+E97+'Adaytum by Month'!P42</f>
        <v>2082.30836</v>
      </c>
      <c r="G97" s="313">
        <f>(+'Adaytum by Month'!G40/1000)+F97+'Adaytum by Month'!P42</f>
        <v>2371.4445999999998</v>
      </c>
      <c r="H97" s="313">
        <f>(+'Adaytum by Month'!H40/1000)+G97+'Adaytum by Month'!P42</f>
        <v>2661.3794399999997</v>
      </c>
      <c r="I97" s="313">
        <f>(+'Adaytum by Month'!I40/1000)+H97+'Adaytum by Month'!P42</f>
        <v>3168.8745399999998</v>
      </c>
      <c r="J97" s="313">
        <f>(+'Adaytum by Month'!J40/1000)+I97+'Adaytum by Month'!P42</f>
        <v>3864.5444399999997</v>
      </c>
      <c r="K97" s="313">
        <f>(+'Adaytum by Month'!K40/1000)+J97+'Adaytum by Month'!P42</f>
        <v>5136.7250816666665</v>
      </c>
      <c r="L97" s="313">
        <f>(+'Adaytum by Month'!L40/1000)+K97</f>
        <v>6428.6325233333337</v>
      </c>
      <c r="M97" s="313">
        <f>(+'Adaytum by Month'!M40/1000)+L97</f>
        <v>7720.5399649999999</v>
      </c>
      <c r="N97" s="314">
        <f>(+'Adaytum by Month'!N40/1000)+M97</f>
        <v>9012.4474066666662</v>
      </c>
    </row>
    <row r="98" spans="2:14" ht="13.8">
      <c r="B98" s="312" t="s">
        <v>196</v>
      </c>
      <c r="C98" s="313">
        <f>+'Adaytum by Month'!C56/1000</f>
        <v>1114.7861940298496</v>
      </c>
      <c r="D98" s="313">
        <f>(+'Adaytum by Month'!D56/1000)+C98</f>
        <v>2234.7724813432819</v>
      </c>
      <c r="E98" s="313">
        <f>(+'Adaytum by Month'!E56/1000)+D98</f>
        <v>3354.758768656714</v>
      </c>
      <c r="F98" s="313">
        <f>(+'Adaytum by Month'!F56/1000)+E98</f>
        <v>4474.7480410447724</v>
      </c>
      <c r="G98" s="313">
        <f>(+'Adaytum by Month'!G56/1000)+F98</f>
        <v>5594.7343283582049</v>
      </c>
      <c r="H98" s="313">
        <f>(+'Adaytum by Month'!H56/1000)+G98</f>
        <v>6714.7206156716375</v>
      </c>
      <c r="I98" s="313">
        <f>(+'Adaytum by Month'!I56/1000)+H98</f>
        <v>7845.8106343283525</v>
      </c>
      <c r="J98" s="313">
        <f>(+'Adaytum by Month'!J56/1000)+I98</f>
        <v>8976.8976679104417</v>
      </c>
      <c r="K98" s="313">
        <f>(+'Adaytum by Month'!K56/1000)+J98</f>
        <v>10107.984701492531</v>
      </c>
      <c r="L98" s="313">
        <f>(+'Adaytum by Month'!L56/1000)+K98</f>
        <v>11239.074720149247</v>
      </c>
      <c r="M98" s="313">
        <f>(+'Adaytum by Month'!M56/1000)+L98</f>
        <v>12370.161753731336</v>
      </c>
      <c r="N98" s="314">
        <f>(+'Adaytum by Month'!N56/1000)+M98</f>
        <v>13501.248787313425</v>
      </c>
    </row>
    <row r="99" spans="2:14" ht="13.8">
      <c r="B99" s="312" t="s">
        <v>221</v>
      </c>
      <c r="C99" s="313">
        <f>+'Input Data'!$J$24/1000/12</f>
        <v>675.9335554999999</v>
      </c>
      <c r="D99" s="313">
        <f>('Input Data'!$J$24/1000/12)+C99</f>
        <v>1351.8671109999998</v>
      </c>
      <c r="E99" s="313">
        <f>('Input Data'!$J$24/1000/12)+D99</f>
        <v>2027.8006664999998</v>
      </c>
      <c r="F99" s="313">
        <f>('Input Data'!$J$24/1000/12)+E99</f>
        <v>2703.7342219999996</v>
      </c>
      <c r="G99" s="313">
        <f>('Input Data'!$J$24/1000/12)+F99</f>
        <v>3379.6677774999994</v>
      </c>
      <c r="H99" s="313">
        <f>('Input Data'!$J$24/1000/12)+G99</f>
        <v>4055.6013329999992</v>
      </c>
      <c r="I99" s="313">
        <f>('Input Data'!$J$24/1000/12)+H99</f>
        <v>4731.5348884999994</v>
      </c>
      <c r="J99" s="313">
        <f>('Input Data'!$J$24/1000/12)+I99</f>
        <v>5407.4684439999992</v>
      </c>
      <c r="K99" s="313">
        <f>('Input Data'!$J$24/1000/12)+J99</f>
        <v>6083.401999499999</v>
      </c>
      <c r="L99" s="313">
        <f>('Input Data'!$J$24/1000/12)+K99</f>
        <v>6759.3355549999987</v>
      </c>
      <c r="M99" s="313">
        <f>('Input Data'!$J$24/1000/12)+L99</f>
        <v>7435.2691104999985</v>
      </c>
      <c r="N99" s="314">
        <f>('Input Data'!$J$24/1000/12)+M99</f>
        <v>8111.2026659999983</v>
      </c>
    </row>
    <row r="100" spans="2:14" ht="13.8">
      <c r="B100" s="312" t="s">
        <v>222</v>
      </c>
      <c r="C100" s="313">
        <f>+'Input Data'!$J$26/1000/12</f>
        <v>600.82982711111106</v>
      </c>
      <c r="D100" s="313">
        <f>('Input Data'!$J$26/1000/12)+C100</f>
        <v>1201.6596542222221</v>
      </c>
      <c r="E100" s="313">
        <f>('Input Data'!$J$26/1000/12)+D100</f>
        <v>1802.4894813333331</v>
      </c>
      <c r="F100" s="313">
        <f>('Input Data'!$J$26/1000/12)+E100</f>
        <v>2403.3193084444442</v>
      </c>
      <c r="G100" s="313">
        <f>('Input Data'!$J$26/1000/12)+F100</f>
        <v>3004.1491355555554</v>
      </c>
      <c r="H100" s="313">
        <f>('Input Data'!$J$26/1000/12)+G100</f>
        <v>3604.9789626666666</v>
      </c>
      <c r="I100" s="313">
        <f>('Input Data'!$J$26/1000/12)+H100</f>
        <v>4205.8087897777777</v>
      </c>
      <c r="J100" s="313">
        <f>('Input Data'!$J$26/1000/12)+I100</f>
        <v>4806.6386168888885</v>
      </c>
      <c r="K100" s="313">
        <f>('Input Data'!$J$26/1000/12)+J100</f>
        <v>5407.4684439999992</v>
      </c>
      <c r="L100" s="313">
        <f>('Input Data'!$J$26/1000/12)+K100</f>
        <v>6008.2982711111099</v>
      </c>
      <c r="M100" s="313">
        <f>('Input Data'!$J$26/1000/12)+L100</f>
        <v>6609.1280982222206</v>
      </c>
      <c r="N100" s="314">
        <f>('Input Data'!$J$26/1000/12)+M100</f>
        <v>7209.9579253333313</v>
      </c>
    </row>
    <row r="101" spans="2:14" ht="13.8">
      <c r="B101" s="312" t="s">
        <v>272</v>
      </c>
      <c r="C101" s="313">
        <f>+C102/2</f>
        <v>181.47329166666668</v>
      </c>
      <c r="D101" s="313">
        <f t="shared" ref="D101:N101" si="0">+D102/2</f>
        <v>362.94658333333336</v>
      </c>
      <c r="E101" s="313">
        <f t="shared" si="0"/>
        <v>544.41987500000005</v>
      </c>
      <c r="F101" s="313">
        <f t="shared" si="0"/>
        <v>725.89316666666673</v>
      </c>
      <c r="G101" s="313">
        <f t="shared" si="0"/>
        <v>907.36645833333341</v>
      </c>
      <c r="H101" s="313">
        <f t="shared" si="0"/>
        <v>1088.8397500000001</v>
      </c>
      <c r="I101" s="313">
        <f t="shared" si="0"/>
        <v>1270.3130416666668</v>
      </c>
      <c r="J101" s="313">
        <f t="shared" si="0"/>
        <v>1451.7863333333335</v>
      </c>
      <c r="K101" s="313">
        <f t="shared" si="0"/>
        <v>1633.2596250000001</v>
      </c>
      <c r="L101" s="313">
        <f t="shared" si="0"/>
        <v>1814.7329166666668</v>
      </c>
      <c r="M101" s="313">
        <f t="shared" si="0"/>
        <v>1996.2062083333335</v>
      </c>
      <c r="N101" s="314">
        <f t="shared" si="0"/>
        <v>2177.6795000000002</v>
      </c>
    </row>
    <row r="102" spans="2:14" ht="13.8">
      <c r="B102" s="312" t="s">
        <v>224</v>
      </c>
      <c r="C102" s="313">
        <f>+'Input Data'!$J$22/1000/12</f>
        <v>362.94658333333336</v>
      </c>
      <c r="D102" s="313">
        <f>('Input Data'!$J$22/1000/12)+C102</f>
        <v>725.89316666666673</v>
      </c>
      <c r="E102" s="313">
        <f>('Input Data'!$J$22/1000/12)+D102</f>
        <v>1088.8397500000001</v>
      </c>
      <c r="F102" s="313">
        <f>('Input Data'!$J$22/1000/12)+E102</f>
        <v>1451.7863333333335</v>
      </c>
      <c r="G102" s="313">
        <f>('Input Data'!$J$22/1000/12)+F102</f>
        <v>1814.7329166666668</v>
      </c>
      <c r="H102" s="313">
        <f>('Input Data'!$J$22/1000/12)+G102</f>
        <v>2177.6795000000002</v>
      </c>
      <c r="I102" s="313">
        <f>('Input Data'!$J$22/1000/12)+H102</f>
        <v>2540.6260833333336</v>
      </c>
      <c r="J102" s="313">
        <f>('Input Data'!$J$22/1000/12)+I102</f>
        <v>2903.5726666666669</v>
      </c>
      <c r="K102" s="313">
        <f>('Input Data'!$J$22/1000/12)+J102</f>
        <v>3266.5192500000003</v>
      </c>
      <c r="L102" s="313">
        <f>('Input Data'!$J$22/1000/12)+K102</f>
        <v>3629.4658333333336</v>
      </c>
      <c r="M102" s="313">
        <f>('Input Data'!$J$22/1000/12)+L102</f>
        <v>3992.412416666667</v>
      </c>
      <c r="N102" s="314">
        <f>('Input Data'!$J$22/1000/12)+M102</f>
        <v>4355.3590000000004</v>
      </c>
    </row>
    <row r="103" spans="2:14" ht="13.8" thickBot="1">
      <c r="B103" s="315"/>
      <c r="C103" s="316"/>
      <c r="D103" s="316"/>
      <c r="E103" s="316"/>
      <c r="F103" s="316"/>
      <c r="G103" s="316"/>
      <c r="H103" s="316"/>
      <c r="I103" s="316"/>
      <c r="J103" s="316"/>
      <c r="K103" s="316"/>
      <c r="L103" s="316"/>
      <c r="M103" s="316"/>
      <c r="N103" s="317"/>
    </row>
    <row r="104" spans="2:14">
      <c r="B104" s="318"/>
      <c r="C104" s="318"/>
      <c r="D104" s="318"/>
      <c r="E104" s="318"/>
      <c r="F104" s="318"/>
      <c r="G104" s="318"/>
      <c r="H104" s="318"/>
      <c r="I104" s="318"/>
      <c r="J104" s="318"/>
      <c r="K104" s="318"/>
      <c r="L104" s="318"/>
      <c r="M104" s="318"/>
      <c r="N104" s="318"/>
    </row>
    <row r="105" spans="2:14">
      <c r="B105" s="379"/>
      <c r="C105" s="379"/>
      <c r="D105" s="318"/>
      <c r="E105" s="318"/>
      <c r="F105" s="318"/>
      <c r="G105" s="318"/>
      <c r="H105" s="318"/>
      <c r="I105" s="318"/>
      <c r="J105" s="318"/>
      <c r="K105" s="318"/>
      <c r="L105" s="318"/>
      <c r="M105" s="318"/>
      <c r="N105" s="318"/>
    </row>
    <row r="106" spans="2:14">
      <c r="B106" s="318"/>
      <c r="C106" s="318"/>
      <c r="D106" s="318"/>
      <c r="E106" s="318"/>
      <c r="F106" s="318"/>
      <c r="G106" s="318"/>
      <c r="H106" s="318"/>
      <c r="I106" s="318"/>
      <c r="J106" s="318"/>
      <c r="K106" s="318"/>
      <c r="L106" s="318"/>
      <c r="M106" s="318"/>
      <c r="N106" s="318"/>
    </row>
    <row r="107" spans="2:14">
      <c r="B107" s="318"/>
      <c r="C107" s="318"/>
      <c r="D107" s="318"/>
      <c r="E107" s="318"/>
      <c r="F107" s="318"/>
      <c r="G107" s="318"/>
      <c r="H107" s="318"/>
      <c r="I107" s="318"/>
      <c r="J107" s="318"/>
      <c r="K107" s="318"/>
      <c r="L107" s="318"/>
      <c r="M107" s="318"/>
      <c r="N107" s="318"/>
    </row>
    <row r="108" spans="2:14">
      <c r="B108" s="318"/>
      <c r="C108" s="318"/>
      <c r="D108" s="318"/>
      <c r="E108" s="318"/>
      <c r="F108" s="318"/>
      <c r="G108" s="318"/>
      <c r="H108" s="318"/>
      <c r="I108" s="318"/>
      <c r="J108" s="318"/>
      <c r="K108" s="318"/>
      <c r="L108" s="318"/>
      <c r="M108" s="318"/>
      <c r="N108" s="318"/>
    </row>
    <row r="109" spans="2:14">
      <c r="B109" s="318"/>
      <c r="C109" s="318"/>
      <c r="D109" s="318"/>
      <c r="E109" s="318"/>
      <c r="F109" s="318"/>
      <c r="G109" s="318"/>
      <c r="H109" s="318"/>
      <c r="I109" s="318"/>
      <c r="J109" s="318"/>
      <c r="K109" s="318"/>
      <c r="L109" s="318"/>
      <c r="M109" s="318"/>
      <c r="N109" s="318"/>
    </row>
    <row r="110" spans="2:14">
      <c r="B110" s="318"/>
      <c r="C110" s="318"/>
      <c r="D110" s="318"/>
      <c r="E110" s="318"/>
      <c r="F110" s="318"/>
      <c r="G110" s="318"/>
      <c r="H110" s="318"/>
      <c r="I110" s="318"/>
      <c r="J110" s="318"/>
      <c r="K110" s="318"/>
      <c r="L110" s="318"/>
      <c r="M110" s="318"/>
      <c r="N110" s="318"/>
    </row>
    <row r="111" spans="2:14">
      <c r="B111" s="318"/>
      <c r="C111" s="318"/>
      <c r="D111" s="318"/>
      <c r="E111" s="318"/>
      <c r="F111" s="318"/>
      <c r="G111" s="318"/>
      <c r="H111" s="318"/>
      <c r="I111" s="318"/>
      <c r="J111" s="318"/>
      <c r="K111" s="318"/>
      <c r="L111" s="318"/>
      <c r="M111" s="318"/>
      <c r="N111" s="318"/>
    </row>
    <row r="112" spans="2:14">
      <c r="B112" s="318"/>
      <c r="C112" s="318"/>
      <c r="D112" s="318"/>
      <c r="E112" s="318"/>
      <c r="F112" s="318"/>
      <c r="G112" s="318"/>
      <c r="H112" s="318"/>
      <c r="I112" s="318"/>
      <c r="J112" s="318"/>
      <c r="K112" s="318"/>
      <c r="L112" s="318"/>
      <c r="M112" s="318"/>
      <c r="N112" s="318"/>
    </row>
    <row r="113" spans="2:14">
      <c r="B113" s="318"/>
      <c r="C113" s="318"/>
      <c r="D113" s="318"/>
      <c r="E113" s="318"/>
      <c r="F113" s="318"/>
      <c r="G113" s="318"/>
      <c r="H113" s="318"/>
      <c r="I113" s="318"/>
      <c r="J113" s="318"/>
      <c r="K113" s="318"/>
      <c r="L113" s="318"/>
      <c r="M113" s="318"/>
      <c r="N113" s="318"/>
    </row>
    <row r="114" spans="2:14">
      <c r="B114" s="318"/>
      <c r="C114" s="318"/>
      <c r="D114" s="318"/>
      <c r="E114" s="318"/>
      <c r="F114" s="318"/>
      <c r="G114" s="318"/>
      <c r="H114" s="318"/>
      <c r="I114" s="318"/>
      <c r="J114" s="318"/>
      <c r="K114" s="318"/>
      <c r="L114" s="318"/>
      <c r="M114" s="318"/>
      <c r="N114" s="318"/>
    </row>
    <row r="115" spans="2:14">
      <c r="B115" s="318"/>
      <c r="C115" s="318"/>
      <c r="D115" s="318"/>
      <c r="E115" s="318"/>
      <c r="F115" s="318"/>
      <c r="G115" s="318"/>
      <c r="H115" s="318"/>
      <c r="I115" s="318"/>
      <c r="J115" s="318"/>
      <c r="K115" s="318"/>
      <c r="L115" s="318"/>
      <c r="M115" s="318"/>
      <c r="N115" s="318"/>
    </row>
    <row r="116" spans="2:14">
      <c r="B116" s="318"/>
      <c r="C116" s="318"/>
      <c r="D116" s="318"/>
      <c r="E116" s="318"/>
      <c r="F116" s="318"/>
      <c r="G116" s="318"/>
      <c r="H116" s="318"/>
      <c r="I116" s="318"/>
      <c r="J116" s="318"/>
      <c r="K116" s="318"/>
      <c r="L116" s="318"/>
      <c r="M116" s="318"/>
      <c r="N116" s="318"/>
    </row>
    <row r="117" spans="2:14">
      <c r="B117" s="318"/>
      <c r="C117" s="318"/>
      <c r="D117" s="318"/>
      <c r="E117" s="318"/>
      <c r="F117" s="318"/>
      <c r="G117" s="318"/>
      <c r="H117" s="318"/>
      <c r="I117" s="318"/>
      <c r="J117" s="318"/>
      <c r="K117" s="318"/>
      <c r="L117" s="318"/>
      <c r="M117" s="318"/>
      <c r="N117" s="318"/>
    </row>
    <row r="118" spans="2:14">
      <c r="B118" s="318"/>
      <c r="C118" s="318"/>
      <c r="D118" s="318"/>
      <c r="E118" s="318"/>
      <c r="F118" s="318"/>
      <c r="G118" s="318"/>
      <c r="H118" s="318"/>
      <c r="I118" s="318"/>
      <c r="J118" s="318"/>
      <c r="K118" s="318"/>
      <c r="L118" s="318"/>
      <c r="M118" s="318"/>
      <c r="N118" s="318"/>
    </row>
    <row r="119" spans="2:14">
      <c r="B119" s="318"/>
      <c r="C119" s="318"/>
      <c r="D119" s="318"/>
      <c r="E119" s="318"/>
      <c r="F119" s="318"/>
      <c r="G119" s="318"/>
      <c r="H119" s="318"/>
      <c r="I119" s="318"/>
      <c r="J119" s="318"/>
      <c r="K119" s="318"/>
      <c r="L119" s="318"/>
      <c r="M119" s="318"/>
      <c r="N119" s="318"/>
    </row>
    <row r="120" spans="2:14">
      <c r="B120" s="318"/>
      <c r="C120" s="318"/>
      <c r="D120" s="318"/>
      <c r="E120" s="318"/>
      <c r="F120" s="318"/>
      <c r="G120" s="318"/>
      <c r="H120" s="318"/>
      <c r="I120" s="318"/>
      <c r="J120" s="318"/>
      <c r="K120" s="318"/>
      <c r="L120" s="318"/>
      <c r="M120" s="318"/>
      <c r="N120" s="318"/>
    </row>
    <row r="121" spans="2:14">
      <c r="B121" s="318"/>
      <c r="C121" s="318"/>
      <c r="D121" s="318"/>
      <c r="E121" s="318"/>
      <c r="F121" s="318"/>
      <c r="G121" s="318"/>
      <c r="H121" s="318"/>
      <c r="I121" s="318"/>
      <c r="J121" s="318"/>
      <c r="K121" s="318"/>
      <c r="L121" s="318"/>
      <c r="M121" s="318"/>
      <c r="N121" s="318"/>
    </row>
    <row r="122" spans="2:14">
      <c r="B122" s="318"/>
      <c r="C122" s="318"/>
      <c r="D122" s="318"/>
      <c r="E122" s="318"/>
      <c r="F122" s="318"/>
      <c r="G122" s="318"/>
      <c r="H122" s="318"/>
      <c r="I122" s="318"/>
      <c r="J122" s="318"/>
      <c r="K122" s="318"/>
      <c r="L122" s="318"/>
      <c r="M122" s="318"/>
      <c r="N122" s="318"/>
    </row>
    <row r="123" spans="2:14">
      <c r="B123" s="318"/>
      <c r="C123" s="318"/>
      <c r="D123" s="318"/>
      <c r="E123" s="318"/>
      <c r="F123" s="318"/>
      <c r="G123" s="318"/>
      <c r="H123" s="318"/>
      <c r="I123" s="318"/>
      <c r="J123" s="318"/>
      <c r="K123" s="318"/>
      <c r="L123" s="318"/>
      <c r="M123" s="318"/>
      <c r="N123" s="318"/>
    </row>
    <row r="124" spans="2:14">
      <c r="B124" s="318"/>
      <c r="C124" s="318"/>
      <c r="D124" s="318"/>
      <c r="E124" s="318"/>
      <c r="F124" s="318"/>
      <c r="G124" s="318"/>
      <c r="H124" s="318"/>
      <c r="I124" s="318"/>
      <c r="J124" s="318"/>
      <c r="K124" s="318"/>
      <c r="L124" s="318"/>
      <c r="M124" s="318"/>
      <c r="N124" s="318"/>
    </row>
    <row r="125" spans="2:14">
      <c r="B125" s="318"/>
      <c r="C125" s="318"/>
      <c r="D125" s="318"/>
      <c r="E125" s="318"/>
      <c r="F125" s="318"/>
      <c r="G125" s="318"/>
      <c r="H125" s="318"/>
      <c r="I125" s="318"/>
      <c r="J125" s="318"/>
      <c r="K125" s="318"/>
      <c r="L125" s="318"/>
      <c r="M125" s="318"/>
      <c r="N125" s="318"/>
    </row>
    <row r="126" spans="2:14">
      <c r="B126" s="318"/>
      <c r="C126" s="318"/>
      <c r="D126" s="318"/>
      <c r="E126" s="318"/>
      <c r="F126" s="318"/>
      <c r="G126" s="318"/>
      <c r="H126" s="318"/>
      <c r="I126" s="318"/>
      <c r="J126" s="318"/>
      <c r="K126" s="318"/>
      <c r="L126" s="318"/>
      <c r="M126" s="318"/>
      <c r="N126" s="318"/>
    </row>
    <row r="127" spans="2:14">
      <c r="B127" s="318"/>
      <c r="C127" s="318"/>
      <c r="D127" s="318"/>
      <c r="E127" s="318"/>
      <c r="F127" s="318"/>
      <c r="G127" s="318"/>
      <c r="H127" s="318"/>
      <c r="I127" s="318"/>
      <c r="J127" s="318"/>
      <c r="K127" s="318"/>
      <c r="L127" s="318"/>
      <c r="M127" s="318"/>
      <c r="N127" s="318"/>
    </row>
    <row r="128" spans="2:14">
      <c r="B128" s="318"/>
      <c r="C128" s="318"/>
      <c r="D128" s="318"/>
      <c r="E128" s="318"/>
      <c r="F128" s="318"/>
      <c r="G128" s="318"/>
      <c r="H128" s="318"/>
      <c r="I128" s="318"/>
      <c r="J128" s="318"/>
      <c r="K128" s="318"/>
      <c r="L128" s="318"/>
      <c r="M128" s="318"/>
      <c r="N128" s="318"/>
    </row>
    <row r="129" spans="2:14">
      <c r="B129" s="318"/>
      <c r="C129" s="318"/>
      <c r="D129" s="318"/>
      <c r="E129" s="318"/>
      <c r="F129" s="318"/>
      <c r="G129" s="318"/>
      <c r="H129" s="318"/>
      <c r="I129" s="318"/>
      <c r="J129" s="318"/>
      <c r="K129" s="318"/>
      <c r="L129" s="318"/>
      <c r="M129" s="318"/>
      <c r="N129" s="318"/>
    </row>
    <row r="130" spans="2:14">
      <c r="B130" s="318"/>
      <c r="C130" s="318"/>
      <c r="D130" s="318"/>
      <c r="E130" s="318"/>
      <c r="F130" s="318"/>
      <c r="G130" s="318"/>
      <c r="H130" s="318"/>
      <c r="I130" s="318"/>
      <c r="J130" s="318"/>
      <c r="K130" s="318"/>
      <c r="L130" s="318"/>
      <c r="M130" s="318"/>
      <c r="N130" s="318"/>
    </row>
    <row r="131" spans="2:14">
      <c r="B131" s="318"/>
      <c r="C131" s="318"/>
      <c r="D131" s="318"/>
      <c r="E131" s="318"/>
      <c r="F131" s="318"/>
      <c r="G131" s="318"/>
      <c r="H131" s="318"/>
      <c r="I131" s="318"/>
      <c r="J131" s="318"/>
      <c r="K131" s="318"/>
      <c r="L131" s="318"/>
      <c r="M131" s="318"/>
      <c r="N131" s="318"/>
    </row>
    <row r="132" spans="2:14">
      <c r="B132" s="318"/>
      <c r="C132" s="318"/>
      <c r="D132" s="318"/>
      <c r="E132" s="318"/>
      <c r="F132" s="318"/>
      <c r="G132" s="318"/>
      <c r="H132" s="318"/>
      <c r="I132" s="318"/>
      <c r="J132" s="318"/>
      <c r="K132" s="318"/>
      <c r="L132" s="318"/>
      <c r="M132" s="318"/>
      <c r="N132" s="318"/>
    </row>
    <row r="133" spans="2:14">
      <c r="B133" s="318"/>
      <c r="C133" s="318"/>
      <c r="D133" s="318"/>
      <c r="E133" s="318"/>
      <c r="F133" s="318"/>
      <c r="G133" s="318"/>
      <c r="H133" s="318"/>
      <c r="I133" s="318"/>
      <c r="J133" s="318"/>
      <c r="K133" s="318"/>
      <c r="L133" s="318"/>
      <c r="M133" s="318"/>
      <c r="N133" s="318"/>
    </row>
  </sheetData>
  <phoneticPr fontId="0" type="noConversion"/>
  <pageMargins left="0.74803149606299213" right="0.59" top="0.55118110236220474" bottom="0.47" header="0.51181102362204722" footer="0.51181102362204722"/>
  <pageSetup paperSize="9" scale="40" orientation="landscape" r:id="rId1"/>
  <headerFooter alignWithMargins="0">
    <oddFooter>&amp;LPage 1&amp;CSource: Financial Planning and Analysis&amp;RPrinted : &amp;D  &amp;T</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AA69"/>
  <sheetViews>
    <sheetView tabSelected="1" topLeftCell="A23" zoomScale="60" workbookViewId="0">
      <selection activeCell="C9" sqref="C9"/>
    </sheetView>
  </sheetViews>
  <sheetFormatPr defaultColWidth="9.109375" defaultRowHeight="13.2"/>
  <cols>
    <col min="1" max="1" width="11.6640625" style="16" customWidth="1"/>
    <col min="2" max="2" width="16.6640625" style="16" customWidth="1"/>
    <col min="3" max="3" width="22.5546875" style="16" customWidth="1"/>
    <col min="4" max="4" width="9.33203125" style="16" customWidth="1"/>
    <col min="5" max="5" width="37" style="16" customWidth="1"/>
    <col min="6" max="6" width="10.88671875" style="16" customWidth="1"/>
    <col min="7" max="7" width="22.5546875" style="16" customWidth="1"/>
    <col min="8" max="8" width="9.5546875" style="16" customWidth="1"/>
    <col min="9" max="9" width="22" style="16" customWidth="1"/>
    <col min="10" max="10" width="8.44140625" style="16" customWidth="1"/>
    <col min="11" max="11" width="1.33203125" style="16" customWidth="1"/>
    <col min="12" max="12" width="110.33203125" style="16" customWidth="1"/>
    <col min="13" max="13" width="7.44140625" style="16" customWidth="1"/>
    <col min="14" max="24" width="9.109375" style="16"/>
    <col min="25" max="25" width="28.5546875" style="16" bestFit="1" customWidth="1"/>
    <col min="26" max="26" width="12.6640625" style="16" bestFit="1" customWidth="1"/>
    <col min="27" max="16384" width="9.109375" style="16"/>
  </cols>
  <sheetData>
    <row r="1" spans="1:24">
      <c r="A1" s="195"/>
      <c r="B1" s="196"/>
      <c r="C1" s="196"/>
      <c r="D1" s="196"/>
      <c r="E1" s="196"/>
      <c r="F1" s="196"/>
      <c r="G1" s="196"/>
      <c r="H1" s="196"/>
      <c r="I1" s="196"/>
      <c r="J1" s="196"/>
      <c r="K1" s="196"/>
      <c r="L1" s="196"/>
      <c r="M1" s="166"/>
    </row>
    <row r="2" spans="1:24">
      <c r="A2" s="197"/>
      <c r="B2" s="127"/>
      <c r="C2" s="127"/>
      <c r="D2" s="127"/>
      <c r="E2" s="127"/>
      <c r="F2" s="127"/>
      <c r="G2" s="127"/>
      <c r="H2" s="127"/>
      <c r="I2" s="127"/>
      <c r="J2" s="127"/>
      <c r="K2" s="127"/>
      <c r="L2" s="127"/>
      <c r="M2" s="167"/>
    </row>
    <row r="3" spans="1:24" ht="37.5" customHeight="1">
      <c r="A3" s="197"/>
      <c r="B3" s="127"/>
      <c r="C3" s="127"/>
      <c r="D3" s="127"/>
      <c r="E3" s="127"/>
      <c r="F3" s="127"/>
      <c r="G3" s="127"/>
      <c r="H3" s="127"/>
      <c r="I3" s="127"/>
      <c r="J3" s="127"/>
      <c r="K3" s="127"/>
      <c r="L3" s="127"/>
      <c r="M3" s="167"/>
    </row>
    <row r="4" spans="1:24" ht="16.5" customHeight="1">
      <c r="A4" s="197"/>
      <c r="B4" s="127"/>
      <c r="C4" s="127"/>
      <c r="D4" s="127"/>
      <c r="E4" s="127"/>
      <c r="F4" s="127"/>
      <c r="G4" s="127"/>
      <c r="H4" s="127"/>
      <c r="I4" s="127"/>
      <c r="J4" s="127"/>
      <c r="K4" s="127"/>
      <c r="L4" s="127"/>
      <c r="M4" s="167"/>
    </row>
    <row r="5" spans="1:24" ht="12.75" customHeight="1">
      <c r="A5" s="197"/>
      <c r="B5" s="127"/>
      <c r="C5" s="127"/>
      <c r="D5" s="127"/>
      <c r="E5" s="127"/>
      <c r="F5" s="127"/>
      <c r="G5" s="127"/>
      <c r="H5" s="127"/>
      <c r="I5" s="127"/>
      <c r="J5" s="127"/>
      <c r="K5" s="127"/>
      <c r="L5" s="127"/>
      <c r="M5" s="167"/>
    </row>
    <row r="6" spans="1:24" ht="13.5" customHeight="1">
      <c r="A6" s="197"/>
      <c r="B6" s="127"/>
      <c r="C6" s="127"/>
      <c r="D6" s="127"/>
      <c r="E6" s="127"/>
      <c r="F6" s="127"/>
      <c r="G6" s="127"/>
      <c r="H6" s="127"/>
      <c r="I6" s="127"/>
      <c r="J6" s="127"/>
      <c r="K6" s="127"/>
      <c r="L6" s="127"/>
      <c r="M6" s="167"/>
    </row>
    <row r="7" spans="1:24" s="24" customFormat="1" ht="21.6" thickBot="1">
      <c r="A7" s="201"/>
      <c r="B7" s="202"/>
      <c r="C7" s="202"/>
      <c r="D7" s="202"/>
      <c r="E7" s="251"/>
      <c r="F7" s="203"/>
      <c r="G7" s="202"/>
      <c r="H7" s="203"/>
      <c r="I7" s="60"/>
      <c r="J7" s="202"/>
      <c r="K7" s="202"/>
      <c r="L7" s="202"/>
      <c r="M7" s="204"/>
    </row>
    <row r="8" spans="1:24" ht="28.5" customHeight="1">
      <c r="A8" s="197"/>
      <c r="B8" s="1" t="s">
        <v>271</v>
      </c>
      <c r="C8" s="1" t="s">
        <v>270</v>
      </c>
      <c r="D8" s="600"/>
      <c r="E8" s="583" t="s">
        <v>293</v>
      </c>
      <c r="F8" s="25"/>
      <c r="G8" s="960">
        <v>2002</v>
      </c>
      <c r="H8" s="600"/>
      <c r="I8" s="958" t="s">
        <v>34</v>
      </c>
      <c r="J8" s="600" t="s">
        <v>333</v>
      </c>
      <c r="K8" s="526"/>
      <c r="L8" s="528"/>
      <c r="M8" s="167"/>
    </row>
    <row r="9" spans="1:24" s="27" customFormat="1" ht="25.5" customHeight="1" thickBot="1">
      <c r="A9" s="205"/>
      <c r="B9" s="957"/>
      <c r="C9" s="957"/>
      <c r="D9" s="202"/>
      <c r="E9" s="25"/>
      <c r="F9" s="25"/>
      <c r="G9" s="961"/>
      <c r="H9" s="25"/>
      <c r="I9" s="959"/>
      <c r="J9" s="600"/>
      <c r="K9" s="527"/>
      <c r="L9" s="531" t="s">
        <v>182</v>
      </c>
      <c r="M9" s="206"/>
    </row>
    <row r="10" spans="1:24" s="29" customFormat="1">
      <c r="A10" s="207"/>
      <c r="B10" s="169"/>
      <c r="C10" s="169"/>
      <c r="D10" s="521"/>
      <c r="E10" s="28"/>
      <c r="F10" s="28"/>
      <c r="G10" s="31"/>
      <c r="H10" s="28"/>
      <c r="I10" s="30"/>
      <c r="J10" s="521"/>
      <c r="K10" s="521"/>
      <c r="L10" s="529"/>
      <c r="M10" s="208"/>
    </row>
    <row r="11" spans="1:24" s="29" customFormat="1" ht="13.8">
      <c r="A11" s="207"/>
      <c r="B11" s="32">
        <f>+'Input Data'!G11</f>
        <v>0</v>
      </c>
      <c r="C11" s="519">
        <f>+'Input Data'!H11</f>
        <v>0</v>
      </c>
      <c r="D11" s="522"/>
      <c r="E11" s="260" t="s">
        <v>26</v>
      </c>
      <c r="F11" s="33"/>
      <c r="G11" s="520">
        <f>+'Input Data'!J11</f>
        <v>0</v>
      </c>
      <c r="H11" s="28"/>
      <c r="I11" s="32">
        <f>+C11-G11</f>
        <v>0</v>
      </c>
      <c r="J11" s="523"/>
      <c r="K11" s="523"/>
      <c r="L11" s="530"/>
      <c r="M11" s="208"/>
    </row>
    <row r="12" spans="1:24" s="29" customFormat="1" ht="13.8">
      <c r="A12" s="207"/>
      <c r="B12" s="43"/>
      <c r="C12" s="893"/>
      <c r="D12" s="521"/>
      <c r="E12" s="575"/>
      <c r="F12" s="28"/>
      <c r="G12" s="31"/>
      <c r="H12" s="28"/>
      <c r="I12" s="36"/>
      <c r="J12" s="522"/>
      <c r="K12" s="522"/>
      <c r="L12" s="546"/>
      <c r="M12" s="208"/>
    </row>
    <row r="13" spans="1:24" s="41" customFormat="1" ht="13.8">
      <c r="A13" s="209"/>
      <c r="B13" s="36">
        <f>-'[2]Budget 2002 Summary'!$D$40</f>
        <v>-1823528</v>
      </c>
      <c r="C13" s="36">
        <f>+B13/8*12</f>
        <v>-2735292</v>
      </c>
      <c r="D13" s="584"/>
      <c r="E13" s="582" t="s">
        <v>48</v>
      </c>
      <c r="F13" s="37"/>
      <c r="G13" s="39">
        <f>-'[2]Budget 2002 Summary'!$O$40</f>
        <v>-1384175</v>
      </c>
      <c r="H13" s="584"/>
      <c r="I13" s="36">
        <f>+C13-G13</f>
        <v>-1351117</v>
      </c>
      <c r="J13" s="584">
        <f>+-I13/C13</f>
        <v>-0.49395713510659922</v>
      </c>
      <c r="K13" s="522"/>
      <c r="L13" s="546" t="s">
        <v>334</v>
      </c>
      <c r="M13" s="210"/>
      <c r="X13" s="40"/>
    </row>
    <row r="14" spans="1:24" s="41" customFormat="1" ht="13.8">
      <c r="A14" s="209"/>
      <c r="B14" s="43"/>
      <c r="C14" s="43"/>
      <c r="D14" s="523"/>
      <c r="E14" s="577" t="s">
        <v>278</v>
      </c>
      <c r="F14" s="37"/>
      <c r="G14" s="39"/>
      <c r="H14" s="37"/>
      <c r="I14" s="36"/>
      <c r="J14" s="522"/>
      <c r="K14" s="522"/>
      <c r="L14" s="573" t="s">
        <v>275</v>
      </c>
      <c r="M14" s="210"/>
      <c r="X14" s="40"/>
    </row>
    <row r="15" spans="1:24" s="41" customFormat="1" ht="13.8">
      <c r="A15" s="209"/>
      <c r="B15" s="43"/>
      <c r="C15" s="43"/>
      <c r="D15" s="523"/>
      <c r="E15" s="577" t="s">
        <v>292</v>
      </c>
      <c r="F15" s="37"/>
      <c r="G15" s="39"/>
      <c r="H15" s="37"/>
      <c r="I15" s="36"/>
      <c r="J15" s="522"/>
      <c r="K15" s="522"/>
      <c r="L15" s="546" t="s">
        <v>335</v>
      </c>
      <c r="M15" s="210"/>
      <c r="X15" s="40"/>
    </row>
    <row r="16" spans="1:24" s="41" customFormat="1" ht="13.8">
      <c r="A16" s="209"/>
      <c r="B16" s="43"/>
      <c r="C16" s="43"/>
      <c r="D16" s="523"/>
      <c r="E16" s="577" t="s">
        <v>294</v>
      </c>
      <c r="F16" s="37"/>
      <c r="G16" s="39"/>
      <c r="H16" s="37"/>
      <c r="I16" s="36"/>
      <c r="J16" s="522"/>
      <c r="K16" s="522"/>
      <c r="L16" s="574" t="s">
        <v>274</v>
      </c>
      <c r="M16" s="210"/>
      <c r="X16" s="40"/>
    </row>
    <row r="17" spans="1:24" s="41" customFormat="1" ht="13.8">
      <c r="A17" s="209"/>
      <c r="B17" s="43"/>
      <c r="C17" s="43"/>
      <c r="D17" s="523"/>
      <c r="E17" s="576"/>
      <c r="F17" s="37"/>
      <c r="G17" s="39"/>
      <c r="H17" s="37"/>
      <c r="I17" s="36"/>
      <c r="J17" s="522"/>
      <c r="K17" s="522"/>
      <c r="L17" s="574" t="s">
        <v>296</v>
      </c>
      <c r="M17" s="210"/>
      <c r="X17" s="40"/>
    </row>
    <row r="18" spans="1:24" s="41" customFormat="1" ht="13.8">
      <c r="A18" s="209"/>
      <c r="B18" s="43"/>
      <c r="C18" s="43"/>
      <c r="D18" s="523"/>
      <c r="E18" s="576"/>
      <c r="F18" s="37"/>
      <c r="G18" s="39"/>
      <c r="H18" s="37"/>
      <c r="I18" s="36"/>
      <c r="J18" s="522"/>
      <c r="K18" s="522"/>
      <c r="L18" s="546"/>
      <c r="M18" s="210"/>
      <c r="X18" s="40"/>
    </row>
    <row r="19" spans="1:24" s="41" customFormat="1" ht="13.8">
      <c r="A19" s="209"/>
      <c r="B19" s="36">
        <f>-'[2]Budget 2002 Summary'!$D$45</f>
        <v>-257381</v>
      </c>
      <c r="C19" s="36">
        <f>+B19/8*12</f>
        <v>-386071.5</v>
      </c>
      <c r="D19" s="584"/>
      <c r="E19" s="582" t="s">
        <v>3</v>
      </c>
      <c r="F19" s="37"/>
      <c r="G19" s="39">
        <f>-'[2]Budget 2002 Summary'!$O$45</f>
        <v>-271775</v>
      </c>
      <c r="H19" s="584"/>
      <c r="I19" s="36">
        <f>+C19-G19</f>
        <v>-114296.5</v>
      </c>
      <c r="J19" s="584">
        <f>+-I19/C19</f>
        <v>-0.29605008398703347</v>
      </c>
      <c r="K19" s="522"/>
      <c r="L19" s="546"/>
      <c r="M19" s="210"/>
      <c r="X19" s="40"/>
    </row>
    <row r="20" spans="1:24" s="41" customFormat="1" ht="13.8">
      <c r="A20" s="209"/>
      <c r="B20" s="43"/>
      <c r="C20" s="43"/>
      <c r="D20" s="523"/>
      <c r="E20" s="577" t="s">
        <v>295</v>
      </c>
      <c r="F20" s="37"/>
      <c r="G20" s="39"/>
      <c r="H20" s="37"/>
      <c r="I20" s="36"/>
      <c r="J20" s="522"/>
      <c r="K20" s="522"/>
      <c r="L20" s="546" t="s">
        <v>336</v>
      </c>
      <c r="M20" s="210"/>
      <c r="X20" s="40"/>
    </row>
    <row r="21" spans="1:24" s="41" customFormat="1" ht="13.8">
      <c r="A21" s="209"/>
      <c r="B21" s="43"/>
      <c r="C21" s="43"/>
      <c r="D21" s="523"/>
      <c r="E21" s="577" t="s">
        <v>279</v>
      </c>
      <c r="F21" s="37"/>
      <c r="G21" s="39"/>
      <c r="H21" s="37"/>
      <c r="I21" s="36"/>
      <c r="J21" s="522"/>
      <c r="K21" s="522"/>
      <c r="L21" s="574" t="s">
        <v>276</v>
      </c>
      <c r="M21" s="210"/>
      <c r="X21" s="40"/>
    </row>
    <row r="22" spans="1:24" s="41" customFormat="1" ht="13.8">
      <c r="A22" s="209"/>
      <c r="B22" s="43"/>
      <c r="C22" s="43"/>
      <c r="D22" s="523"/>
      <c r="E22" s="577" t="s">
        <v>669</v>
      </c>
      <c r="F22" s="37"/>
      <c r="G22" s="39"/>
      <c r="H22" s="37"/>
      <c r="I22" s="36"/>
      <c r="J22" s="522"/>
      <c r="K22" s="522"/>
      <c r="L22" s="574" t="s">
        <v>683</v>
      </c>
      <c r="M22" s="210"/>
      <c r="X22" s="40"/>
    </row>
    <row r="23" spans="1:24" s="41" customFormat="1" ht="13.8">
      <c r="A23" s="209"/>
      <c r="B23" s="43"/>
      <c r="C23" s="43"/>
      <c r="D23" s="523"/>
      <c r="E23" s="34"/>
      <c r="F23" s="37"/>
      <c r="G23" s="39"/>
      <c r="H23" s="37"/>
      <c r="I23" s="36"/>
      <c r="J23" s="522"/>
      <c r="K23" s="522"/>
      <c r="L23" s="546"/>
      <c r="M23" s="210"/>
      <c r="X23" s="40"/>
    </row>
    <row r="24" spans="1:24" s="41" customFormat="1" ht="13.8">
      <c r="A24" s="209"/>
      <c r="B24" s="43"/>
      <c r="C24" s="43"/>
      <c r="D24" s="523"/>
      <c r="E24" s="261"/>
      <c r="F24" s="37"/>
      <c r="G24" s="39"/>
      <c r="H24" s="37"/>
      <c r="I24" s="36"/>
      <c r="J24" s="522"/>
      <c r="K24" s="522"/>
      <c r="L24" s="546"/>
      <c r="M24" s="210"/>
      <c r="X24" s="40"/>
    </row>
    <row r="25" spans="1:24" s="41" customFormat="1" ht="13.8">
      <c r="A25" s="209"/>
      <c r="B25" s="36">
        <f>-'[2]Budget 2002 Summary'!$D$57+21000</f>
        <v>-14092</v>
      </c>
      <c r="C25" s="36">
        <f>+B25/8*12</f>
        <v>-21138</v>
      </c>
      <c r="D25" s="584"/>
      <c r="E25" s="582" t="s">
        <v>285</v>
      </c>
      <c r="F25" s="37"/>
      <c r="G25" s="39">
        <f>-'[2]Budget 2002 Summary'!$O$57</f>
        <v>-4481.333333333333</v>
      </c>
      <c r="H25" s="584"/>
      <c r="I25" s="36">
        <f>+C25-G25</f>
        <v>-16656.666666666668</v>
      </c>
      <c r="J25" s="584">
        <f>+-I25/C25</f>
        <v>-0.78799634150187658</v>
      </c>
      <c r="K25" s="522"/>
      <c r="L25" s="546"/>
      <c r="M25" s="210"/>
      <c r="X25" s="40"/>
    </row>
    <row r="26" spans="1:24" s="41" customFormat="1" ht="13.8">
      <c r="A26" s="209"/>
      <c r="B26" s="43"/>
      <c r="C26" s="43"/>
      <c r="D26" s="523"/>
      <c r="E26" s="577" t="s">
        <v>298</v>
      </c>
      <c r="F26" s="37"/>
      <c r="G26" s="39"/>
      <c r="H26" s="37"/>
      <c r="I26" s="36"/>
      <c r="J26" s="522"/>
      <c r="K26" s="522"/>
      <c r="L26" s="574" t="s">
        <v>297</v>
      </c>
      <c r="M26" s="210"/>
      <c r="X26" s="40"/>
    </row>
    <row r="27" spans="1:24" s="41" customFormat="1" ht="13.8">
      <c r="A27" s="209"/>
      <c r="B27" s="43"/>
      <c r="C27" s="43"/>
      <c r="D27" s="523"/>
      <c r="E27" s="577" t="s">
        <v>299</v>
      </c>
      <c r="F27" s="37"/>
      <c r="G27" s="39"/>
      <c r="H27" s="37"/>
      <c r="I27" s="36"/>
      <c r="J27" s="522"/>
      <c r="K27" s="522"/>
      <c r="L27" s="574"/>
      <c r="M27" s="210"/>
      <c r="X27" s="40"/>
    </row>
    <row r="28" spans="1:24" s="41" customFormat="1" ht="13.8">
      <c r="A28" s="209"/>
      <c r="B28" s="43"/>
      <c r="C28" s="43"/>
      <c r="D28" s="523"/>
      <c r="F28" s="37"/>
      <c r="G28" s="39"/>
      <c r="H28" s="37"/>
      <c r="I28" s="36"/>
      <c r="J28" s="522"/>
      <c r="K28" s="522"/>
      <c r="L28" s="574"/>
      <c r="M28" s="210"/>
      <c r="X28" s="40"/>
    </row>
    <row r="29" spans="1:24" s="41" customFormat="1" ht="13.8">
      <c r="A29" s="209"/>
      <c r="B29" s="43"/>
      <c r="C29" s="43"/>
      <c r="D29" s="523"/>
      <c r="E29" s="261"/>
      <c r="F29" s="37"/>
      <c r="G29" s="39"/>
      <c r="H29" s="37"/>
      <c r="I29" s="36"/>
      <c r="J29" s="522"/>
      <c r="K29" s="522"/>
      <c r="L29" s="546"/>
      <c r="M29" s="210"/>
      <c r="X29" s="40"/>
    </row>
    <row r="30" spans="1:24" s="41" customFormat="1" ht="13.8">
      <c r="A30" s="209"/>
      <c r="B30" s="36">
        <f>-'[2]Budget 2002 Summary'!$D$65</f>
        <v>-840666.26000000013</v>
      </c>
      <c r="C30" s="36">
        <f>+B30/8*12</f>
        <v>-1260999.3900000001</v>
      </c>
      <c r="D30" s="584"/>
      <c r="E30" s="582" t="s">
        <v>41</v>
      </c>
      <c r="F30" s="37"/>
      <c r="G30" s="39">
        <v>-527000</v>
      </c>
      <c r="H30" s="584"/>
      <c r="I30" s="36">
        <f>+C30-G30</f>
        <v>-733999.39000000013</v>
      </c>
      <c r="J30" s="584">
        <f>+-I30/C30</f>
        <v>-0.58207751393123197</v>
      </c>
      <c r="K30" s="522"/>
      <c r="L30" s="546"/>
      <c r="M30" s="210"/>
      <c r="X30" s="40"/>
    </row>
    <row r="31" spans="1:24" ht="13.8">
      <c r="A31" s="197"/>
      <c r="B31" s="43"/>
      <c r="C31" s="43"/>
      <c r="D31" s="523"/>
      <c r="E31" s="577" t="s">
        <v>714</v>
      </c>
      <c r="F31" s="33"/>
      <c r="G31" s="44"/>
      <c r="H31" s="33"/>
      <c r="I31" s="43"/>
      <c r="J31" s="523"/>
      <c r="K31" s="523"/>
      <c r="L31" s="546" t="s">
        <v>709</v>
      </c>
      <c r="M31" s="167"/>
      <c r="X31" s="45"/>
    </row>
    <row r="32" spans="1:24" ht="13.8">
      <c r="A32" s="197"/>
      <c r="B32" s="43"/>
      <c r="C32" s="43"/>
      <c r="D32" s="523"/>
      <c r="E32" s="577" t="s">
        <v>280</v>
      </c>
      <c r="F32" s="33"/>
      <c r="G32" s="46"/>
      <c r="H32" s="33"/>
      <c r="I32" s="43"/>
      <c r="J32" s="523"/>
      <c r="K32" s="523"/>
      <c r="L32" s="574" t="s">
        <v>300</v>
      </c>
      <c r="M32" s="167"/>
      <c r="X32" s="45"/>
    </row>
    <row r="33" spans="1:24" ht="13.8">
      <c r="A33" s="197"/>
      <c r="B33" s="43"/>
      <c r="C33" s="43"/>
      <c r="D33" s="523"/>
      <c r="E33" s="577" t="s">
        <v>281</v>
      </c>
      <c r="F33" s="33"/>
      <c r="G33" s="46"/>
      <c r="H33" s="33"/>
      <c r="I33" s="43"/>
      <c r="J33" s="523"/>
      <c r="K33" s="523"/>
      <c r="L33" s="546"/>
      <c r="M33" s="167"/>
      <c r="X33" s="45"/>
    </row>
    <row r="34" spans="1:24" ht="13.8">
      <c r="A34" s="197"/>
      <c r="B34" s="43"/>
      <c r="C34" s="43"/>
      <c r="D34" s="523"/>
      <c r="E34" s="261"/>
      <c r="F34" s="33"/>
      <c r="G34" s="46"/>
      <c r="H34" s="33"/>
      <c r="I34" s="43"/>
      <c r="J34" s="523"/>
      <c r="K34" s="523"/>
      <c r="L34" s="546"/>
      <c r="M34" s="167"/>
      <c r="X34" s="45"/>
    </row>
    <row r="35" spans="1:24" ht="13.8">
      <c r="A35" s="197"/>
      <c r="B35" s="43"/>
      <c r="C35" s="43"/>
      <c r="D35" s="523"/>
      <c r="E35" s="261"/>
      <c r="F35" s="33"/>
      <c r="G35" s="46"/>
      <c r="H35" s="33"/>
      <c r="I35" s="43"/>
      <c r="J35" s="523"/>
      <c r="K35" s="523"/>
      <c r="L35" s="546"/>
      <c r="M35" s="167"/>
      <c r="X35" s="45"/>
    </row>
    <row r="36" spans="1:24" s="41" customFormat="1" ht="13.8">
      <c r="A36" s="209"/>
      <c r="B36" s="36">
        <v>-255710</v>
      </c>
      <c r="C36" s="36">
        <v>-383565</v>
      </c>
      <c r="D36" s="584"/>
      <c r="E36" s="582" t="s">
        <v>286</v>
      </c>
      <c r="F36" s="37"/>
      <c r="G36" s="39">
        <f>-'[2]Budget 2002 Summary'!$O$70</f>
        <v>-245000</v>
      </c>
      <c r="H36" s="584"/>
      <c r="I36" s="36">
        <f>+C36-G36</f>
        <v>-138565</v>
      </c>
      <c r="J36" s="584">
        <f>+-I36/C36</f>
        <v>-0.36125558901359611</v>
      </c>
      <c r="K36" s="522"/>
      <c r="L36" s="546"/>
      <c r="M36" s="210"/>
      <c r="X36" s="40"/>
    </row>
    <row r="37" spans="1:24" s="41" customFormat="1" ht="13.8">
      <c r="A37" s="209"/>
      <c r="B37" s="43"/>
      <c r="C37" s="43"/>
      <c r="D37" s="523"/>
      <c r="E37" s="577" t="s">
        <v>715</v>
      </c>
      <c r="F37" s="37"/>
      <c r="G37" s="39"/>
      <c r="H37" s="37"/>
      <c r="I37" s="36"/>
      <c r="J37" s="522"/>
      <c r="K37" s="522"/>
      <c r="L37" s="546" t="s">
        <v>709</v>
      </c>
      <c r="M37" s="210"/>
      <c r="X37" s="40"/>
    </row>
    <row r="38" spans="1:24" s="41" customFormat="1" ht="13.8">
      <c r="A38" s="209"/>
      <c r="B38" s="43"/>
      <c r="C38" s="43"/>
      <c r="D38" s="523"/>
      <c r="E38" s="577"/>
      <c r="F38" s="37"/>
      <c r="G38" s="39"/>
      <c r="H38" s="37"/>
      <c r="I38" s="36"/>
      <c r="J38" s="522"/>
      <c r="K38" s="522"/>
      <c r="L38" s="546"/>
      <c r="M38" s="210"/>
      <c r="X38" s="40"/>
    </row>
    <row r="39" spans="1:24" s="41" customFormat="1" ht="13.8">
      <c r="A39" s="209"/>
      <c r="B39" s="43"/>
      <c r="C39" s="43"/>
      <c r="D39" s="523"/>
      <c r="E39" s="34"/>
      <c r="F39" s="37"/>
      <c r="G39" s="39"/>
      <c r="H39" s="37"/>
      <c r="I39" s="36"/>
      <c r="J39" s="522"/>
      <c r="K39" s="522"/>
      <c r="L39" s="546"/>
      <c r="M39" s="210"/>
      <c r="X39" s="40"/>
    </row>
    <row r="40" spans="1:24" s="41" customFormat="1" ht="13.8">
      <c r="A40" s="209"/>
      <c r="B40" s="43"/>
      <c r="C40" s="43"/>
      <c r="D40" s="523"/>
      <c r="E40" s="577"/>
      <c r="F40" s="37"/>
      <c r="G40" s="39"/>
      <c r="H40" s="37"/>
      <c r="I40" s="36"/>
      <c r="J40" s="522"/>
      <c r="K40" s="522"/>
      <c r="L40" s="546"/>
      <c r="M40" s="210"/>
      <c r="X40" s="40"/>
    </row>
    <row r="41" spans="1:24" s="41" customFormat="1" ht="13.8">
      <c r="A41" s="209"/>
      <c r="B41" s="43"/>
      <c r="C41" s="43"/>
      <c r="D41" s="523"/>
      <c r="E41" s="576"/>
      <c r="F41" s="37"/>
      <c r="G41" s="39"/>
      <c r="H41" s="37"/>
      <c r="I41" s="36"/>
      <c r="J41" s="522"/>
      <c r="K41" s="522"/>
      <c r="L41" s="546"/>
      <c r="M41" s="210"/>
      <c r="X41" s="40"/>
    </row>
    <row r="42" spans="1:24" s="41" customFormat="1" ht="13.8">
      <c r="A42" s="209"/>
      <c r="B42" s="36">
        <f>-'[2]Budget 2002 Summary'!$D$74</f>
        <v>-108346</v>
      </c>
      <c r="C42" s="36">
        <f>+B42/8*12</f>
        <v>-162519</v>
      </c>
      <c r="D42" s="584"/>
      <c r="E42" s="582" t="s">
        <v>287</v>
      </c>
      <c r="F42" s="37"/>
      <c r="G42" s="39">
        <f>-'[2]Budget 2002 Summary'!$O$74</f>
        <v>-100000</v>
      </c>
      <c r="H42" s="584"/>
      <c r="I42" s="36">
        <f>+C42-G42</f>
        <v>-62519</v>
      </c>
      <c r="J42" s="584">
        <f>+-I42/C42</f>
        <v>-0.38468732886616336</v>
      </c>
      <c r="K42" s="522"/>
      <c r="L42" s="546" t="s">
        <v>277</v>
      </c>
      <c r="M42" s="210"/>
      <c r="X42" s="40"/>
    </row>
    <row r="43" spans="1:24" s="41" customFormat="1" ht="13.8">
      <c r="A43" s="209"/>
      <c r="B43" s="36"/>
      <c r="C43" s="36"/>
      <c r="D43" s="522"/>
      <c r="E43" s="577" t="s">
        <v>282</v>
      </c>
      <c r="F43" s="37"/>
      <c r="G43" s="39"/>
      <c r="H43" s="37"/>
      <c r="I43" s="36"/>
      <c r="J43" s="522"/>
      <c r="K43" s="522"/>
      <c r="L43" s="574" t="s">
        <v>337</v>
      </c>
      <c r="M43" s="210"/>
      <c r="X43" s="40"/>
    </row>
    <row r="44" spans="1:24" s="41" customFormat="1" ht="13.8">
      <c r="A44" s="209"/>
      <c r="B44" s="36"/>
      <c r="C44" s="36"/>
      <c r="D44" s="522"/>
      <c r="E44" s="577" t="s">
        <v>283</v>
      </c>
      <c r="F44" s="37"/>
      <c r="G44" s="39"/>
      <c r="H44" s="37"/>
      <c r="I44" s="36"/>
      <c r="J44" s="522"/>
      <c r="K44" s="522"/>
      <c r="L44" s="546"/>
      <c r="M44" s="210"/>
      <c r="X44" s="40"/>
    </row>
    <row r="45" spans="1:24" s="41" customFormat="1" ht="13.8">
      <c r="A45" s="209"/>
      <c r="B45" s="36"/>
      <c r="C45" s="36"/>
      <c r="D45" s="522"/>
      <c r="E45" s="577" t="s">
        <v>284</v>
      </c>
      <c r="F45" s="37"/>
      <c r="G45" s="39"/>
      <c r="H45" s="37"/>
      <c r="I45" s="36"/>
      <c r="J45" s="522"/>
      <c r="K45" s="522"/>
      <c r="L45" s="546"/>
      <c r="M45" s="210"/>
      <c r="X45" s="40"/>
    </row>
    <row r="46" spans="1:24" ht="13.8">
      <c r="A46" s="197"/>
      <c r="B46" s="47"/>
      <c r="C46" s="47"/>
      <c r="D46" s="524"/>
      <c r="E46" s="261"/>
      <c r="F46" s="48"/>
      <c r="G46" s="46"/>
      <c r="H46" s="33"/>
      <c r="I46" s="43"/>
      <c r="J46" s="523"/>
      <c r="K46" s="523"/>
      <c r="L46" s="546"/>
      <c r="M46" s="167"/>
      <c r="X46" s="45"/>
    </row>
    <row r="47" spans="1:24" s="41" customFormat="1" ht="13.8">
      <c r="A47" s="209"/>
      <c r="B47" s="36">
        <f>-'[2]Budget 2002 Summary'!$D$84</f>
        <v>-156303</v>
      </c>
      <c r="C47" s="36">
        <f>+((52.5/8*12)+117)*-1000</f>
        <v>-195750</v>
      </c>
      <c r="D47" s="584"/>
      <c r="E47" s="582" t="s">
        <v>57</v>
      </c>
      <c r="F47" s="37"/>
      <c r="G47" s="39">
        <f>-'[2]Budget 2002 Summary'!$O$84</f>
        <v>-122406.18</v>
      </c>
      <c r="H47" s="584"/>
      <c r="I47" s="36">
        <f>+C47-G47</f>
        <v>-73343.820000000007</v>
      </c>
      <c r="J47" s="584">
        <f>+-I47/C47</f>
        <v>-0.37468107279693491</v>
      </c>
      <c r="K47" s="522"/>
      <c r="L47" s="546"/>
      <c r="M47" s="210"/>
      <c r="X47" s="40"/>
    </row>
    <row r="48" spans="1:24" s="41" customFormat="1" ht="13.8">
      <c r="A48" s="209"/>
      <c r="B48" s="36"/>
      <c r="C48" s="36"/>
      <c r="D48" s="522"/>
      <c r="E48" s="577" t="s">
        <v>671</v>
      </c>
      <c r="F48" s="37"/>
      <c r="G48" s="39"/>
      <c r="H48" s="37"/>
      <c r="I48" s="36"/>
      <c r="J48" s="522"/>
      <c r="K48" s="522"/>
      <c r="L48" s="546" t="s">
        <v>709</v>
      </c>
      <c r="M48" s="210"/>
      <c r="X48" s="40"/>
    </row>
    <row r="49" spans="1:24" s="41" customFormat="1" ht="13.8">
      <c r="A49" s="209"/>
      <c r="B49" s="36"/>
      <c r="C49" s="36"/>
      <c r="D49" s="522"/>
      <c r="E49" s="577" t="s">
        <v>289</v>
      </c>
      <c r="F49" s="37"/>
      <c r="G49" s="39"/>
      <c r="H49" s="37"/>
      <c r="I49" s="36"/>
      <c r="J49" s="522"/>
      <c r="K49" s="522"/>
      <c r="L49" s="574" t="s">
        <v>301</v>
      </c>
      <c r="M49" s="210"/>
      <c r="X49" s="40"/>
    </row>
    <row r="50" spans="1:24" s="41" customFormat="1" ht="13.8">
      <c r="A50" s="209"/>
      <c r="B50" s="43"/>
      <c r="C50" s="43"/>
      <c r="D50" s="523"/>
      <c r="E50" s="576"/>
      <c r="F50" s="37"/>
      <c r="G50" s="39"/>
      <c r="H50" s="37"/>
      <c r="I50" s="36"/>
      <c r="J50" s="522"/>
      <c r="K50" s="522"/>
      <c r="L50" s="574" t="s">
        <v>338</v>
      </c>
      <c r="M50" s="210"/>
      <c r="X50" s="40"/>
    </row>
    <row r="51" spans="1:24" s="41" customFormat="1" ht="13.8">
      <c r="A51" s="209"/>
      <c r="B51" s="36">
        <f>-'[2]Budget 2002 Summary'!$D$88</f>
        <v>-26850</v>
      </c>
      <c r="C51" s="36">
        <f>+B51/8*12</f>
        <v>-40275</v>
      </c>
      <c r="D51" s="584"/>
      <c r="E51" s="582" t="s">
        <v>288</v>
      </c>
      <c r="F51" s="37"/>
      <c r="G51" s="39">
        <f>-'[2]Budget 2002 Summary'!$O$88</f>
        <v>-20000</v>
      </c>
      <c r="H51" s="584"/>
      <c r="I51" s="36">
        <f>+C51-G51</f>
        <v>-20275</v>
      </c>
      <c r="J51" s="584">
        <f>+-I51/C51</f>
        <v>-0.50341402855369333</v>
      </c>
      <c r="K51" s="522"/>
      <c r="L51" s="546"/>
      <c r="M51" s="210"/>
      <c r="X51" s="40"/>
    </row>
    <row r="52" spans="1:24" s="41" customFormat="1" ht="13.8">
      <c r="A52" s="209"/>
      <c r="B52" s="36"/>
      <c r="C52" s="36"/>
      <c r="D52" s="522"/>
      <c r="E52" s="577" t="s">
        <v>290</v>
      </c>
      <c r="F52" s="37"/>
      <c r="G52" s="39"/>
      <c r="H52" s="37"/>
      <c r="I52" s="36"/>
      <c r="J52" s="522"/>
      <c r="K52" s="522"/>
      <c r="L52" s="574" t="s">
        <v>339</v>
      </c>
      <c r="M52" s="210"/>
      <c r="X52" s="40"/>
    </row>
    <row r="53" spans="1:24" s="41" customFormat="1" ht="13.8">
      <c r="A53" s="209"/>
      <c r="B53" s="36"/>
      <c r="C53" s="36"/>
      <c r="D53" s="522"/>
      <c r="E53" s="577" t="s">
        <v>291</v>
      </c>
      <c r="F53" s="37"/>
      <c r="G53" s="39"/>
      <c r="H53" s="37"/>
      <c r="I53" s="36"/>
      <c r="J53" s="522"/>
      <c r="K53" s="522"/>
      <c r="L53" s="574" t="s">
        <v>340</v>
      </c>
      <c r="M53" s="210"/>
      <c r="X53" s="40"/>
    </row>
    <row r="54" spans="1:24" s="41" customFormat="1" ht="13.8">
      <c r="A54" s="209"/>
      <c r="B54" s="43"/>
      <c r="C54" s="43"/>
      <c r="D54" s="523"/>
      <c r="E54" s="576"/>
      <c r="F54" s="37"/>
      <c r="G54" s="39"/>
      <c r="H54" s="37"/>
      <c r="I54" s="36"/>
      <c r="J54" s="522"/>
      <c r="K54" s="522"/>
      <c r="L54" s="574" t="s">
        <v>302</v>
      </c>
      <c r="M54" s="210"/>
      <c r="X54" s="40"/>
    </row>
    <row r="55" spans="1:24" s="41" customFormat="1" ht="13.8">
      <c r="A55" s="209"/>
      <c r="B55" s="36">
        <f>-'Adaytum by Month'!P39</f>
        <v>0</v>
      </c>
      <c r="C55" s="36">
        <f>-'Adaytum by Month'!Q39</f>
        <v>0</v>
      </c>
      <c r="D55" s="522"/>
      <c r="E55" s="260" t="s">
        <v>11</v>
      </c>
      <c r="F55" s="37"/>
      <c r="G55" s="39">
        <f>-'Adaytum  Detail 2002'!E88</f>
        <v>0</v>
      </c>
      <c r="H55" s="37"/>
      <c r="I55" s="36">
        <f>+C55-G55</f>
        <v>0</v>
      </c>
      <c r="J55" s="522"/>
      <c r="K55" s="522"/>
      <c r="L55" s="546"/>
      <c r="M55" s="210"/>
      <c r="X55" s="40"/>
    </row>
    <row r="56" spans="1:24" ht="13.8">
      <c r="A56" s="197"/>
      <c r="B56" s="32"/>
      <c r="C56" s="32"/>
      <c r="D56" s="523"/>
      <c r="E56" s="578"/>
      <c r="F56" s="33"/>
      <c r="G56" s="35"/>
      <c r="H56" s="33"/>
      <c r="I56" s="32"/>
      <c r="J56" s="523"/>
      <c r="K56" s="523"/>
      <c r="L56" s="546"/>
      <c r="M56" s="167"/>
      <c r="X56" s="45"/>
    </row>
    <row r="57" spans="1:24" s="50" customFormat="1" ht="13.8">
      <c r="A57" s="211"/>
      <c r="B57" s="36">
        <f>+B13+B19+B25+B30+B36+B42+B47+B51+B55</f>
        <v>-3482876.2600000002</v>
      </c>
      <c r="C57" s="36">
        <f>+C13+C19+C25+C30+C36+C42+C47+C51+C55</f>
        <v>-5185609.8900000006</v>
      </c>
      <c r="D57" s="523"/>
      <c r="E57" s="576" t="s">
        <v>12</v>
      </c>
      <c r="F57" s="37"/>
      <c r="G57" s="36">
        <f>+G13+G19+G25+G30+G36+G42+G47+G51+G55</f>
        <v>-2674837.5133333332</v>
      </c>
      <c r="H57" s="52"/>
      <c r="I57" s="36">
        <f>+I13+I19+I25+I30+I36+I42+I47+I51+I55</f>
        <v>-2510772.3766666665</v>
      </c>
      <c r="J57" s="584">
        <f>+-I57/C57</f>
        <v>-0.48418072896468234</v>
      </c>
      <c r="K57" s="523"/>
      <c r="L57" s="546"/>
      <c r="M57" s="212"/>
      <c r="X57" s="49"/>
    </row>
    <row r="58" spans="1:24" s="50" customFormat="1" ht="13.8">
      <c r="A58" s="211"/>
      <c r="B58" s="51"/>
      <c r="C58" s="51"/>
      <c r="D58" s="54"/>
      <c r="E58" s="579"/>
      <c r="F58" s="52"/>
      <c r="G58" s="53"/>
      <c r="H58" s="52"/>
      <c r="I58" s="51"/>
      <c r="J58" s="54"/>
      <c r="K58" s="54"/>
      <c r="L58" s="546"/>
      <c r="M58" s="212"/>
      <c r="X58" s="49"/>
    </row>
    <row r="59" spans="1:24" s="50" customFormat="1" ht="13.8">
      <c r="A59" s="211"/>
      <c r="B59" s="43">
        <f>-'Input Data'!G17</f>
        <v>0</v>
      </c>
      <c r="C59" s="43">
        <f>-'Input Data'!H17</f>
        <v>0</v>
      </c>
      <c r="D59" s="523"/>
      <c r="E59" s="580" t="s">
        <v>214</v>
      </c>
      <c r="F59" s="33"/>
      <c r="G59" s="46">
        <f>-'Input Data'!J17</f>
        <v>0</v>
      </c>
      <c r="H59" s="52"/>
      <c r="I59" s="36">
        <f>+C59-G59</f>
        <v>0</v>
      </c>
      <c r="J59" s="522"/>
      <c r="K59" s="522"/>
      <c r="L59" s="546"/>
      <c r="M59" s="212"/>
      <c r="X59" s="49"/>
    </row>
    <row r="60" spans="1:24" s="50" customFormat="1" ht="13.8">
      <c r="A60" s="211"/>
      <c r="B60" s="43">
        <f>-'Input Data'!G19</f>
        <v>0</v>
      </c>
      <c r="C60" s="43">
        <f>-'Input Data'!H19</f>
        <v>0</v>
      </c>
      <c r="D60" s="523"/>
      <c r="E60" s="580" t="s">
        <v>27</v>
      </c>
      <c r="F60" s="33"/>
      <c r="G60" s="46">
        <f>-'Input Data'!J19</f>
        <v>0</v>
      </c>
      <c r="H60" s="52"/>
      <c r="I60" s="55"/>
      <c r="J60" s="525"/>
      <c r="K60" s="525"/>
      <c r="L60" s="546"/>
      <c r="M60" s="212"/>
      <c r="X60" s="49"/>
    </row>
    <row r="61" spans="1:24" s="50" customFormat="1" ht="13.8">
      <c r="A61" s="211"/>
      <c r="B61" s="32"/>
      <c r="C61" s="32"/>
      <c r="D61" s="523"/>
      <c r="E61" s="580"/>
      <c r="F61" s="33"/>
      <c r="G61" s="35"/>
      <c r="H61" s="52"/>
      <c r="I61" s="170"/>
      <c r="J61" s="525"/>
      <c r="K61" s="525"/>
      <c r="L61" s="546"/>
      <c r="M61" s="212"/>
      <c r="X61" s="49"/>
    </row>
    <row r="62" spans="1:24" s="50" customFormat="1" ht="13.8">
      <c r="A62" s="211"/>
      <c r="B62" s="57">
        <f>SUM(B57:B61)</f>
        <v>-3482876.2600000002</v>
      </c>
      <c r="C62" s="57">
        <f>SUM(C57:C61)</f>
        <v>-5185609.8900000006</v>
      </c>
      <c r="D62" s="54"/>
      <c r="E62" s="581" t="s">
        <v>28</v>
      </c>
      <c r="F62" s="54"/>
      <c r="G62" s="56">
        <f>SUM(G57:G61)</f>
        <v>-2674837.5133333332</v>
      </c>
      <c r="H62" s="52"/>
      <c r="I62" s="56">
        <f>SUM(I57:I61)</f>
        <v>-2510772.3766666665</v>
      </c>
      <c r="J62" s="584">
        <f>+-I62/C62</f>
        <v>-0.48418072896468234</v>
      </c>
      <c r="K62" s="54"/>
      <c r="L62" s="546"/>
      <c r="M62" s="212"/>
      <c r="X62" s="49"/>
    </row>
    <row r="63" spans="1:24" s="50" customFormat="1" ht="13.8">
      <c r="A63" s="211"/>
      <c r="B63" s="51"/>
      <c r="C63" s="51"/>
      <c r="D63" s="54"/>
      <c r="E63" s="581"/>
      <c r="F63" s="52"/>
      <c r="G63" s="53"/>
      <c r="H63" s="52"/>
      <c r="I63" s="51"/>
      <c r="J63" s="54"/>
      <c r="K63" s="54"/>
      <c r="L63" s="546"/>
      <c r="M63" s="212"/>
      <c r="X63" s="49"/>
    </row>
    <row r="64" spans="1:24" s="50" customFormat="1" ht="13.8">
      <c r="A64" s="211"/>
      <c r="B64" s="43">
        <f>-'Input Data'!G13*1000</f>
        <v>0</v>
      </c>
      <c r="C64" s="43">
        <f>-'Input Data'!H13*1000</f>
        <v>-146000</v>
      </c>
      <c r="D64" s="584"/>
      <c r="E64" s="581" t="s">
        <v>269</v>
      </c>
      <c r="F64" s="52"/>
      <c r="G64" s="46">
        <f>'Input Data'!J13*-1000</f>
        <v>-213000</v>
      </c>
      <c r="H64" s="584"/>
      <c r="I64" s="36">
        <f>+C64-G64</f>
        <v>67000</v>
      </c>
      <c r="J64" s="584">
        <f>+-I64/C64</f>
        <v>0.4589041095890411</v>
      </c>
      <c r="K64" s="522"/>
      <c r="L64" s="546" t="s">
        <v>341</v>
      </c>
      <c r="M64" s="212"/>
      <c r="X64" s="49"/>
    </row>
    <row r="65" spans="1:27" ht="14.4" thickBot="1">
      <c r="A65" s="197"/>
      <c r="B65" s="46"/>
      <c r="C65" s="46"/>
      <c r="D65" s="33"/>
      <c r="E65" s="575"/>
      <c r="F65" s="33"/>
      <c r="G65" s="46"/>
      <c r="H65" s="33"/>
      <c r="I65" s="46"/>
      <c r="J65" s="33"/>
      <c r="K65" s="33"/>
      <c r="L65" s="547" t="s">
        <v>342</v>
      </c>
      <c r="M65" s="167"/>
      <c r="X65" s="45"/>
    </row>
    <row r="66" spans="1:27" ht="14.4" thickBot="1">
      <c r="A66" s="197"/>
      <c r="B66" s="58">
        <f>+B11+B62+B64</f>
        <v>-3482876.2600000002</v>
      </c>
      <c r="C66" s="58">
        <f>+C11+C62+C64</f>
        <v>-5331609.8900000006</v>
      </c>
      <c r="D66" s="584"/>
      <c r="E66" s="581" t="s">
        <v>29</v>
      </c>
      <c r="F66" s="37"/>
      <c r="G66" s="241">
        <f>+G11+G62+G64</f>
        <v>-2887837.5133333332</v>
      </c>
      <c r="H66" s="584"/>
      <c r="I66" s="58">
        <f>+I11+I62+I64</f>
        <v>-2443772.3766666665</v>
      </c>
      <c r="J66" s="584">
        <f>+-I66/C66</f>
        <v>-0.45835543617889607</v>
      </c>
      <c r="K66" s="37"/>
      <c r="L66" s="548"/>
      <c r="M66" s="167"/>
      <c r="X66" s="45"/>
    </row>
    <row r="67" spans="1:27">
      <c r="A67" s="197"/>
      <c r="B67" s="134"/>
      <c r="C67" s="134"/>
      <c r="D67" s="134"/>
      <c r="E67" s="33"/>
      <c r="F67" s="33"/>
      <c r="G67" s="33"/>
      <c r="H67" s="33"/>
      <c r="I67" s="127"/>
      <c r="J67" s="127"/>
      <c r="K67" s="127"/>
      <c r="L67" s="127"/>
      <c r="M67" s="167"/>
      <c r="X67" s="45"/>
    </row>
    <row r="68" spans="1:27" ht="13.8" thickBot="1">
      <c r="A68" s="198"/>
      <c r="B68" s="214"/>
      <c r="C68" s="214"/>
      <c r="D68" s="214"/>
      <c r="E68" s="213"/>
      <c r="F68" s="213"/>
      <c r="G68" s="213"/>
      <c r="H68" s="199"/>
      <c r="I68" s="26"/>
      <c r="J68" s="26"/>
      <c r="K68" s="26"/>
      <c r="L68" s="26"/>
      <c r="M68" s="168"/>
      <c r="X68" s="27"/>
    </row>
    <row r="69" spans="1:27">
      <c r="B69" s="59"/>
      <c r="C69" s="59"/>
      <c r="D69" s="59"/>
      <c r="E69" s="59"/>
      <c r="F69" s="59"/>
      <c r="G69" s="59"/>
      <c r="AA69" s="45"/>
    </row>
  </sheetData>
  <mergeCells count="4">
    <mergeCell ref="C8:C9"/>
    <mergeCell ref="I8:I9"/>
    <mergeCell ref="G8:G9"/>
    <mergeCell ref="B8:B9"/>
  </mergeCells>
  <phoneticPr fontId="0" type="noConversion"/>
  <pageMargins left="0.24" right="0.15748031496062992" top="0.43" bottom="0.59055118110236227" header="0.32" footer="0.46"/>
  <pageSetup paperSize="9" scale="50" orientation="landscape" r:id="rId1"/>
  <headerFooter alignWithMargins="0">
    <oddFooter>&amp;L&amp;9Page 2&amp;C&amp;9Source: Financial Planning and Analysis&amp;R&amp;9Printed : &amp;D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7" r:id="rId4" name="adaytum_page_1_drop_2">
              <controlPr defaultSize="0" print="0" autoFill="0" autoPict="0" macro="[1]!AdaytumDropDown">
                <anchor moveWithCells="1">
                  <from>
                    <xdr:col>2</xdr:col>
                    <xdr:colOff>0</xdr:colOff>
                    <xdr:row>4</xdr:row>
                    <xdr:rowOff>0</xdr:rowOff>
                  </from>
                  <to>
                    <xdr:col>2</xdr:col>
                    <xdr:colOff>777240</xdr:colOff>
                    <xdr:row>5</xdr:row>
                    <xdr:rowOff>0</xdr:rowOff>
                  </to>
                </anchor>
              </controlPr>
            </control>
          </mc:Choice>
        </mc:AlternateContent>
        <mc:AlternateContent xmlns:mc="http://schemas.openxmlformats.org/markup-compatibility/2006">
          <mc:Choice Requires="x14">
            <control shapeId="4098" r:id="rId5" name="adaytum_page_1_drop_1">
              <controlPr defaultSize="0" print="0" autoFill="0" autoPict="0" macro="[1]!AdaytumDropDown">
                <anchor moveWithCells="1">
                  <from>
                    <xdr:col>1</xdr:col>
                    <xdr:colOff>0</xdr:colOff>
                    <xdr:row>4</xdr:row>
                    <xdr:rowOff>0</xdr:rowOff>
                  </from>
                  <to>
                    <xdr:col>2</xdr:col>
                    <xdr:colOff>1211580</xdr:colOff>
                    <xdr:row>5</xdr:row>
                    <xdr:rowOff>0</xdr:rowOff>
                  </to>
                </anchor>
              </controlPr>
            </control>
          </mc:Choice>
        </mc:AlternateContent>
        <mc:AlternateContent xmlns:mc="http://schemas.openxmlformats.org/markup-compatibility/2006">
          <mc:Choice Requires="x14">
            <control shapeId="4110" r:id="rId6" name="adaytum_page_1_drop_2">
              <controlPr defaultSize="0" print="0" autoFill="0" autoPict="0" macro="[1]!AdaytumDropDown">
                <anchor moveWithCells="1">
                  <from>
                    <xdr:col>1</xdr:col>
                    <xdr:colOff>0</xdr:colOff>
                    <xdr:row>4</xdr:row>
                    <xdr:rowOff>0</xdr:rowOff>
                  </from>
                  <to>
                    <xdr:col>1</xdr:col>
                    <xdr:colOff>769620</xdr:colOff>
                    <xdr:row>5</xdr:row>
                    <xdr:rowOff>0</xdr:rowOff>
                  </to>
                </anchor>
              </controlPr>
            </control>
          </mc:Choice>
        </mc:AlternateContent>
        <mc:AlternateContent xmlns:mc="http://schemas.openxmlformats.org/markup-compatibility/2006">
          <mc:Choice Requires="x14">
            <control shapeId="4111" r:id="rId7" name="adaytum_page_1_drop_1">
              <controlPr defaultSize="0" print="0" autoFill="0" autoPict="0" macro="[1]!AdaytumDropDown">
                <anchor moveWithCells="1">
                  <from>
                    <xdr:col>0</xdr:col>
                    <xdr:colOff>0</xdr:colOff>
                    <xdr:row>4</xdr:row>
                    <xdr:rowOff>0</xdr:rowOff>
                  </from>
                  <to>
                    <xdr:col>2</xdr:col>
                    <xdr:colOff>411480</xdr:colOff>
                    <xdr:row>5</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0"/>
  <sheetViews>
    <sheetView tabSelected="1" zoomScale="75" zoomScaleNormal="75" workbookViewId="0">
      <selection activeCell="C9" sqref="C9"/>
    </sheetView>
  </sheetViews>
  <sheetFormatPr defaultRowHeight="13.2" outlineLevelRow="1" outlineLevelCol="2"/>
  <cols>
    <col min="2" max="2" width="4.44140625" style="7" customWidth="1"/>
    <col min="3" max="3" width="13.88671875" customWidth="1"/>
    <col min="4" max="4" width="44.33203125" customWidth="1"/>
    <col min="5" max="5" width="14.88671875" customWidth="1"/>
    <col min="6" max="6" width="14.5546875" customWidth="1"/>
    <col min="7" max="7" width="12.5546875" hidden="1" customWidth="1" outlineLevel="1"/>
    <col min="8" max="8" width="16.6640625" style="890" hidden="1" customWidth="1" outlineLevel="1"/>
    <col min="9" max="9" width="23.88671875" style="890" hidden="1" customWidth="1" outlineLevel="1"/>
    <col min="10" max="10" width="19.33203125" customWidth="1" collapsed="1"/>
    <col min="11" max="11" width="13.6640625" customWidth="1"/>
    <col min="12" max="12" width="3.33203125" customWidth="1"/>
    <col min="13" max="13" width="18.44140625" customWidth="1"/>
    <col min="14" max="14" width="17.88671875" customWidth="1"/>
    <col min="15" max="15" width="25.33203125" style="157" customWidth="1"/>
    <col min="16" max="16" width="13.5546875" style="565" customWidth="1"/>
    <col min="17" max="17" width="3.44140625" style="891" customWidth="1"/>
    <col min="18" max="18" width="13" customWidth="1"/>
    <col min="19" max="19" width="15.33203125" customWidth="1"/>
    <col min="20" max="20" width="14.6640625" customWidth="1"/>
    <col min="21" max="21" width="13.6640625" style="888" customWidth="1"/>
    <col min="22" max="22" width="4.5546875" style="889" customWidth="1"/>
    <col min="23" max="23" width="3.33203125" style="185" customWidth="1"/>
    <col min="24" max="24" width="16.6640625" hidden="1" customWidth="1"/>
    <col min="25" max="25" width="14.33203125" customWidth="1"/>
    <col min="26" max="27" width="19.33203125" hidden="1" customWidth="1" outlineLevel="1"/>
    <col min="28" max="28" width="14.109375" hidden="1" customWidth="1" outlineLevel="2"/>
    <col min="29" max="29" width="13.88671875" hidden="1" customWidth="1" outlineLevel="1"/>
    <col min="30" max="31" width="0" hidden="1" customWidth="1" outlineLevel="1"/>
    <col min="32" max="32" width="9.109375" customWidth="1" collapsed="1"/>
  </cols>
  <sheetData>
    <row r="1" spans="2:29" ht="13.8" thickBot="1">
      <c r="P1" s="7"/>
      <c r="Q1" s="185"/>
    </row>
    <row r="2" spans="2:29" s="16" customFormat="1">
      <c r="B2" s="195"/>
      <c r="C2" s="215"/>
      <c r="D2" s="216"/>
      <c r="E2" s="215"/>
      <c r="F2" s="196"/>
      <c r="G2" s="196"/>
      <c r="H2" s="196"/>
      <c r="I2" s="196"/>
      <c r="J2" s="196"/>
      <c r="K2" s="196"/>
      <c r="L2" s="196"/>
      <c r="M2" s="196"/>
      <c r="N2" s="196"/>
      <c r="O2" s="196"/>
      <c r="P2" s="196"/>
      <c r="Q2" s="196"/>
      <c r="R2" s="196"/>
      <c r="S2" s="196"/>
      <c r="T2" s="196"/>
      <c r="U2" s="196"/>
      <c r="V2" s="166"/>
    </row>
    <row r="3" spans="2:29" s="16" customFormat="1">
      <c r="B3" s="197"/>
      <c r="C3" s="217"/>
      <c r="D3" s="218"/>
      <c r="E3" s="217"/>
      <c r="F3" s="127"/>
      <c r="G3" s="127"/>
      <c r="H3" s="127"/>
      <c r="I3" s="127"/>
      <c r="J3" s="127"/>
      <c r="K3" s="127"/>
      <c r="L3" s="127"/>
      <c r="M3" s="127"/>
      <c r="N3" s="127"/>
      <c r="O3" s="127"/>
      <c r="P3" s="127"/>
      <c r="Q3" s="127"/>
      <c r="R3" s="127"/>
      <c r="S3" s="127"/>
      <c r="T3" s="127"/>
      <c r="U3" s="127"/>
      <c r="V3" s="167"/>
    </row>
    <row r="4" spans="2:29" s="16" customFormat="1">
      <c r="B4" s="197"/>
      <c r="C4" s="217"/>
      <c r="D4" s="218"/>
      <c r="E4" s="217"/>
      <c r="F4" s="127"/>
      <c r="G4" s="127"/>
      <c r="H4" s="127"/>
      <c r="I4" s="127"/>
      <c r="J4" s="127"/>
      <c r="K4" s="127"/>
      <c r="L4" s="127"/>
      <c r="M4" s="127"/>
      <c r="N4" s="127"/>
      <c r="O4" s="127"/>
      <c r="P4" s="127"/>
      <c r="Q4" s="127"/>
      <c r="R4" s="127"/>
      <c r="S4" s="127"/>
      <c r="T4" s="127"/>
      <c r="U4" s="127"/>
      <c r="V4" s="167"/>
    </row>
    <row r="5" spans="2:29" s="16" customFormat="1">
      <c r="B5" s="197"/>
      <c r="C5" s="217"/>
      <c r="D5" s="218"/>
      <c r="E5" s="217"/>
      <c r="F5" s="127"/>
      <c r="G5" s="127"/>
      <c r="H5" s="127"/>
      <c r="I5" s="127"/>
      <c r="J5" s="127"/>
      <c r="K5" s="127"/>
      <c r="L5" s="127"/>
      <c r="M5" s="127"/>
      <c r="N5" s="127"/>
      <c r="O5" s="127"/>
      <c r="P5" s="127"/>
      <c r="Q5" s="127"/>
      <c r="R5" s="127"/>
      <c r="S5" s="127"/>
      <c r="T5" s="127"/>
      <c r="U5" s="127"/>
      <c r="V5" s="167"/>
    </row>
    <row r="6" spans="2:29" s="16" customFormat="1">
      <c r="B6" s="197"/>
      <c r="C6" s="217"/>
      <c r="D6" s="218"/>
      <c r="E6" s="217"/>
      <c r="F6" s="127"/>
      <c r="G6" s="127"/>
      <c r="H6" s="127"/>
      <c r="I6" s="127"/>
      <c r="J6" s="127"/>
      <c r="K6" s="127"/>
      <c r="L6" s="127"/>
      <c r="M6" s="127"/>
      <c r="N6" s="127"/>
      <c r="O6" s="127"/>
      <c r="P6" s="127"/>
      <c r="Q6" s="127"/>
      <c r="R6" s="127"/>
      <c r="S6" s="127"/>
      <c r="T6" s="127"/>
      <c r="U6" s="127"/>
      <c r="V6" s="167"/>
    </row>
    <row r="7" spans="2:29" s="16" customFormat="1">
      <c r="B7" s="197"/>
      <c r="C7" s="217"/>
      <c r="D7" s="218"/>
      <c r="E7" s="217"/>
      <c r="F7" s="127"/>
      <c r="G7" s="127"/>
      <c r="H7" s="127"/>
      <c r="I7" s="127"/>
      <c r="J7" s="127"/>
      <c r="K7" s="127"/>
      <c r="L7" s="127"/>
      <c r="M7" s="127"/>
      <c r="N7" s="127"/>
      <c r="O7" s="127"/>
      <c r="P7" s="950"/>
      <c r="Q7" s="127"/>
      <c r="R7" s="127"/>
      <c r="S7" s="127"/>
      <c r="T7" s="127"/>
      <c r="U7" s="127"/>
      <c r="V7" s="167"/>
    </row>
    <row r="8" spans="2:29" ht="27">
      <c r="B8" s="184"/>
      <c r="C8" s="718"/>
      <c r="D8" s="719" t="s">
        <v>542</v>
      </c>
      <c r="E8" s="720" t="s">
        <v>543</v>
      </c>
      <c r="F8" s="721" t="s">
        <v>544</v>
      </c>
      <c r="G8" s="963" t="s">
        <v>545</v>
      </c>
      <c r="H8" s="963"/>
      <c r="I8" s="722" t="s">
        <v>546</v>
      </c>
      <c r="J8" s="722" t="s">
        <v>547</v>
      </c>
      <c r="K8" s="723" t="s">
        <v>548</v>
      </c>
      <c r="L8" s="724"/>
      <c r="M8" s="725" t="s">
        <v>549</v>
      </c>
      <c r="N8" s="725" t="s">
        <v>550</v>
      </c>
      <c r="O8" s="726"/>
      <c r="P8" s="946" t="s">
        <v>551</v>
      </c>
      <c r="Q8" s="726"/>
      <c r="R8" s="728" t="s">
        <v>552</v>
      </c>
      <c r="S8" s="729" t="s">
        <v>553</v>
      </c>
      <c r="T8" s="729" t="s">
        <v>554</v>
      </c>
      <c r="U8" s="729" t="s">
        <v>555</v>
      </c>
      <c r="V8" s="716"/>
      <c r="AC8" s="726"/>
    </row>
    <row r="9" spans="2:29">
      <c r="B9" s="184"/>
      <c r="C9" s="730">
        <v>1</v>
      </c>
      <c r="D9" s="185" t="s">
        <v>428</v>
      </c>
      <c r="E9" s="731">
        <v>180628</v>
      </c>
      <c r="F9" s="185" t="s">
        <v>556</v>
      </c>
      <c r="G9" s="185"/>
      <c r="H9" s="650"/>
      <c r="I9" s="650"/>
      <c r="J9" s="732" t="s">
        <v>557</v>
      </c>
      <c r="K9" s="733">
        <f t="shared" ref="K9:K30" si="0">+E9/12</f>
        <v>15052.333333333334</v>
      </c>
      <c r="L9" s="734"/>
      <c r="M9" s="735">
        <f t="shared" ref="M9:M30" si="1">+K9</f>
        <v>15052.333333333334</v>
      </c>
      <c r="N9" s="735">
        <f>+K9</f>
        <v>15052.333333333334</v>
      </c>
      <c r="O9" s="734"/>
      <c r="P9" s="736">
        <f>+E9</f>
        <v>180628</v>
      </c>
      <c r="Q9" s="734"/>
      <c r="R9" s="737">
        <f>+P9</f>
        <v>180628</v>
      </c>
      <c r="S9" s="738"/>
      <c r="T9" s="738"/>
      <c r="U9" s="738"/>
      <c r="V9" s="716"/>
      <c r="Y9" s="734"/>
      <c r="AC9" s="739"/>
    </row>
    <row r="10" spans="2:29">
      <c r="B10" s="184"/>
      <c r="C10" s="730">
        <v>2</v>
      </c>
      <c r="D10" s="185" t="s">
        <v>716</v>
      </c>
      <c r="E10" s="731">
        <v>180628</v>
      </c>
      <c r="F10" s="185" t="s">
        <v>556</v>
      </c>
      <c r="G10" s="185"/>
      <c r="H10" s="650"/>
      <c r="I10" s="650" t="s">
        <v>558</v>
      </c>
      <c r="J10" s="732" t="s">
        <v>557</v>
      </c>
      <c r="K10" s="733">
        <f t="shared" si="0"/>
        <v>15052.333333333334</v>
      </c>
      <c r="L10" s="734"/>
      <c r="M10" s="735">
        <f t="shared" si="1"/>
        <v>15052.333333333334</v>
      </c>
      <c r="N10" s="735"/>
      <c r="O10" s="734"/>
      <c r="P10" s="740"/>
      <c r="Q10" s="649"/>
      <c r="R10" s="737"/>
      <c r="S10" s="738"/>
      <c r="T10" s="738"/>
      <c r="U10" s="741"/>
      <c r="V10" s="716"/>
      <c r="Y10" s="734"/>
      <c r="AC10" s="672"/>
    </row>
    <row r="11" spans="2:29">
      <c r="B11" s="184"/>
      <c r="C11" s="730">
        <v>3</v>
      </c>
      <c r="D11" s="185" t="s">
        <v>429</v>
      </c>
      <c r="E11" s="731">
        <v>180628</v>
      </c>
      <c r="F11" s="185" t="s">
        <v>556</v>
      </c>
      <c r="G11" s="185"/>
      <c r="H11" s="650"/>
      <c r="I11" s="650"/>
      <c r="J11" s="650" t="s">
        <v>557</v>
      </c>
      <c r="K11" s="733">
        <f t="shared" si="0"/>
        <v>15052.333333333334</v>
      </c>
      <c r="L11" s="734"/>
      <c r="M11" s="735">
        <f t="shared" si="1"/>
        <v>15052.333333333334</v>
      </c>
      <c r="N11" s="735">
        <f>+K11</f>
        <v>15052.333333333334</v>
      </c>
      <c r="O11" s="734"/>
      <c r="P11" s="736">
        <f>+E11</f>
        <v>180628</v>
      </c>
      <c r="Q11" s="734"/>
      <c r="R11" s="737">
        <f>+P11</f>
        <v>180628</v>
      </c>
      <c r="S11" s="738"/>
      <c r="T11" s="738"/>
      <c r="U11" s="738"/>
      <c r="V11" s="716"/>
      <c r="Y11" s="734"/>
      <c r="AC11" s="739"/>
    </row>
    <row r="12" spans="2:29">
      <c r="B12" s="184"/>
      <c r="C12" s="730">
        <v>4</v>
      </c>
      <c r="D12" s="185" t="s">
        <v>718</v>
      </c>
      <c r="E12" s="731">
        <v>190146</v>
      </c>
      <c r="F12" s="185" t="s">
        <v>556</v>
      </c>
      <c r="G12" s="185"/>
      <c r="H12" s="650"/>
      <c r="I12" s="650" t="s">
        <v>559</v>
      </c>
      <c r="J12" s="650" t="s">
        <v>560</v>
      </c>
      <c r="K12" s="733">
        <f t="shared" si="0"/>
        <v>15845.5</v>
      </c>
      <c r="L12" s="734"/>
      <c r="M12" s="735">
        <f t="shared" si="1"/>
        <v>15845.5</v>
      </c>
      <c r="N12" s="735"/>
      <c r="O12" s="734"/>
      <c r="P12" s="736"/>
      <c r="Q12" s="734"/>
      <c r="R12" s="737"/>
      <c r="S12" s="738"/>
      <c r="T12" s="738"/>
      <c r="U12" s="738"/>
      <c r="V12" s="716"/>
      <c r="Y12" s="734"/>
      <c r="AC12" s="739"/>
    </row>
    <row r="13" spans="2:29">
      <c r="B13" s="184"/>
      <c r="C13" s="730">
        <v>5</v>
      </c>
      <c r="D13" s="185" t="s">
        <v>430</v>
      </c>
      <c r="E13" s="731">
        <v>171110</v>
      </c>
      <c r="F13" s="185" t="s">
        <v>556</v>
      </c>
      <c r="G13" s="185"/>
      <c r="H13" s="650"/>
      <c r="I13" s="650"/>
      <c r="J13" s="732" t="s">
        <v>557</v>
      </c>
      <c r="K13" s="733">
        <f t="shared" si="0"/>
        <v>14259.166666666666</v>
      </c>
      <c r="L13" s="734"/>
      <c r="M13" s="735">
        <f t="shared" si="1"/>
        <v>14259.166666666666</v>
      </c>
      <c r="N13" s="735">
        <f t="shared" ref="N13:N27" si="2">+K13</f>
        <v>14259.166666666666</v>
      </c>
      <c r="O13" s="734"/>
      <c r="P13" s="736">
        <f>+E13</f>
        <v>171110</v>
      </c>
      <c r="Q13" s="734"/>
      <c r="R13" s="737">
        <f>+P13</f>
        <v>171110</v>
      </c>
      <c r="S13" s="738"/>
      <c r="T13" s="738"/>
      <c r="U13" s="738"/>
      <c r="V13" s="716"/>
      <c r="Y13" s="734"/>
      <c r="AC13" s="739"/>
    </row>
    <row r="14" spans="2:29">
      <c r="B14" s="184"/>
      <c r="C14" s="730">
        <v>6</v>
      </c>
      <c r="D14" s="185" t="s">
        <v>431</v>
      </c>
      <c r="E14" s="731">
        <v>142555</v>
      </c>
      <c r="F14" s="185" t="s">
        <v>556</v>
      </c>
      <c r="G14" s="185"/>
      <c r="H14" s="650"/>
      <c r="I14" s="650"/>
      <c r="J14" s="732" t="s">
        <v>557</v>
      </c>
      <c r="K14" s="733">
        <f t="shared" si="0"/>
        <v>11879.583333333334</v>
      </c>
      <c r="L14" s="734"/>
      <c r="M14" s="735">
        <f t="shared" si="1"/>
        <v>11879.583333333334</v>
      </c>
      <c r="N14" s="735">
        <f t="shared" si="2"/>
        <v>11879.583333333334</v>
      </c>
      <c r="O14" s="734"/>
      <c r="P14" s="736">
        <f>+E14</f>
        <v>142555</v>
      </c>
      <c r="Q14" s="734"/>
      <c r="R14" s="737">
        <f>+P14</f>
        <v>142555</v>
      </c>
      <c r="S14" s="738"/>
      <c r="T14" s="738"/>
      <c r="U14" s="738"/>
      <c r="V14" s="716"/>
      <c r="Y14" s="734"/>
      <c r="AC14" s="739"/>
    </row>
    <row r="15" spans="2:29">
      <c r="B15" s="184"/>
      <c r="C15" s="730">
        <v>7</v>
      </c>
      <c r="D15" s="185" t="s">
        <v>561</v>
      </c>
      <c r="E15" s="734">
        <v>106789</v>
      </c>
      <c r="F15" s="185" t="s">
        <v>556</v>
      </c>
      <c r="G15" s="185"/>
      <c r="H15" s="650"/>
      <c r="I15" s="650"/>
      <c r="J15" s="650" t="s">
        <v>562</v>
      </c>
      <c r="K15" s="733">
        <f t="shared" si="0"/>
        <v>8899.0833333333339</v>
      </c>
      <c r="L15" s="734"/>
      <c r="M15" s="735">
        <f t="shared" si="1"/>
        <v>8899.0833333333339</v>
      </c>
      <c r="N15" s="735">
        <f t="shared" si="2"/>
        <v>8899.0833333333339</v>
      </c>
      <c r="O15" s="734"/>
      <c r="P15" s="736">
        <f>+E15</f>
        <v>106789</v>
      </c>
      <c r="Q15" s="734"/>
      <c r="R15" s="737">
        <f>+P15</f>
        <v>106789</v>
      </c>
      <c r="S15" s="738"/>
      <c r="T15" s="738"/>
      <c r="U15" s="738"/>
      <c r="V15" s="716"/>
      <c r="Y15" s="734"/>
      <c r="AC15" s="739"/>
    </row>
    <row r="16" spans="2:29">
      <c r="B16" s="184"/>
      <c r="C16" s="730">
        <v>8</v>
      </c>
      <c r="D16" s="185" t="s">
        <v>563</v>
      </c>
      <c r="E16" s="734">
        <v>99175</v>
      </c>
      <c r="F16" s="185" t="s">
        <v>556</v>
      </c>
      <c r="G16" s="185"/>
      <c r="H16" s="650"/>
      <c r="I16" s="650"/>
      <c r="J16" s="650" t="s">
        <v>562</v>
      </c>
      <c r="K16" s="733">
        <f t="shared" si="0"/>
        <v>8264.5833333333339</v>
      </c>
      <c r="L16" s="734"/>
      <c r="M16" s="735">
        <f t="shared" si="1"/>
        <v>8264.5833333333339</v>
      </c>
      <c r="N16" s="735">
        <f t="shared" si="2"/>
        <v>8264.5833333333339</v>
      </c>
      <c r="O16" s="734"/>
      <c r="P16" s="736">
        <f>+E16</f>
        <v>99175</v>
      </c>
      <c r="Q16" s="734"/>
      <c r="R16" s="737">
        <f>+P16</f>
        <v>99175</v>
      </c>
      <c r="S16" s="738"/>
      <c r="T16" s="738"/>
      <c r="U16" s="738"/>
      <c r="V16" s="716"/>
      <c r="Y16" s="734"/>
      <c r="AC16" s="739"/>
    </row>
    <row r="17" spans="1:38">
      <c r="B17" s="184"/>
      <c r="C17" s="730">
        <v>9</v>
      </c>
      <c r="D17" s="185" t="s">
        <v>434</v>
      </c>
      <c r="E17" s="731">
        <v>95182</v>
      </c>
      <c r="F17" s="185" t="s">
        <v>556</v>
      </c>
      <c r="G17" s="185"/>
      <c r="H17" s="650"/>
      <c r="I17" s="650"/>
      <c r="J17" s="732" t="s">
        <v>564</v>
      </c>
      <c r="K17" s="733">
        <f t="shared" si="0"/>
        <v>7931.833333333333</v>
      </c>
      <c r="L17" s="734"/>
      <c r="M17" s="735">
        <f t="shared" si="1"/>
        <v>7931.833333333333</v>
      </c>
      <c r="N17" s="735">
        <f t="shared" si="2"/>
        <v>7931.833333333333</v>
      </c>
      <c r="O17" s="734"/>
      <c r="P17" s="736"/>
      <c r="Q17" s="734"/>
      <c r="R17" s="737"/>
      <c r="S17" s="738"/>
      <c r="T17" s="738"/>
      <c r="U17" s="738"/>
      <c r="V17" s="716"/>
      <c r="Y17" s="734"/>
      <c r="AC17" s="739"/>
    </row>
    <row r="18" spans="1:38">
      <c r="B18" s="184"/>
      <c r="C18" s="730">
        <v>10</v>
      </c>
      <c r="D18" s="185" t="s">
        <v>565</v>
      </c>
      <c r="E18" s="734">
        <v>57109</v>
      </c>
      <c r="F18" s="185" t="s">
        <v>556</v>
      </c>
      <c r="G18" s="185"/>
      <c r="H18" s="650"/>
      <c r="I18" s="650"/>
      <c r="J18" s="650" t="s">
        <v>566</v>
      </c>
      <c r="K18" s="733">
        <f t="shared" si="0"/>
        <v>4759.083333333333</v>
      </c>
      <c r="L18" s="734"/>
      <c r="M18" s="735">
        <f t="shared" si="1"/>
        <v>4759.083333333333</v>
      </c>
      <c r="N18" s="735">
        <f t="shared" si="2"/>
        <v>4759.083333333333</v>
      </c>
      <c r="O18" s="734"/>
      <c r="P18" s="736"/>
      <c r="Q18" s="734"/>
      <c r="R18" s="737"/>
      <c r="S18" s="738"/>
      <c r="T18" s="738"/>
      <c r="U18" s="738"/>
      <c r="V18" s="716"/>
      <c r="Y18" s="734"/>
      <c r="AC18" s="739"/>
    </row>
    <row r="19" spans="1:38">
      <c r="B19" s="184"/>
      <c r="C19" s="730">
        <v>11</v>
      </c>
      <c r="D19" s="185" t="s">
        <v>436</v>
      </c>
      <c r="E19" s="731">
        <v>52540</v>
      </c>
      <c r="F19" s="185" t="s">
        <v>556</v>
      </c>
      <c r="G19" s="185"/>
      <c r="H19" s="650"/>
      <c r="I19" s="650"/>
      <c r="J19" s="732" t="s">
        <v>567</v>
      </c>
      <c r="K19" s="733">
        <f t="shared" si="0"/>
        <v>4378.333333333333</v>
      </c>
      <c r="L19" s="734"/>
      <c r="M19" s="735">
        <f t="shared" si="1"/>
        <v>4378.333333333333</v>
      </c>
      <c r="N19" s="735">
        <f t="shared" si="2"/>
        <v>4378.333333333333</v>
      </c>
      <c r="O19" s="734"/>
      <c r="P19" s="736"/>
      <c r="Q19" s="734"/>
      <c r="R19" s="737"/>
      <c r="S19" s="738"/>
      <c r="T19" s="738"/>
      <c r="U19" s="738"/>
      <c r="V19" s="716"/>
      <c r="Y19" s="734"/>
      <c r="AC19" s="739"/>
    </row>
    <row r="20" spans="1:38">
      <c r="B20" s="184"/>
      <c r="C20" s="730">
        <v>12</v>
      </c>
      <c r="D20" s="185" t="s">
        <v>437</v>
      </c>
      <c r="E20" s="731">
        <v>45687</v>
      </c>
      <c r="F20" s="185" t="s">
        <v>556</v>
      </c>
      <c r="G20" s="185"/>
      <c r="H20" s="650"/>
      <c r="I20" s="650"/>
      <c r="J20" s="732" t="s">
        <v>567</v>
      </c>
      <c r="K20" s="733">
        <f t="shared" si="0"/>
        <v>3807.25</v>
      </c>
      <c r="L20" s="734"/>
      <c r="M20" s="735">
        <f t="shared" si="1"/>
        <v>3807.25</v>
      </c>
      <c r="N20" s="735">
        <f t="shared" si="2"/>
        <v>3807.25</v>
      </c>
      <c r="O20" s="734"/>
      <c r="P20" s="736"/>
      <c r="Q20" s="734"/>
      <c r="R20" s="737"/>
      <c r="S20" s="738"/>
      <c r="T20" s="738"/>
      <c r="U20" s="738"/>
      <c r="V20" s="716"/>
      <c r="Y20" s="734"/>
      <c r="AC20" s="739"/>
    </row>
    <row r="21" spans="1:38">
      <c r="B21" s="184"/>
      <c r="C21" s="730">
        <v>13</v>
      </c>
      <c r="D21" s="185" t="s">
        <v>438</v>
      </c>
      <c r="E21" s="731">
        <v>50446</v>
      </c>
      <c r="F21" s="185" t="s">
        <v>556</v>
      </c>
      <c r="G21" s="185"/>
      <c r="H21" s="650"/>
      <c r="I21" s="650"/>
      <c r="J21" s="650" t="s">
        <v>568</v>
      </c>
      <c r="K21" s="733">
        <f t="shared" si="0"/>
        <v>4203.833333333333</v>
      </c>
      <c r="L21" s="734"/>
      <c r="M21" s="735">
        <f t="shared" si="1"/>
        <v>4203.833333333333</v>
      </c>
      <c r="N21" s="735">
        <f t="shared" si="2"/>
        <v>4203.833333333333</v>
      </c>
      <c r="O21" s="734"/>
      <c r="P21" s="736"/>
      <c r="Q21" s="734"/>
      <c r="R21" s="737"/>
      <c r="S21" s="738"/>
      <c r="T21" s="738"/>
      <c r="U21" s="738"/>
      <c r="V21" s="716"/>
      <c r="Y21" s="734"/>
      <c r="AC21" s="739"/>
    </row>
    <row r="22" spans="1:38" ht="15" customHeight="1">
      <c r="B22" s="184"/>
      <c r="C22" s="730">
        <v>14</v>
      </c>
      <c r="D22" s="185" t="s">
        <v>439</v>
      </c>
      <c r="E22" s="731">
        <v>51398</v>
      </c>
      <c r="F22" s="185" t="s">
        <v>556</v>
      </c>
      <c r="G22" s="185"/>
      <c r="H22" s="650"/>
      <c r="I22" s="650"/>
      <c r="J22" s="732" t="s">
        <v>568</v>
      </c>
      <c r="K22" s="733">
        <f t="shared" si="0"/>
        <v>4283.166666666667</v>
      </c>
      <c r="L22" s="734"/>
      <c r="M22" s="735">
        <f t="shared" si="1"/>
        <v>4283.166666666667</v>
      </c>
      <c r="N22" s="735">
        <f t="shared" si="2"/>
        <v>4283.166666666667</v>
      </c>
      <c r="O22" s="734"/>
      <c r="P22" s="736">
        <f>+E22</f>
        <v>51398</v>
      </c>
      <c r="Q22" s="734"/>
      <c r="R22" s="737">
        <f>+P22</f>
        <v>51398</v>
      </c>
      <c r="S22" s="738"/>
      <c r="T22" s="738"/>
      <c r="U22" s="738"/>
      <c r="V22" s="716"/>
      <c r="X22" s="7"/>
      <c r="Y22" s="734"/>
      <c r="Z22" s="7"/>
      <c r="AA22" s="7"/>
      <c r="AB22" s="7"/>
      <c r="AC22" s="739"/>
    </row>
    <row r="23" spans="1:38">
      <c r="B23" s="184"/>
      <c r="C23" s="730">
        <v>15</v>
      </c>
      <c r="D23" s="185" t="s">
        <v>440</v>
      </c>
      <c r="E23" s="731">
        <v>38073</v>
      </c>
      <c r="F23" s="185" t="s">
        <v>556</v>
      </c>
      <c r="G23" s="185"/>
      <c r="H23" s="650"/>
      <c r="I23" s="650"/>
      <c r="J23" s="732" t="s">
        <v>568</v>
      </c>
      <c r="K23" s="733">
        <f t="shared" si="0"/>
        <v>3172.75</v>
      </c>
      <c r="L23" s="734"/>
      <c r="M23" s="735">
        <f t="shared" si="1"/>
        <v>3172.75</v>
      </c>
      <c r="N23" s="735">
        <f t="shared" si="2"/>
        <v>3172.75</v>
      </c>
      <c r="O23" s="734"/>
      <c r="P23" s="736"/>
      <c r="Q23" s="734"/>
      <c r="R23" s="737"/>
      <c r="S23" s="738"/>
      <c r="T23" s="738"/>
      <c r="U23" s="738"/>
      <c r="V23" s="716"/>
      <c r="Y23" s="734"/>
      <c r="AC23" s="739"/>
    </row>
    <row r="24" spans="1:38" s="742" customFormat="1">
      <c r="A24" s="7"/>
      <c r="B24" s="184"/>
      <c r="C24" s="730">
        <v>16</v>
      </c>
      <c r="D24" s="185" t="s">
        <v>441</v>
      </c>
      <c r="E24" s="731">
        <v>231623</v>
      </c>
      <c r="F24" s="185" t="s">
        <v>569</v>
      </c>
      <c r="G24" s="185"/>
      <c r="H24" s="185"/>
      <c r="I24" s="650"/>
      <c r="J24" s="650" t="s">
        <v>570</v>
      </c>
      <c r="K24" s="733">
        <f t="shared" si="0"/>
        <v>19301.916666666668</v>
      </c>
      <c r="L24" s="734"/>
      <c r="M24" s="735">
        <f t="shared" si="1"/>
        <v>19301.916666666668</v>
      </c>
      <c r="N24" s="735">
        <f t="shared" si="2"/>
        <v>19301.916666666668</v>
      </c>
      <c r="O24" s="734"/>
      <c r="P24" s="736">
        <f>+E24</f>
        <v>231623</v>
      </c>
      <c r="Q24" s="734"/>
      <c r="R24" s="737">
        <f>+P24</f>
        <v>231623</v>
      </c>
      <c r="S24" s="738"/>
      <c r="T24" s="738"/>
      <c r="U24" s="738"/>
      <c r="V24" s="186"/>
      <c r="W24" s="185"/>
      <c r="X24" s="7"/>
      <c r="Y24" s="734"/>
      <c r="Z24" s="7"/>
      <c r="AA24" s="7"/>
      <c r="AB24" s="7"/>
      <c r="AC24" s="739"/>
      <c r="AD24"/>
      <c r="AE24"/>
      <c r="AF24"/>
      <c r="AG24"/>
      <c r="AH24"/>
      <c r="AI24"/>
      <c r="AJ24"/>
      <c r="AK24"/>
      <c r="AL24"/>
    </row>
    <row r="25" spans="1:38">
      <c r="B25" s="184"/>
      <c r="C25" s="730">
        <v>18</v>
      </c>
      <c r="D25" s="185" t="s">
        <v>442</v>
      </c>
      <c r="E25" s="731">
        <v>39205</v>
      </c>
      <c r="F25" s="185" t="s">
        <v>569</v>
      </c>
      <c r="G25" s="185"/>
      <c r="H25" s="650"/>
      <c r="I25" s="650"/>
      <c r="J25" s="732" t="s">
        <v>571</v>
      </c>
      <c r="K25" s="733">
        <f t="shared" si="0"/>
        <v>3267.0833333333335</v>
      </c>
      <c r="L25" s="734"/>
      <c r="M25" s="735">
        <f t="shared" si="1"/>
        <v>3267.0833333333335</v>
      </c>
      <c r="N25" s="735">
        <f t="shared" si="2"/>
        <v>3267.0833333333335</v>
      </c>
      <c r="O25" s="734"/>
      <c r="P25" s="736"/>
      <c r="Q25" s="734"/>
      <c r="R25" s="737"/>
      <c r="S25" s="738"/>
      <c r="T25" s="738"/>
      <c r="U25" s="738"/>
      <c r="V25" s="716"/>
      <c r="Y25" s="734"/>
      <c r="AC25" s="739"/>
    </row>
    <row r="26" spans="1:38">
      <c r="B26" s="184"/>
      <c r="C26" s="730">
        <v>17</v>
      </c>
      <c r="D26" s="185" t="s">
        <v>443</v>
      </c>
      <c r="E26" s="734">
        <v>39641</v>
      </c>
      <c r="F26" s="185" t="s">
        <v>569</v>
      </c>
      <c r="G26" s="185"/>
      <c r="H26" s="650"/>
      <c r="I26" s="650"/>
      <c r="J26" s="650" t="s">
        <v>568</v>
      </c>
      <c r="K26" s="733">
        <f t="shared" si="0"/>
        <v>3303.4166666666665</v>
      </c>
      <c r="L26" s="734"/>
      <c r="M26" s="735">
        <f t="shared" si="1"/>
        <v>3303.4166666666665</v>
      </c>
      <c r="N26" s="735">
        <f t="shared" si="2"/>
        <v>3303.4166666666665</v>
      </c>
      <c r="O26" s="734"/>
      <c r="P26" s="736">
        <f>+E26</f>
        <v>39641</v>
      </c>
      <c r="Q26" s="734"/>
      <c r="R26" s="737">
        <f>+P26</f>
        <v>39641</v>
      </c>
      <c r="S26" s="738"/>
      <c r="T26" s="738"/>
      <c r="U26" s="738"/>
      <c r="V26" s="716"/>
      <c r="Y26" s="734"/>
      <c r="AC26" s="739"/>
    </row>
    <row r="27" spans="1:38">
      <c r="B27" s="184"/>
      <c r="C27" s="730">
        <v>19</v>
      </c>
      <c r="D27" s="185" t="s">
        <v>444</v>
      </c>
      <c r="E27" s="731">
        <v>180628</v>
      </c>
      <c r="F27" s="185" t="s">
        <v>572</v>
      </c>
      <c r="G27" s="185"/>
      <c r="H27" s="650"/>
      <c r="I27" s="650"/>
      <c r="J27" s="732" t="s">
        <v>557</v>
      </c>
      <c r="K27" s="733">
        <f t="shared" si="0"/>
        <v>15052.333333333334</v>
      </c>
      <c r="L27" s="734"/>
      <c r="M27" s="735">
        <f t="shared" si="1"/>
        <v>15052.333333333334</v>
      </c>
      <c r="N27" s="735">
        <f t="shared" si="2"/>
        <v>15052.333333333334</v>
      </c>
      <c r="O27" s="734"/>
      <c r="P27" s="736">
        <f>+E27</f>
        <v>180628</v>
      </c>
      <c r="Q27" s="734"/>
      <c r="R27" s="737">
        <f>+P27</f>
        <v>180628</v>
      </c>
      <c r="S27" s="738"/>
      <c r="T27" s="738"/>
      <c r="U27" s="738"/>
      <c r="V27" s="716"/>
      <c r="Y27" s="734"/>
      <c r="AC27" s="739"/>
    </row>
    <row r="28" spans="1:38">
      <c r="B28" s="184"/>
      <c r="C28" s="730">
        <v>20</v>
      </c>
      <c r="D28" s="185" t="s">
        <v>717</v>
      </c>
      <c r="E28" s="734">
        <v>42774</v>
      </c>
      <c r="F28" s="185" t="s">
        <v>572</v>
      </c>
      <c r="G28" s="185"/>
      <c r="H28" s="650"/>
      <c r="I28" s="650" t="s">
        <v>573</v>
      </c>
      <c r="J28" s="650" t="s">
        <v>571</v>
      </c>
      <c r="K28" s="733">
        <f t="shared" si="0"/>
        <v>3564.5</v>
      </c>
      <c r="L28" s="734"/>
      <c r="M28" s="735">
        <f t="shared" si="1"/>
        <v>3564.5</v>
      </c>
      <c r="N28" s="735"/>
      <c r="O28" s="734"/>
      <c r="P28" s="736"/>
      <c r="Q28" s="734"/>
      <c r="R28" s="737"/>
      <c r="S28" s="738"/>
      <c r="T28" s="738"/>
      <c r="U28" s="738"/>
      <c r="V28" s="716"/>
      <c r="Y28" s="734"/>
      <c r="AC28" s="739"/>
    </row>
    <row r="29" spans="1:38">
      <c r="B29" s="184"/>
      <c r="C29" s="730">
        <v>21</v>
      </c>
      <c r="D29" s="185" t="s">
        <v>445</v>
      </c>
      <c r="E29" s="734">
        <v>125515</v>
      </c>
      <c r="F29" s="185" t="s">
        <v>574</v>
      </c>
      <c r="G29" s="185"/>
      <c r="H29" s="650"/>
      <c r="I29" s="650"/>
      <c r="J29" s="732" t="s">
        <v>562</v>
      </c>
      <c r="K29" s="733">
        <f t="shared" si="0"/>
        <v>10459.583333333334</v>
      </c>
      <c r="L29" s="734"/>
      <c r="M29" s="735">
        <f t="shared" si="1"/>
        <v>10459.583333333334</v>
      </c>
      <c r="N29" s="735">
        <f>+K29</f>
        <v>10459.583333333334</v>
      </c>
      <c r="O29" s="734"/>
      <c r="P29" s="736"/>
      <c r="Q29" s="734"/>
      <c r="R29" s="737"/>
      <c r="S29" s="738"/>
      <c r="T29" s="738"/>
      <c r="U29" s="738"/>
      <c r="V29" s="716"/>
      <c r="Y29" s="734"/>
      <c r="AC29" s="739"/>
    </row>
    <row r="30" spans="1:38">
      <c r="B30" s="184"/>
      <c r="C30" s="730">
        <v>22</v>
      </c>
      <c r="D30" s="185" t="s">
        <v>575</v>
      </c>
      <c r="E30" s="731">
        <f>+E28/5*2</f>
        <v>17109.599999999999</v>
      </c>
      <c r="F30" s="185" t="s">
        <v>574</v>
      </c>
      <c r="G30" s="185"/>
      <c r="H30" s="650"/>
      <c r="I30" s="650"/>
      <c r="J30" s="650" t="s">
        <v>571</v>
      </c>
      <c r="K30" s="733">
        <f t="shared" si="0"/>
        <v>1425.8</v>
      </c>
      <c r="L30" s="734"/>
      <c r="M30" s="735">
        <f t="shared" si="1"/>
        <v>1425.8</v>
      </c>
      <c r="N30" s="735">
        <f>+K30</f>
        <v>1425.8</v>
      </c>
      <c r="O30" s="734"/>
      <c r="P30" s="736"/>
      <c r="Q30" s="734"/>
      <c r="R30" s="743"/>
      <c r="S30" s="738"/>
      <c r="T30" s="744"/>
      <c r="U30" s="738"/>
      <c r="V30" s="716"/>
      <c r="X30" s="7"/>
      <c r="Y30" s="185"/>
      <c r="Z30" s="7"/>
      <c r="AA30" s="7"/>
      <c r="AB30" s="7"/>
    </row>
    <row r="31" spans="1:38" s="761" customFormat="1" ht="18.75" customHeight="1">
      <c r="B31" s="745"/>
      <c r="C31" s="746"/>
      <c r="D31" s="747" t="s">
        <v>576</v>
      </c>
      <c r="E31" s="747"/>
      <c r="F31" s="748"/>
      <c r="G31" s="747"/>
      <c r="H31" s="747"/>
      <c r="I31" s="749"/>
      <c r="J31" s="749"/>
      <c r="K31" s="750"/>
      <c r="L31" s="751"/>
      <c r="M31" s="752">
        <f>SUM(M9:M30)</f>
        <v>193215.79999999996</v>
      </c>
      <c r="N31" s="752">
        <f>SUM(N9:N30)</f>
        <v>158753.46666666667</v>
      </c>
      <c r="O31" s="753"/>
      <c r="P31" s="754">
        <f>SUM(P9:P30)</f>
        <v>1384175</v>
      </c>
      <c r="Q31" s="753"/>
      <c r="R31" s="755">
        <f>SUM(R9:R30)</f>
        <v>1384175</v>
      </c>
      <c r="S31" s="756">
        <f>SUM(S9:S30)</f>
        <v>0</v>
      </c>
      <c r="T31" s="756">
        <f>SUM(T9:T30)</f>
        <v>0</v>
      </c>
      <c r="U31" s="756">
        <f>SUM(U9:U30)</f>
        <v>0</v>
      </c>
      <c r="V31" s="757"/>
      <c r="W31" s="758"/>
      <c r="X31" s="759"/>
      <c r="Y31" s="759"/>
      <c r="Z31" s="759"/>
      <c r="AA31" s="759"/>
      <c r="AB31" s="759"/>
      <c r="AC31" s="760"/>
    </row>
    <row r="32" spans="1:38">
      <c r="B32" s="184"/>
      <c r="C32" s="185"/>
      <c r="D32" s="508" t="s">
        <v>577</v>
      </c>
      <c r="E32" s="185"/>
      <c r="F32" s="185"/>
      <c r="G32" s="185"/>
      <c r="H32" s="650"/>
      <c r="I32" s="650"/>
      <c r="J32" s="185"/>
      <c r="K32" s="185"/>
      <c r="L32" s="185"/>
      <c r="M32" s="762">
        <f>COUNT(M9:M30)</f>
        <v>22</v>
      </c>
      <c r="N32" s="762">
        <f>COUNT(N9:N30)</f>
        <v>19</v>
      </c>
      <c r="O32" s="185"/>
      <c r="P32" s="762">
        <f>COUNT(P9:P30)</f>
        <v>10</v>
      </c>
      <c r="Q32" s="649"/>
      <c r="R32" s="762">
        <f>COUNT(R9:R30)</f>
        <v>10</v>
      </c>
      <c r="S32" s="762"/>
      <c r="T32" s="6"/>
      <c r="U32" s="6"/>
      <c r="V32" s="716"/>
      <c r="X32" s="7"/>
      <c r="Y32" s="7"/>
      <c r="Z32" s="7"/>
      <c r="AA32" s="7"/>
      <c r="AB32" s="7"/>
      <c r="AC32" s="763"/>
    </row>
    <row r="33" spans="2:29">
      <c r="B33" s="184"/>
      <c r="C33" s="185"/>
      <c r="D33" s="508" t="s">
        <v>578</v>
      </c>
      <c r="E33" s="185"/>
      <c r="F33" s="185"/>
      <c r="G33" s="185"/>
      <c r="H33" s="650"/>
      <c r="I33" s="650"/>
      <c r="J33" s="185"/>
      <c r="K33" s="185"/>
      <c r="L33" s="185"/>
      <c r="M33" s="762">
        <v>4</v>
      </c>
      <c r="N33" s="762">
        <v>4</v>
      </c>
      <c r="O33" s="649"/>
      <c r="P33" s="762">
        <v>2</v>
      </c>
      <c r="Q33" s="649"/>
      <c r="R33" s="762">
        <v>2</v>
      </c>
      <c r="S33" s="762"/>
      <c r="T33" s="6"/>
      <c r="U33" s="6"/>
      <c r="V33" s="716"/>
      <c r="AC33" s="763"/>
    </row>
    <row r="34" spans="2:29" hidden="1" outlineLevel="1">
      <c r="B34" s="184"/>
      <c r="C34" s="185"/>
      <c r="D34" s="508" t="s">
        <v>579</v>
      </c>
      <c r="E34" s="185"/>
      <c r="F34" s="185"/>
      <c r="G34" s="185"/>
      <c r="H34" s="650"/>
      <c r="I34" s="650"/>
      <c r="J34" s="185"/>
      <c r="K34" s="185"/>
      <c r="L34" s="185"/>
      <c r="M34" s="185"/>
      <c r="N34" s="185" t="e">
        <f>+#REF!-#REF!</f>
        <v>#REF!</v>
      </c>
      <c r="O34" s="764"/>
      <c r="P34" s="764" t="e">
        <f>+#REF!-#REF!</f>
        <v>#REF!</v>
      </c>
      <c r="Q34" s="764"/>
      <c r="R34" s="764" t="e">
        <f>+#REF!-#REF!</f>
        <v>#REF!</v>
      </c>
      <c r="S34" s="764" t="e">
        <f>+#REF!-#REF!</f>
        <v>#REF!</v>
      </c>
      <c r="T34" s="764" t="e">
        <f>+#REF!-#REF!</f>
        <v>#REF!</v>
      </c>
      <c r="U34" s="764" t="e">
        <f>+#REF!-#REF!</f>
        <v>#REF!</v>
      </c>
      <c r="V34" s="716"/>
      <c r="AC34" s="765"/>
    </row>
    <row r="35" spans="2:29" hidden="1" outlineLevel="1">
      <c r="B35" s="184"/>
      <c r="C35" s="185"/>
      <c r="D35" s="508" t="s">
        <v>580</v>
      </c>
      <c r="E35" s="185"/>
      <c r="F35" s="185"/>
      <c r="G35" s="185"/>
      <c r="H35" s="650"/>
      <c r="I35" s="650"/>
      <c r="J35" s="185"/>
      <c r="K35" s="185"/>
      <c r="L35" s="185"/>
      <c r="M35" s="185"/>
      <c r="N35" s="185" t="e">
        <f>+N34/#REF!</f>
        <v>#REF!</v>
      </c>
      <c r="O35" s="766"/>
      <c r="P35" s="766" t="e">
        <f>+P34/#REF!</f>
        <v>#REF!</v>
      </c>
      <c r="Q35" s="766"/>
      <c r="R35" s="766" t="e">
        <f>+R34/#REF!</f>
        <v>#REF!</v>
      </c>
      <c r="S35" s="766" t="e">
        <f>+S34/#REF!</f>
        <v>#REF!</v>
      </c>
      <c r="T35" s="766" t="e">
        <f>+T34/#REF!</f>
        <v>#REF!</v>
      </c>
      <c r="U35" s="766" t="e">
        <f>+U34/#REF!</f>
        <v>#REF!</v>
      </c>
      <c r="V35" s="716"/>
    </row>
    <row r="36" spans="2:29" hidden="1" outlineLevel="1">
      <c r="B36" s="184"/>
      <c r="C36" s="185"/>
      <c r="D36" s="508" t="s">
        <v>581</v>
      </c>
      <c r="E36" s="185"/>
      <c r="F36" s="185"/>
      <c r="G36" s="185"/>
      <c r="H36" s="650"/>
      <c r="I36" s="650"/>
      <c r="J36" s="185"/>
      <c r="K36" s="185"/>
      <c r="L36" s="185"/>
      <c r="M36" s="185"/>
      <c r="N36" s="185"/>
      <c r="O36" s="649"/>
      <c r="P36" s="764" t="e">
        <f>+#REF!-#REF!</f>
        <v>#REF!</v>
      </c>
      <c r="Q36" s="764"/>
      <c r="R36" s="764" t="e">
        <f>+#REF!-#REF!</f>
        <v>#REF!</v>
      </c>
      <c r="S36" s="764" t="e">
        <f>+#REF!-#REF!</f>
        <v>#REF!</v>
      </c>
      <c r="T36" s="764" t="e">
        <f>+#REF!-#REF!</f>
        <v>#REF!</v>
      </c>
      <c r="U36" s="764" t="e">
        <f>+#REF!-#REF!</f>
        <v>#REF!</v>
      </c>
      <c r="V36" s="716"/>
    </row>
    <row r="37" spans="2:29" hidden="1" outlineLevel="1">
      <c r="B37" s="184"/>
      <c r="C37" s="185"/>
      <c r="D37" s="508" t="s">
        <v>582</v>
      </c>
      <c r="E37" s="185"/>
      <c r="F37" s="185"/>
      <c r="G37" s="185"/>
      <c r="H37" s="650"/>
      <c r="I37" s="650"/>
      <c r="J37" s="185"/>
      <c r="K37" s="185"/>
      <c r="L37" s="185"/>
      <c r="M37" s="185"/>
      <c r="N37" s="185"/>
      <c r="O37" s="649"/>
      <c r="P37" s="766" t="e">
        <f>+P36/#REF!</f>
        <v>#REF!</v>
      </c>
      <c r="Q37" s="766"/>
      <c r="R37" s="766" t="e">
        <f>+R36/#REF!</f>
        <v>#REF!</v>
      </c>
      <c r="S37" s="766" t="e">
        <f>+S36/#REF!</f>
        <v>#REF!</v>
      </c>
      <c r="T37" s="766" t="e">
        <f>+T36/#REF!</f>
        <v>#REF!</v>
      </c>
      <c r="U37" s="766" t="e">
        <f>+U36/#REF!</f>
        <v>#REF!</v>
      </c>
      <c r="V37" s="716"/>
    </row>
    <row r="38" spans="2:29" outlineLevel="1">
      <c r="B38" s="184"/>
      <c r="C38" s="185"/>
      <c r="D38" s="508"/>
      <c r="E38" s="185"/>
      <c r="F38" s="185"/>
      <c r="G38" s="185"/>
      <c r="H38" s="650"/>
      <c r="I38" s="650"/>
      <c r="J38" s="185"/>
      <c r="K38" s="185"/>
      <c r="L38" s="185"/>
      <c r="M38" s="185"/>
      <c r="N38" s="185"/>
      <c r="O38" s="649"/>
      <c r="P38" s="766"/>
      <c r="Q38" s="766"/>
      <c r="R38" s="766"/>
      <c r="S38" s="766"/>
      <c r="T38" s="766"/>
      <c r="U38" s="766"/>
      <c r="V38" s="716"/>
    </row>
    <row r="39" spans="2:29">
      <c r="B39" s="184"/>
      <c r="C39" s="185"/>
      <c r="D39" s="508"/>
      <c r="E39" s="185"/>
      <c r="F39" s="185"/>
      <c r="G39" s="185"/>
      <c r="H39" s="650"/>
      <c r="I39" s="650"/>
      <c r="J39" s="185"/>
      <c r="K39" s="185"/>
      <c r="L39" s="185"/>
      <c r="M39" s="185"/>
      <c r="N39" s="185"/>
      <c r="O39" s="185"/>
      <c r="P39" s="964" t="s">
        <v>583</v>
      </c>
      <c r="Q39" s="965"/>
      <c r="R39" s="965"/>
      <c r="S39" s="965"/>
      <c r="T39" s="965"/>
      <c r="U39" s="966"/>
      <c r="V39" s="716"/>
    </row>
    <row r="40" spans="2:29" ht="39" customHeight="1">
      <c r="B40" s="184"/>
      <c r="C40" s="185"/>
      <c r="D40" s="185"/>
      <c r="E40" s="962" t="s">
        <v>584</v>
      </c>
      <c r="F40" s="962"/>
      <c r="G40" s="767"/>
      <c r="H40" s="650"/>
      <c r="I40" s="650"/>
      <c r="J40" s="157"/>
      <c r="K40" s="157"/>
      <c r="L40" s="6"/>
      <c r="M40" s="962" t="s">
        <v>585</v>
      </c>
      <c r="N40" s="962"/>
      <c r="O40" s="768"/>
      <c r="P40" s="185" t="s">
        <v>540</v>
      </c>
      <c r="Q40" s="185"/>
      <c r="R40" s="717" t="s">
        <v>541</v>
      </c>
      <c r="S40" s="185"/>
      <c r="T40" s="6"/>
      <c r="U40" s="6"/>
      <c r="V40" s="716"/>
    </row>
    <row r="41" spans="2:29" s="784" customFormat="1" ht="61.5" customHeight="1">
      <c r="B41" s="436"/>
      <c r="C41" s="769"/>
      <c r="D41" s="758"/>
      <c r="E41" s="770" t="s">
        <v>456</v>
      </c>
      <c r="F41" s="771" t="s">
        <v>586</v>
      </c>
      <c r="G41" s="772"/>
      <c r="H41" s="772"/>
      <c r="I41" s="772"/>
      <c r="J41" s="773"/>
      <c r="K41" s="774" t="s">
        <v>425</v>
      </c>
      <c r="L41" s="775"/>
      <c r="M41" s="776" t="s">
        <v>587</v>
      </c>
      <c r="N41" s="777" t="s">
        <v>588</v>
      </c>
      <c r="O41" s="778" t="s">
        <v>425</v>
      </c>
      <c r="P41" s="727" t="s">
        <v>551</v>
      </c>
      <c r="Q41" s="779"/>
      <c r="R41" s="780" t="str">
        <f>+R8</f>
        <v>Scenario 2</v>
      </c>
      <c r="S41" s="781" t="str">
        <f>+S8</f>
        <v>Scenario 3</v>
      </c>
      <c r="T41" s="781" t="str">
        <f>+T8</f>
        <v>Scenario 4</v>
      </c>
      <c r="U41" s="782" t="s">
        <v>555</v>
      </c>
      <c r="V41" s="783"/>
      <c r="W41" s="772"/>
    </row>
    <row r="42" spans="2:29" ht="13.8" thickBot="1">
      <c r="B42" s="184"/>
      <c r="C42" s="185"/>
      <c r="D42" s="508"/>
      <c r="E42" s="785"/>
      <c r="F42" s="786"/>
      <c r="G42" s="6"/>
      <c r="H42" s="762"/>
      <c r="I42" s="762"/>
      <c r="J42" s="157"/>
      <c r="K42" s="763"/>
      <c r="L42" s="6"/>
      <c r="M42" s="785"/>
      <c r="N42" s="786"/>
      <c r="O42" s="6"/>
      <c r="P42" s="787"/>
      <c r="Q42" s="6"/>
      <c r="R42" s="788"/>
      <c r="S42" s="789"/>
      <c r="T42" s="789"/>
      <c r="U42" s="790"/>
      <c r="V42" s="791"/>
      <c r="W42" s="6"/>
    </row>
    <row r="43" spans="2:29">
      <c r="B43" s="184"/>
      <c r="C43" s="185"/>
      <c r="D43" s="508" t="s">
        <v>589</v>
      </c>
      <c r="E43" s="792">
        <v>1823528</v>
      </c>
      <c r="F43" s="793">
        <f>+E43/8*12</f>
        <v>2735292</v>
      </c>
      <c r="G43" s="764"/>
      <c r="H43" s="764"/>
      <c r="I43" s="764"/>
      <c r="J43" s="157"/>
      <c r="K43" s="763" t="s">
        <v>590</v>
      </c>
      <c r="L43" s="764"/>
      <c r="M43" s="792">
        <f>+M31*12</f>
        <v>2318589.5999999996</v>
      </c>
      <c r="N43" s="793">
        <f>+N31*12</f>
        <v>1905041.6</v>
      </c>
      <c r="O43" s="794" t="s">
        <v>590</v>
      </c>
      <c r="P43" s="795">
        <f>+P31</f>
        <v>1384175</v>
      </c>
      <c r="Q43" s="764"/>
      <c r="R43" s="788">
        <f>+$P43</f>
        <v>1384175</v>
      </c>
      <c r="S43" s="796">
        <v>0</v>
      </c>
      <c r="T43" s="796">
        <v>0</v>
      </c>
      <c r="U43" s="796">
        <v>0</v>
      </c>
      <c r="V43" s="797"/>
      <c r="W43" s="6"/>
      <c r="Z43" s="173"/>
      <c r="AA43" s="798" t="s">
        <v>591</v>
      </c>
      <c r="AB43" s="798" t="s">
        <v>49</v>
      </c>
      <c r="AC43" s="799" t="s">
        <v>447</v>
      </c>
    </row>
    <row r="44" spans="2:29">
      <c r="B44" s="184"/>
      <c r="C44" s="185"/>
      <c r="D44" s="508"/>
      <c r="E44" s="785"/>
      <c r="F44" s="786"/>
      <c r="G44" s="6"/>
      <c r="H44" s="762"/>
      <c r="I44" s="762"/>
      <c r="J44" s="157"/>
      <c r="K44" s="763"/>
      <c r="L44" s="6"/>
      <c r="M44" s="785"/>
      <c r="N44" s="786"/>
      <c r="O44" s="6"/>
      <c r="P44" s="787"/>
      <c r="Q44" s="6"/>
      <c r="R44" s="800"/>
      <c r="S44" s="789"/>
      <c r="T44" s="789"/>
      <c r="U44" s="801"/>
      <c r="V44" s="802"/>
      <c r="W44" s="6"/>
      <c r="Z44" s="176" t="s">
        <v>592</v>
      </c>
      <c r="AA44" s="157">
        <v>1</v>
      </c>
      <c r="AB44" s="157"/>
      <c r="AC44" s="177">
        <v>10000</v>
      </c>
    </row>
    <row r="45" spans="2:29" hidden="1" outlineLevel="1">
      <c r="B45" s="184"/>
      <c r="C45" s="185"/>
      <c r="D45" s="803" t="s">
        <v>593</v>
      </c>
      <c r="E45" s="804">
        <v>8939</v>
      </c>
      <c r="F45" s="805">
        <f>+E45/8*12</f>
        <v>13408.5</v>
      </c>
      <c r="G45" s="806"/>
      <c r="H45" s="806"/>
      <c r="I45" s="806"/>
      <c r="J45" s="157"/>
      <c r="K45" s="763"/>
      <c r="L45" s="569"/>
      <c r="M45" s="807"/>
      <c r="N45" s="808"/>
      <c r="O45" s="569"/>
      <c r="P45" s="809">
        <v>12000</v>
      </c>
      <c r="Q45" s="569"/>
      <c r="R45" s="810">
        <f>1000*12</f>
        <v>12000</v>
      </c>
      <c r="S45" s="811"/>
      <c r="T45" s="811">
        <f>1000*12</f>
        <v>12000</v>
      </c>
      <c r="U45" s="812">
        <f>1000*12</f>
        <v>12000</v>
      </c>
      <c r="V45" s="797"/>
      <c r="Z45" s="176" t="s">
        <v>594</v>
      </c>
      <c r="AA45" s="157"/>
      <c r="AB45" s="157"/>
      <c r="AC45" s="177">
        <v>9000</v>
      </c>
    </row>
    <row r="46" spans="2:29" ht="25.5" hidden="1" customHeight="1" outlineLevel="1">
      <c r="B46" s="184"/>
      <c r="C46" s="185"/>
      <c r="D46" s="803" t="s">
        <v>595</v>
      </c>
      <c r="E46" s="804">
        <f>218940+11979</f>
        <v>230919</v>
      </c>
      <c r="F46" s="805">
        <f>+E46/8*12</f>
        <v>346378.5</v>
      </c>
      <c r="G46" s="806"/>
      <c r="H46" s="806"/>
      <c r="I46" s="806"/>
      <c r="J46" s="157"/>
      <c r="K46" s="763"/>
      <c r="L46" s="569"/>
      <c r="M46" s="807"/>
      <c r="N46" s="808"/>
      <c r="O46" s="569"/>
      <c r="P46" s="809">
        <v>334000</v>
      </c>
      <c r="Q46" s="569"/>
      <c r="R46" s="810" t="e">
        <f>+#REF!</f>
        <v>#REF!</v>
      </c>
      <c r="S46" s="811"/>
      <c r="T46" s="811" t="e">
        <f>+#REF!</f>
        <v>#REF!</v>
      </c>
      <c r="U46" s="812" t="e">
        <f>+#REF!</f>
        <v>#REF!</v>
      </c>
      <c r="V46" s="797"/>
      <c r="Z46" s="176" t="s">
        <v>596</v>
      </c>
      <c r="AA46" s="157"/>
      <c r="AB46" s="157"/>
      <c r="AC46" s="177">
        <v>9000</v>
      </c>
    </row>
    <row r="47" spans="2:29" hidden="1" outlineLevel="1">
      <c r="B47" s="184"/>
      <c r="C47" s="185"/>
      <c r="D47" s="803" t="s">
        <v>141</v>
      </c>
      <c r="E47" s="804">
        <v>17523</v>
      </c>
      <c r="F47" s="805">
        <f>+E47/8*12</f>
        <v>26284.5</v>
      </c>
      <c r="G47" s="806"/>
      <c r="H47" s="806"/>
      <c r="I47" s="806"/>
      <c r="J47" s="157"/>
      <c r="K47" s="763"/>
      <c r="L47" s="569"/>
      <c r="M47" s="807"/>
      <c r="N47" s="808"/>
      <c r="O47" s="569"/>
      <c r="P47" s="809">
        <v>12000</v>
      </c>
      <c r="Q47" s="569"/>
      <c r="R47" s="810">
        <v>12000</v>
      </c>
      <c r="S47" s="811"/>
      <c r="T47" s="811">
        <v>12002</v>
      </c>
      <c r="U47" s="812">
        <v>12003</v>
      </c>
      <c r="V47" s="813"/>
      <c r="Z47" s="176" t="s">
        <v>597</v>
      </c>
      <c r="AA47" s="157">
        <f>5*5</f>
        <v>25</v>
      </c>
      <c r="AB47" s="157">
        <v>185</v>
      </c>
      <c r="AC47" s="177">
        <f t="shared" ref="AC47:AC60" si="3">+AA47*AB47</f>
        <v>4625</v>
      </c>
    </row>
    <row r="48" spans="2:29" ht="20.25" customHeight="1" collapsed="1">
      <c r="B48" s="184"/>
      <c r="C48" s="185"/>
      <c r="D48" s="814" t="s">
        <v>153</v>
      </c>
      <c r="E48" s="815">
        <f>+SUM(E45:E47)</f>
        <v>257381</v>
      </c>
      <c r="F48" s="793">
        <f>+E48/8*12</f>
        <v>386071.5</v>
      </c>
      <c r="G48" s="816"/>
      <c r="H48" s="816"/>
      <c r="I48" s="816"/>
      <c r="J48" s="157"/>
      <c r="K48" s="763" t="s">
        <v>598</v>
      </c>
      <c r="L48" s="570"/>
      <c r="M48" s="817">
        <f>+F48</f>
        <v>386071.5</v>
      </c>
      <c r="N48" s="818">
        <f>+M48</f>
        <v>386071.5</v>
      </c>
      <c r="O48" s="819" t="s">
        <v>599</v>
      </c>
      <c r="P48" s="820">
        <f>+J106</f>
        <v>271775</v>
      </c>
      <c r="Q48" s="570"/>
      <c r="R48" s="788">
        <f>+$P48</f>
        <v>271775</v>
      </c>
      <c r="S48" s="821">
        <v>0</v>
      </c>
      <c r="T48" s="821">
        <v>0</v>
      </c>
      <c r="U48" s="822">
        <v>0</v>
      </c>
      <c r="V48" s="797"/>
      <c r="W48" s="6"/>
      <c r="X48" s="823"/>
      <c r="Y48" s="823"/>
      <c r="Z48" s="176" t="s">
        <v>600</v>
      </c>
      <c r="AA48" s="157">
        <v>5</v>
      </c>
      <c r="AB48" s="157">
        <v>1030</v>
      </c>
      <c r="AC48" s="177">
        <f t="shared" si="3"/>
        <v>5150</v>
      </c>
    </row>
    <row r="49" spans="2:29">
      <c r="B49" s="184"/>
      <c r="C49" s="185"/>
      <c r="D49" s="803"/>
      <c r="E49" s="804"/>
      <c r="F49" s="805"/>
      <c r="G49" s="806"/>
      <c r="H49" s="824"/>
      <c r="I49" s="824"/>
      <c r="J49" s="157"/>
      <c r="K49" s="763"/>
      <c r="L49" s="569"/>
      <c r="M49" s="807"/>
      <c r="N49" s="808"/>
      <c r="O49" s="569"/>
      <c r="P49" s="809"/>
      <c r="Q49" s="569"/>
      <c r="R49" s="810"/>
      <c r="S49" s="811"/>
      <c r="T49" s="811"/>
      <c r="U49" s="812"/>
      <c r="V49" s="813"/>
      <c r="Z49" s="176" t="s">
        <v>601</v>
      </c>
      <c r="AA49" s="157">
        <f>5*45</f>
        <v>225</v>
      </c>
      <c r="AB49" s="157">
        <v>630</v>
      </c>
      <c r="AC49" s="177">
        <f t="shared" si="3"/>
        <v>141750</v>
      </c>
    </row>
    <row r="50" spans="2:29" hidden="1" outlineLevel="1">
      <c r="B50" s="184"/>
      <c r="C50" s="185"/>
      <c r="D50" s="803" t="s">
        <v>602</v>
      </c>
      <c r="E50" s="804"/>
      <c r="F50" s="805"/>
      <c r="G50" s="806"/>
      <c r="H50" s="824"/>
      <c r="I50" s="824"/>
      <c r="J50" s="157"/>
      <c r="K50" s="763"/>
      <c r="L50" s="569"/>
      <c r="M50" s="807">
        <v>0</v>
      </c>
      <c r="N50" s="808">
        <v>0</v>
      </c>
      <c r="O50" s="569"/>
      <c r="P50" s="809">
        <v>0</v>
      </c>
      <c r="Q50" s="569"/>
      <c r="R50" s="810">
        <v>0</v>
      </c>
      <c r="S50" s="811"/>
      <c r="T50" s="811"/>
      <c r="U50" s="812"/>
      <c r="V50" s="813"/>
      <c r="Z50" s="176"/>
      <c r="AA50" s="157"/>
      <c r="AB50" s="157"/>
      <c r="AC50" s="177">
        <f t="shared" si="3"/>
        <v>0</v>
      </c>
    </row>
    <row r="51" spans="2:29" hidden="1" outlineLevel="1">
      <c r="B51" s="184"/>
      <c r="C51" s="185"/>
      <c r="D51" s="803" t="s">
        <v>603</v>
      </c>
      <c r="E51" s="804">
        <v>21016</v>
      </c>
      <c r="F51" s="805">
        <f>+E51/8*12</f>
        <v>31524</v>
      </c>
      <c r="G51" s="806"/>
      <c r="H51" s="824"/>
      <c r="I51" s="824"/>
      <c r="J51" s="157"/>
      <c r="K51" s="763"/>
      <c r="L51" s="569"/>
      <c r="M51" s="807">
        <v>0</v>
      </c>
      <c r="N51" s="808">
        <v>0</v>
      </c>
      <c r="O51" s="569"/>
      <c r="P51" s="809">
        <v>0</v>
      </c>
      <c r="Q51" s="569"/>
      <c r="R51" s="810">
        <v>0</v>
      </c>
      <c r="S51" s="811"/>
      <c r="T51" s="811"/>
      <c r="U51" s="812"/>
      <c r="V51" s="813"/>
      <c r="Z51" s="176"/>
      <c r="AA51" s="157"/>
      <c r="AB51" s="157"/>
      <c r="AC51" s="177">
        <f t="shared" si="3"/>
        <v>0</v>
      </c>
    </row>
    <row r="52" spans="2:29" hidden="1" outlineLevel="1">
      <c r="B52" s="184"/>
      <c r="C52" s="185"/>
      <c r="D52" s="803" t="s">
        <v>604</v>
      </c>
      <c r="E52" s="804"/>
      <c r="F52" s="805"/>
      <c r="G52" s="806"/>
      <c r="H52" s="824"/>
      <c r="I52" s="824"/>
      <c r="J52" s="157"/>
      <c r="K52" s="763"/>
      <c r="L52" s="569"/>
      <c r="M52" s="807">
        <v>0</v>
      </c>
      <c r="N52" s="808">
        <v>0</v>
      </c>
      <c r="O52" s="569"/>
      <c r="P52" s="809">
        <v>0</v>
      </c>
      <c r="Q52" s="569"/>
      <c r="R52" s="810">
        <v>0</v>
      </c>
      <c r="S52" s="811"/>
      <c r="T52" s="811"/>
      <c r="U52" s="812"/>
      <c r="V52" s="813"/>
      <c r="Z52" s="176"/>
      <c r="AA52" s="157"/>
      <c r="AB52" s="157"/>
      <c r="AC52" s="177">
        <f t="shared" si="3"/>
        <v>0</v>
      </c>
    </row>
    <row r="53" spans="2:29" hidden="1" outlineLevel="1">
      <c r="B53" s="184"/>
      <c r="C53" s="185"/>
      <c r="D53" s="803" t="s">
        <v>605</v>
      </c>
      <c r="E53" s="804">
        <v>1018</v>
      </c>
      <c r="F53" s="805">
        <f>+E53/8*12</f>
        <v>1527</v>
      </c>
      <c r="G53" s="806"/>
      <c r="H53" s="824"/>
      <c r="I53" s="824"/>
      <c r="J53" s="157"/>
      <c r="K53" s="763"/>
      <c r="L53" s="569"/>
      <c r="M53" s="807">
        <v>0</v>
      </c>
      <c r="N53" s="808">
        <v>0</v>
      </c>
      <c r="O53" s="569"/>
      <c r="P53" s="809">
        <v>0</v>
      </c>
      <c r="Q53" s="569"/>
      <c r="R53" s="810">
        <v>0</v>
      </c>
      <c r="S53" s="811"/>
      <c r="T53" s="811"/>
      <c r="U53" s="812"/>
      <c r="V53" s="813"/>
      <c r="Z53" s="176"/>
      <c r="AA53" s="157"/>
      <c r="AB53" s="157"/>
      <c r="AC53" s="177">
        <f t="shared" si="3"/>
        <v>0</v>
      </c>
    </row>
    <row r="54" spans="2:29" hidden="1" outlineLevel="1">
      <c r="B54" s="184"/>
      <c r="C54" s="185"/>
      <c r="D54" s="803" t="s">
        <v>606</v>
      </c>
      <c r="E54" s="825">
        <v>5099</v>
      </c>
      <c r="F54" s="805">
        <f>+E54/8*12</f>
        <v>7648.5</v>
      </c>
      <c r="G54" s="824"/>
      <c r="H54" s="824"/>
      <c r="I54" s="824"/>
      <c r="J54" s="157"/>
      <c r="K54" s="763"/>
      <c r="L54" s="569"/>
      <c r="M54" s="825"/>
      <c r="N54" s="826"/>
      <c r="O54" s="824"/>
      <c r="P54" s="827">
        <v>4481.333333333333</v>
      </c>
      <c r="Q54" s="824"/>
      <c r="R54" s="828">
        <f>53776/12</f>
        <v>4481.333333333333</v>
      </c>
      <c r="S54" s="829"/>
      <c r="T54" s="829"/>
      <c r="U54" s="830"/>
      <c r="V54" s="813"/>
      <c r="Z54" s="176"/>
      <c r="AA54" s="157"/>
      <c r="AB54" s="157"/>
      <c r="AC54" s="177">
        <f t="shared" si="3"/>
        <v>0</v>
      </c>
    </row>
    <row r="55" spans="2:29" hidden="1" outlineLevel="1">
      <c r="B55" s="184"/>
      <c r="C55" s="185"/>
      <c r="D55" s="803" t="s">
        <v>607</v>
      </c>
      <c r="E55" s="804"/>
      <c r="F55" s="805"/>
      <c r="G55" s="806"/>
      <c r="H55" s="824"/>
      <c r="I55" s="824"/>
      <c r="J55" s="157"/>
      <c r="K55" s="763"/>
      <c r="L55" s="569"/>
      <c r="M55" s="807">
        <v>0</v>
      </c>
      <c r="N55" s="808">
        <v>0</v>
      </c>
      <c r="O55" s="569"/>
      <c r="P55" s="809">
        <v>0</v>
      </c>
      <c r="Q55" s="569"/>
      <c r="R55" s="810">
        <v>0</v>
      </c>
      <c r="S55" s="811"/>
      <c r="T55" s="811"/>
      <c r="U55" s="812"/>
      <c r="V55" s="813"/>
      <c r="Z55" s="176"/>
      <c r="AA55" s="157"/>
      <c r="AB55" s="157"/>
      <c r="AC55" s="177">
        <f t="shared" si="3"/>
        <v>0</v>
      </c>
    </row>
    <row r="56" spans="2:29" hidden="1" outlineLevel="1">
      <c r="B56" s="184"/>
      <c r="C56" s="185"/>
      <c r="D56" s="803" t="s">
        <v>608</v>
      </c>
      <c r="E56" s="804"/>
      <c r="F56" s="805"/>
      <c r="G56" s="806"/>
      <c r="H56" s="824"/>
      <c r="I56" s="824"/>
      <c r="J56" s="157"/>
      <c r="K56" s="763"/>
      <c r="L56" s="569"/>
      <c r="M56" s="807">
        <v>0</v>
      </c>
      <c r="N56" s="808">
        <v>0</v>
      </c>
      <c r="O56" s="569"/>
      <c r="P56" s="809">
        <v>0</v>
      </c>
      <c r="Q56" s="569"/>
      <c r="R56" s="810">
        <v>0</v>
      </c>
      <c r="S56" s="811"/>
      <c r="T56" s="811"/>
      <c r="U56" s="812"/>
      <c r="V56" s="813"/>
      <c r="Z56" s="176"/>
      <c r="AA56" s="157"/>
      <c r="AB56" s="157"/>
      <c r="AC56" s="177">
        <f t="shared" si="3"/>
        <v>0</v>
      </c>
    </row>
    <row r="57" spans="2:29" hidden="1" outlineLevel="1">
      <c r="B57" s="184"/>
      <c r="C57" s="185"/>
      <c r="D57" s="803" t="s">
        <v>609</v>
      </c>
      <c r="E57" s="804"/>
      <c r="F57" s="805"/>
      <c r="G57" s="806"/>
      <c r="H57" s="824"/>
      <c r="I57" s="824"/>
      <c r="J57" s="157"/>
      <c r="K57" s="763"/>
      <c r="L57" s="569"/>
      <c r="M57" s="807">
        <v>0</v>
      </c>
      <c r="N57" s="808">
        <v>0</v>
      </c>
      <c r="O57" s="569"/>
      <c r="P57" s="809">
        <v>0</v>
      </c>
      <c r="Q57" s="569"/>
      <c r="R57" s="810">
        <v>0</v>
      </c>
      <c r="S57" s="811"/>
      <c r="T57" s="811"/>
      <c r="U57" s="812"/>
      <c r="V57" s="813"/>
      <c r="Z57" s="176"/>
      <c r="AA57" s="157"/>
      <c r="AB57" s="157"/>
      <c r="AC57" s="177">
        <f t="shared" si="3"/>
        <v>0</v>
      </c>
    </row>
    <row r="58" spans="2:29" hidden="1" outlineLevel="1">
      <c r="B58" s="184"/>
      <c r="C58" s="185"/>
      <c r="D58" s="803" t="s">
        <v>610</v>
      </c>
      <c r="E58" s="804"/>
      <c r="F58" s="805"/>
      <c r="G58" s="806"/>
      <c r="H58" s="824"/>
      <c r="I58" s="824"/>
      <c r="J58" s="157"/>
      <c r="K58" s="763"/>
      <c r="L58" s="569"/>
      <c r="M58" s="807">
        <v>0</v>
      </c>
      <c r="N58" s="808">
        <v>0</v>
      </c>
      <c r="O58" s="569"/>
      <c r="P58" s="809">
        <v>0</v>
      </c>
      <c r="Q58" s="569"/>
      <c r="R58" s="810">
        <v>0</v>
      </c>
      <c r="S58" s="811"/>
      <c r="T58" s="811"/>
      <c r="U58" s="812"/>
      <c r="V58" s="813"/>
      <c r="Z58" s="176"/>
      <c r="AA58" s="157"/>
      <c r="AB58" s="157"/>
      <c r="AC58" s="177">
        <f t="shared" si="3"/>
        <v>0</v>
      </c>
    </row>
    <row r="59" spans="2:29" hidden="1" outlineLevel="1">
      <c r="B59" s="184"/>
      <c r="C59" s="185"/>
      <c r="D59" s="831" t="s">
        <v>611</v>
      </c>
      <c r="E59" s="804">
        <v>7959</v>
      </c>
      <c r="F59" s="805">
        <f>+E59/8*12</f>
        <v>11938.5</v>
      </c>
      <c r="G59" s="806"/>
      <c r="H59" s="824"/>
      <c r="I59" s="824"/>
      <c r="J59" s="157"/>
      <c r="K59" s="763"/>
      <c r="L59" s="569"/>
      <c r="M59" s="807">
        <v>0</v>
      </c>
      <c r="N59" s="808">
        <v>0</v>
      </c>
      <c r="O59" s="569"/>
      <c r="P59" s="809">
        <v>0</v>
      </c>
      <c r="Q59" s="569"/>
      <c r="R59" s="810">
        <v>0</v>
      </c>
      <c r="S59" s="811"/>
      <c r="T59" s="811"/>
      <c r="U59" s="812"/>
      <c r="V59" s="813"/>
      <c r="Z59" s="176"/>
      <c r="AA59" s="157"/>
      <c r="AB59" s="157"/>
      <c r="AC59" s="177">
        <f t="shared" si="3"/>
        <v>0</v>
      </c>
    </row>
    <row r="60" spans="2:29" collapsed="1">
      <c r="B60" s="184"/>
      <c r="C60" s="185"/>
      <c r="D60" s="814" t="s">
        <v>155</v>
      </c>
      <c r="E60" s="815">
        <f>+SUM(E49:E59)-21000</f>
        <v>14092</v>
      </c>
      <c r="F60" s="793">
        <f>+E60/8*12</f>
        <v>21138</v>
      </c>
      <c r="G60" s="816"/>
      <c r="H60" s="832"/>
      <c r="I60" s="832"/>
      <c r="J60" s="157"/>
      <c r="K60" s="763" t="s">
        <v>598</v>
      </c>
      <c r="L60" s="570"/>
      <c r="M60" s="817">
        <f>+F60</f>
        <v>21138</v>
      </c>
      <c r="N60" s="818">
        <f>+M60</f>
        <v>21138</v>
      </c>
      <c r="O60" s="819" t="s">
        <v>612</v>
      </c>
      <c r="P60" s="820">
        <v>4481.333333333333</v>
      </c>
      <c r="Q60" s="570"/>
      <c r="R60" s="788">
        <f>+$P$60</f>
        <v>4481.333333333333</v>
      </c>
      <c r="S60" s="821">
        <v>0</v>
      </c>
      <c r="T60" s="821">
        <v>0</v>
      </c>
      <c r="U60" s="822">
        <v>0</v>
      </c>
      <c r="V60" s="797"/>
      <c r="W60" s="6"/>
      <c r="Z60" s="176" t="s">
        <v>613</v>
      </c>
      <c r="AA60" s="157">
        <f>2*5*45</f>
        <v>450</v>
      </c>
      <c r="AB60" s="157">
        <v>205</v>
      </c>
      <c r="AC60" s="177">
        <f t="shared" si="3"/>
        <v>92250</v>
      </c>
    </row>
    <row r="61" spans="2:29" ht="13.8" thickBot="1">
      <c r="B61" s="184"/>
      <c r="C61" s="185"/>
      <c r="D61" s="803"/>
      <c r="E61" s="804"/>
      <c r="F61" s="805"/>
      <c r="G61" s="806"/>
      <c r="H61" s="824"/>
      <c r="I61" s="824"/>
      <c r="J61" s="157"/>
      <c r="K61" s="763"/>
      <c r="L61" s="569"/>
      <c r="M61" s="807"/>
      <c r="N61" s="808"/>
      <c r="O61" s="569"/>
      <c r="P61" s="809"/>
      <c r="Q61" s="569"/>
      <c r="R61" s="810"/>
      <c r="S61" s="811"/>
      <c r="T61" s="811"/>
      <c r="U61" s="812"/>
      <c r="V61" s="813"/>
      <c r="Z61" s="702" t="s">
        <v>447</v>
      </c>
      <c r="AA61" s="703"/>
      <c r="AB61" s="703"/>
      <c r="AC61" s="833">
        <f>SUM(AC44:AC60)</f>
        <v>271775</v>
      </c>
    </row>
    <row r="62" spans="2:29" hidden="1" outlineLevel="1">
      <c r="B62" s="184"/>
      <c r="C62" s="185"/>
      <c r="D62" s="803" t="s">
        <v>614</v>
      </c>
      <c r="E62" s="804"/>
      <c r="F62" s="805"/>
      <c r="G62" s="806"/>
      <c r="H62" s="824"/>
      <c r="I62" s="824"/>
      <c r="J62" s="157"/>
      <c r="K62" s="763"/>
      <c r="L62" s="569"/>
      <c r="M62" s="807">
        <v>0</v>
      </c>
      <c r="N62" s="808">
        <v>0</v>
      </c>
      <c r="O62" s="569"/>
      <c r="P62" s="809">
        <v>0</v>
      </c>
      <c r="Q62" s="569"/>
      <c r="R62" s="810">
        <v>0</v>
      </c>
      <c r="S62" s="811"/>
      <c r="T62" s="811"/>
      <c r="U62" s="812"/>
      <c r="V62" s="813"/>
    </row>
    <row r="63" spans="2:29" hidden="1" outlineLevel="1">
      <c r="B63" s="184"/>
      <c r="C63" s="185"/>
      <c r="D63" s="803" t="s">
        <v>615</v>
      </c>
      <c r="E63" s="804"/>
      <c r="F63" s="805"/>
      <c r="G63" s="806"/>
      <c r="H63" s="824"/>
      <c r="I63" s="824"/>
      <c r="J63" s="157"/>
      <c r="K63" s="763"/>
      <c r="L63" s="569"/>
      <c r="M63" s="807">
        <v>0</v>
      </c>
      <c r="N63" s="808">
        <v>0</v>
      </c>
      <c r="O63" s="569"/>
      <c r="P63" s="809">
        <v>0</v>
      </c>
      <c r="Q63" s="569"/>
      <c r="R63" s="810">
        <v>0</v>
      </c>
      <c r="S63" s="811"/>
      <c r="T63" s="811"/>
      <c r="U63" s="812"/>
      <c r="V63" s="813"/>
    </row>
    <row r="64" spans="2:29" hidden="1" outlineLevel="1">
      <c r="B64" s="184"/>
      <c r="C64" s="185"/>
      <c r="D64" s="803" t="s">
        <v>616</v>
      </c>
      <c r="E64" s="804"/>
      <c r="F64" s="805"/>
      <c r="G64" s="806"/>
      <c r="H64" s="824"/>
      <c r="I64" s="824"/>
      <c r="J64" s="157"/>
      <c r="K64" s="763"/>
      <c r="L64" s="569"/>
      <c r="M64" s="807">
        <v>0</v>
      </c>
      <c r="N64" s="808">
        <v>0</v>
      </c>
      <c r="O64" s="569"/>
      <c r="P64" s="809">
        <v>0</v>
      </c>
      <c r="Q64" s="569"/>
      <c r="R64" s="810">
        <v>0</v>
      </c>
      <c r="S64" s="811"/>
      <c r="T64" s="811"/>
      <c r="U64" s="812"/>
      <c r="V64" s="813"/>
    </row>
    <row r="65" spans="2:23" hidden="1" outlineLevel="1">
      <c r="B65" s="184"/>
      <c r="C65" s="185"/>
      <c r="D65" s="803" t="s">
        <v>617</v>
      </c>
      <c r="E65" s="804"/>
      <c r="F65" s="805"/>
      <c r="G65" s="806"/>
      <c r="H65" s="824"/>
      <c r="I65" s="824"/>
      <c r="J65" s="157"/>
      <c r="K65" s="763"/>
      <c r="L65" s="569"/>
      <c r="M65" s="807">
        <v>0</v>
      </c>
      <c r="N65" s="808">
        <v>0</v>
      </c>
      <c r="O65" s="569"/>
      <c r="P65" s="809">
        <v>0</v>
      </c>
      <c r="Q65" s="569"/>
      <c r="R65" s="810">
        <v>0</v>
      </c>
      <c r="S65" s="811"/>
      <c r="T65" s="811"/>
      <c r="U65" s="812"/>
      <c r="V65" s="813"/>
    </row>
    <row r="66" spans="2:23" hidden="1" outlineLevel="1">
      <c r="B66" s="184"/>
      <c r="C66" s="185"/>
      <c r="D66" s="803" t="s">
        <v>618</v>
      </c>
      <c r="E66" s="804"/>
      <c r="F66" s="805"/>
      <c r="G66" s="806"/>
      <c r="H66" s="824"/>
      <c r="I66" s="824"/>
      <c r="J66" s="157"/>
      <c r="K66" s="763"/>
      <c r="L66" s="569"/>
      <c r="M66" s="807">
        <v>0</v>
      </c>
      <c r="N66" s="808">
        <v>0</v>
      </c>
      <c r="O66" s="569"/>
      <c r="P66" s="809">
        <v>0</v>
      </c>
      <c r="Q66" s="569"/>
      <c r="R66" s="810">
        <v>0</v>
      </c>
      <c r="S66" s="811"/>
      <c r="T66" s="811"/>
      <c r="U66" s="812"/>
      <c r="V66" s="797"/>
    </row>
    <row r="67" spans="2:23" hidden="1" outlineLevel="1">
      <c r="B67" s="184"/>
      <c r="C67" s="185"/>
      <c r="D67" s="803" t="s">
        <v>619</v>
      </c>
      <c r="E67" s="825">
        <f>+'[2]Consultancy &amp; Legal'!Z27</f>
        <v>711362.24999999988</v>
      </c>
      <c r="F67" s="805">
        <f>+E67/8*12</f>
        <v>1067043.3749999998</v>
      </c>
      <c r="G67" s="824"/>
      <c r="H67" s="824"/>
      <c r="I67" s="824"/>
      <c r="J67" s="157"/>
      <c r="K67" s="763"/>
      <c r="L67" s="569"/>
      <c r="M67" s="825"/>
      <c r="N67" s="826"/>
      <c r="O67" s="824"/>
      <c r="P67" s="827">
        <v>500000</v>
      </c>
      <c r="Q67" s="824"/>
      <c r="R67" s="828" t="e">
        <f>+#REF!</f>
        <v>#REF!</v>
      </c>
      <c r="S67" s="829"/>
      <c r="T67" s="829"/>
      <c r="U67" s="830"/>
      <c r="V67" s="797"/>
    </row>
    <row r="68" spans="2:23" collapsed="1">
      <c r="B68" s="184"/>
      <c r="C68" s="185"/>
      <c r="D68" s="814" t="s">
        <v>159</v>
      </c>
      <c r="E68" s="815">
        <f>+'[2]Consultancy &amp; Legal'!Y27</f>
        <v>840666.26000000013</v>
      </c>
      <c r="F68" s="793">
        <f>+E68/8*12</f>
        <v>1260999.3900000001</v>
      </c>
      <c r="G68" s="816"/>
      <c r="H68" s="832"/>
      <c r="I68" s="832"/>
      <c r="J68" s="157"/>
      <c r="K68" s="763" t="s">
        <v>598</v>
      </c>
      <c r="L68" s="570"/>
      <c r="M68" s="817">
        <f>+F68</f>
        <v>1260999.3900000001</v>
      </c>
      <c r="N68" s="818">
        <f>+M68</f>
        <v>1260999.3900000001</v>
      </c>
      <c r="O68" s="819" t="s">
        <v>620</v>
      </c>
      <c r="P68" s="820">
        <v>527000</v>
      </c>
      <c r="Q68" s="570"/>
      <c r="R68" s="788">
        <f>+$P$68</f>
        <v>527000</v>
      </c>
      <c r="S68" s="821">
        <v>0</v>
      </c>
      <c r="T68" s="821">
        <v>0</v>
      </c>
      <c r="U68" s="822">
        <v>0</v>
      </c>
      <c r="V68" s="797"/>
      <c r="W68" s="6"/>
    </row>
    <row r="69" spans="2:23">
      <c r="B69" s="184"/>
      <c r="C69" s="185"/>
      <c r="D69" s="803"/>
      <c r="E69" s="804"/>
      <c r="F69" s="805"/>
      <c r="G69" s="806"/>
      <c r="H69" s="824"/>
      <c r="I69" s="824"/>
      <c r="J69" s="157"/>
      <c r="K69" s="763"/>
      <c r="L69" s="569"/>
      <c r="M69" s="807"/>
      <c r="N69" s="808"/>
      <c r="O69" s="569"/>
      <c r="P69" s="809"/>
      <c r="Q69" s="569"/>
      <c r="R69" s="810"/>
      <c r="S69" s="811"/>
      <c r="T69" s="811"/>
      <c r="U69" s="812"/>
      <c r="V69" s="813"/>
    </row>
    <row r="70" spans="2:23" hidden="1" outlineLevel="1">
      <c r="B70" s="184"/>
      <c r="C70" s="185"/>
      <c r="D70" s="803" t="s">
        <v>621</v>
      </c>
      <c r="E70" s="804"/>
      <c r="F70" s="805"/>
      <c r="G70" s="806"/>
      <c r="H70" s="824"/>
      <c r="I70" s="824"/>
      <c r="J70" s="157"/>
      <c r="K70" s="763"/>
      <c r="L70" s="569"/>
      <c r="M70" s="807">
        <v>0</v>
      </c>
      <c r="N70" s="808">
        <v>0</v>
      </c>
      <c r="O70" s="569"/>
      <c r="P70" s="809">
        <v>0</v>
      </c>
      <c r="Q70" s="569"/>
      <c r="R70" s="810">
        <v>0</v>
      </c>
      <c r="S70" s="811"/>
      <c r="T70" s="811"/>
      <c r="U70" s="812"/>
      <c r="V70" s="813"/>
    </row>
    <row r="71" spans="2:23" hidden="1" outlineLevel="1">
      <c r="B71" s="184"/>
      <c r="C71" s="185"/>
      <c r="D71" s="803" t="s">
        <v>622</v>
      </c>
      <c r="E71" s="804"/>
      <c r="F71" s="805"/>
      <c r="G71" s="806"/>
      <c r="H71" s="824"/>
      <c r="I71" s="824"/>
      <c r="J71" s="157"/>
      <c r="K71" s="763"/>
      <c r="L71" s="569"/>
      <c r="M71" s="807">
        <v>0</v>
      </c>
      <c r="N71" s="808">
        <v>0</v>
      </c>
      <c r="O71" s="569"/>
      <c r="P71" s="809">
        <v>0</v>
      </c>
      <c r="Q71" s="569"/>
      <c r="R71" s="810">
        <v>0</v>
      </c>
      <c r="S71" s="811"/>
      <c r="T71" s="811"/>
      <c r="U71" s="812"/>
      <c r="V71" s="813"/>
    </row>
    <row r="72" spans="2:23" hidden="1" outlineLevel="1">
      <c r="B72" s="184"/>
      <c r="C72" s="185"/>
      <c r="D72" s="803" t="s">
        <v>623</v>
      </c>
      <c r="E72" s="804">
        <f>+'[2]Consultancy &amp; Legal'!Z40</f>
        <v>355976.28</v>
      </c>
      <c r="F72" s="805">
        <f>+E72/8*12</f>
        <v>533964.42000000004</v>
      </c>
      <c r="G72" s="806"/>
      <c r="H72" s="806"/>
      <c r="I72" s="806"/>
      <c r="J72" s="157"/>
      <c r="K72" s="763"/>
      <c r="L72" s="569"/>
      <c r="M72" s="807"/>
      <c r="N72" s="808"/>
      <c r="O72" s="569"/>
      <c r="P72" s="809">
        <v>260000</v>
      </c>
      <c r="Q72" s="569"/>
      <c r="R72" s="810" t="e">
        <f>+#REF!</f>
        <v>#REF!</v>
      </c>
      <c r="S72" s="811"/>
      <c r="T72" s="811"/>
      <c r="U72" s="812"/>
      <c r="V72" s="797"/>
      <c r="W72" s="6"/>
    </row>
    <row r="73" spans="2:23" collapsed="1">
      <c r="B73" s="184"/>
      <c r="C73" s="185"/>
      <c r="D73" s="814" t="s">
        <v>624</v>
      </c>
      <c r="E73" s="815">
        <v>255710</v>
      </c>
      <c r="F73" s="793">
        <f>+E73/8*12</f>
        <v>383565</v>
      </c>
      <c r="G73" s="816"/>
      <c r="H73" s="832"/>
      <c r="I73" s="832"/>
      <c r="J73" s="157"/>
      <c r="K73" s="763" t="s">
        <v>598</v>
      </c>
      <c r="L73" s="570"/>
      <c r="M73" s="817">
        <f>+F73</f>
        <v>383565</v>
      </c>
      <c r="N73" s="818">
        <f>+M73</f>
        <v>383565</v>
      </c>
      <c r="O73" s="819" t="s">
        <v>625</v>
      </c>
      <c r="P73" s="820">
        <f>+'[2]Consultancy &amp; Legal'!AE40</f>
        <v>245000</v>
      </c>
      <c r="Q73" s="570"/>
      <c r="R73" s="788">
        <f>+$P$73</f>
        <v>245000</v>
      </c>
      <c r="S73" s="821">
        <v>0</v>
      </c>
      <c r="T73" s="821">
        <v>0</v>
      </c>
      <c r="U73" s="822">
        <v>0</v>
      </c>
      <c r="V73" s="802"/>
      <c r="W73" s="508"/>
    </row>
    <row r="74" spans="2:23">
      <c r="B74" s="184"/>
      <c r="C74" s="185"/>
      <c r="D74" s="803"/>
      <c r="E74" s="804"/>
      <c r="F74" s="805"/>
      <c r="G74" s="806"/>
      <c r="H74" s="824"/>
      <c r="I74" s="824"/>
      <c r="J74" s="157"/>
      <c r="K74" s="763"/>
      <c r="L74" s="569"/>
      <c r="M74" s="807"/>
      <c r="N74" s="808"/>
      <c r="O74" s="569"/>
      <c r="P74" s="809"/>
      <c r="Q74" s="569"/>
      <c r="R74" s="810"/>
      <c r="S74" s="811"/>
      <c r="T74" s="811"/>
      <c r="U74" s="812"/>
      <c r="V74" s="813"/>
    </row>
    <row r="75" spans="2:23" hidden="1" outlineLevel="1">
      <c r="B75" s="184"/>
      <c r="C75" s="185"/>
      <c r="D75" s="803" t="s">
        <v>626</v>
      </c>
      <c r="E75" s="804"/>
      <c r="F75" s="805"/>
      <c r="G75" s="806"/>
      <c r="H75" s="824"/>
      <c r="I75" s="824"/>
      <c r="J75" s="157"/>
      <c r="K75" s="763"/>
      <c r="L75" s="569"/>
      <c r="M75" s="807">
        <v>0</v>
      </c>
      <c r="N75" s="808">
        <v>0</v>
      </c>
      <c r="O75" s="569"/>
      <c r="P75" s="809">
        <v>0</v>
      </c>
      <c r="Q75" s="569"/>
      <c r="R75" s="810">
        <v>0</v>
      </c>
      <c r="S75" s="811"/>
      <c r="T75" s="811"/>
      <c r="U75" s="812"/>
      <c r="V75" s="813"/>
    </row>
    <row r="76" spans="2:23" hidden="1" outlineLevel="1">
      <c r="B76" s="184"/>
      <c r="C76" s="185"/>
      <c r="D76" s="803" t="s">
        <v>627</v>
      </c>
      <c r="E76" s="804">
        <v>104658</v>
      </c>
      <c r="F76" s="805">
        <f>+E76/8*12</f>
        <v>156987</v>
      </c>
      <c r="G76" s="806"/>
      <c r="H76" s="806"/>
      <c r="I76" s="806"/>
      <c r="J76" s="157"/>
      <c r="K76" s="763"/>
      <c r="L76" s="569"/>
      <c r="M76" s="807"/>
      <c r="N76" s="808"/>
      <c r="O76" s="569"/>
      <c r="P76" s="809">
        <v>104136</v>
      </c>
      <c r="Q76" s="569"/>
      <c r="R76" s="810" t="e">
        <f>+#REF!</f>
        <v>#REF!</v>
      </c>
      <c r="S76" s="811"/>
      <c r="T76" s="811"/>
      <c r="U76" s="812"/>
      <c r="V76" s="797"/>
      <c r="W76" s="6"/>
    </row>
    <row r="77" spans="2:23" ht="26.4" collapsed="1">
      <c r="B77" s="184"/>
      <c r="C77" s="185"/>
      <c r="D77" s="814" t="s">
        <v>628</v>
      </c>
      <c r="E77" s="815">
        <v>108346</v>
      </c>
      <c r="F77" s="793">
        <f>+E77/8*12</f>
        <v>162519</v>
      </c>
      <c r="G77" s="816"/>
      <c r="H77" s="832"/>
      <c r="I77" s="832"/>
      <c r="J77" s="157"/>
      <c r="K77" s="763" t="s">
        <v>598</v>
      </c>
      <c r="L77" s="570"/>
      <c r="M77" s="817">
        <f>+F77</f>
        <v>162519</v>
      </c>
      <c r="N77" s="818">
        <f>+M77</f>
        <v>162519</v>
      </c>
      <c r="O77" s="834" t="s">
        <v>629</v>
      </c>
      <c r="P77" s="820">
        <v>100000</v>
      </c>
      <c r="Q77" s="570"/>
      <c r="R77" s="788">
        <v>0</v>
      </c>
      <c r="S77" s="821">
        <v>0</v>
      </c>
      <c r="T77" s="821">
        <v>0</v>
      </c>
      <c r="U77" s="822">
        <v>0</v>
      </c>
      <c r="V77" s="802"/>
      <c r="W77" s="508"/>
    </row>
    <row r="78" spans="2:23">
      <c r="B78" s="184"/>
      <c r="C78" s="185"/>
      <c r="D78" s="803"/>
      <c r="E78" s="804"/>
      <c r="F78" s="805"/>
      <c r="G78" s="806"/>
      <c r="H78" s="824"/>
      <c r="I78" s="824"/>
      <c r="J78" s="157"/>
      <c r="K78" s="763"/>
      <c r="L78" s="569"/>
      <c r="M78" s="807"/>
      <c r="N78" s="808"/>
      <c r="O78" s="569"/>
      <c r="P78" s="809"/>
      <c r="Q78" s="569"/>
      <c r="R78" s="810"/>
      <c r="S78" s="811"/>
      <c r="T78" s="811"/>
      <c r="U78" s="812"/>
      <c r="V78" s="813"/>
    </row>
    <row r="79" spans="2:23" hidden="1" outlineLevel="1">
      <c r="B79" s="184"/>
      <c r="C79" s="185"/>
      <c r="D79" s="803" t="s">
        <v>630</v>
      </c>
      <c r="E79" s="804">
        <f>1050+3297-3411</f>
        <v>936</v>
      </c>
      <c r="F79" s="805">
        <f>+E79/8*12</f>
        <v>1404</v>
      </c>
      <c r="G79" s="806"/>
      <c r="H79" s="824"/>
      <c r="I79" s="824"/>
      <c r="J79" s="157"/>
      <c r="K79" s="763"/>
      <c r="L79" s="569"/>
      <c r="M79" s="807">
        <v>0</v>
      </c>
      <c r="N79" s="808">
        <v>0</v>
      </c>
      <c r="O79" s="569"/>
      <c r="P79" s="809">
        <v>0</v>
      </c>
      <c r="Q79" s="569"/>
      <c r="R79" s="810">
        <v>0</v>
      </c>
      <c r="S79" s="811"/>
      <c r="T79" s="811"/>
      <c r="U79" s="812"/>
      <c r="V79" s="813"/>
    </row>
    <row r="80" spans="2:23" hidden="1" outlineLevel="1">
      <c r="B80" s="184"/>
      <c r="C80" s="185"/>
      <c r="D80" s="803" t="s">
        <v>631</v>
      </c>
      <c r="E80" s="804">
        <v>104658</v>
      </c>
      <c r="F80" s="805">
        <f>+E80/8*12</f>
        <v>156987</v>
      </c>
      <c r="G80" s="806"/>
      <c r="H80" s="824"/>
      <c r="I80" s="824"/>
      <c r="J80" s="157"/>
      <c r="K80" s="763"/>
      <c r="L80" s="569"/>
      <c r="M80" s="807"/>
      <c r="N80" s="808"/>
      <c r="O80" s="569"/>
      <c r="P80" s="809">
        <v>105882.18</v>
      </c>
      <c r="Q80" s="569"/>
      <c r="R80" s="810" t="e">
        <f>+#REF!</f>
        <v>#REF!</v>
      </c>
      <c r="S80" s="811"/>
      <c r="T80" s="811"/>
      <c r="U80" s="812"/>
      <c r="V80" s="813"/>
    </row>
    <row r="81" spans="2:23" hidden="1" outlineLevel="1">
      <c r="B81" s="184"/>
      <c r="C81" s="185"/>
      <c r="D81" s="803" t="s">
        <v>632</v>
      </c>
      <c r="E81" s="804"/>
      <c r="F81" s="805"/>
      <c r="G81" s="806"/>
      <c r="H81" s="806"/>
      <c r="I81" s="806"/>
      <c r="J81" s="157"/>
      <c r="K81" s="763"/>
      <c r="L81" s="569"/>
      <c r="M81" s="807">
        <v>0</v>
      </c>
      <c r="N81" s="808">
        <v>0</v>
      </c>
      <c r="O81" s="569"/>
      <c r="P81" s="809">
        <v>0</v>
      </c>
      <c r="Q81" s="569"/>
      <c r="R81" s="810">
        <v>0</v>
      </c>
      <c r="S81" s="811"/>
      <c r="T81" s="811"/>
      <c r="U81" s="812"/>
      <c r="V81" s="797"/>
    </row>
    <row r="82" spans="2:23" hidden="1" outlineLevel="1">
      <c r="B82" s="184"/>
      <c r="C82" s="185"/>
      <c r="D82" s="803" t="s">
        <v>633</v>
      </c>
      <c r="E82" s="804"/>
      <c r="F82" s="805"/>
      <c r="G82" s="806"/>
      <c r="H82" s="806"/>
      <c r="I82" s="806"/>
      <c r="J82" s="157"/>
      <c r="K82" s="763"/>
      <c r="L82" s="569"/>
      <c r="M82" s="807">
        <v>0</v>
      </c>
      <c r="N82" s="808">
        <v>0</v>
      </c>
      <c r="O82" s="569"/>
      <c r="P82" s="809">
        <v>0</v>
      </c>
      <c r="Q82" s="569"/>
      <c r="R82" s="810">
        <v>0</v>
      </c>
      <c r="S82" s="811"/>
      <c r="T82" s="811"/>
      <c r="U82" s="812"/>
      <c r="V82" s="797"/>
    </row>
    <row r="83" spans="2:23" hidden="1" outlineLevel="1">
      <c r="B83" s="184"/>
      <c r="C83" s="185"/>
      <c r="D83" s="803" t="s">
        <v>634</v>
      </c>
      <c r="E83" s="804">
        <v>35319</v>
      </c>
      <c r="F83" s="805">
        <f>+E83/8*12</f>
        <v>52978.5</v>
      </c>
      <c r="G83" s="806"/>
      <c r="H83" s="824"/>
      <c r="I83" s="824"/>
      <c r="J83" s="157"/>
      <c r="K83" s="763"/>
      <c r="L83" s="569"/>
      <c r="M83" s="807"/>
      <c r="N83" s="808"/>
      <c r="O83" s="569"/>
      <c r="P83" s="809">
        <v>10000</v>
      </c>
      <c r="Q83" s="569"/>
      <c r="R83" s="810" t="e">
        <f>+#REF!*R32</f>
        <v>#REF!</v>
      </c>
      <c r="S83" s="811"/>
      <c r="T83" s="811"/>
      <c r="U83" s="812"/>
      <c r="V83" s="813"/>
    </row>
    <row r="84" spans="2:23" hidden="1" outlineLevel="1">
      <c r="B84" s="184"/>
      <c r="C84" s="185"/>
      <c r="D84" s="803" t="s">
        <v>134</v>
      </c>
      <c r="E84" s="804">
        <v>9868</v>
      </c>
      <c r="F84" s="805">
        <f>+E84/8*12</f>
        <v>14802</v>
      </c>
      <c r="G84" s="806"/>
      <c r="H84" s="824"/>
      <c r="I84" s="824"/>
      <c r="J84" s="157"/>
      <c r="K84" s="763"/>
      <c r="L84" s="569"/>
      <c r="M84" s="807">
        <v>0</v>
      </c>
      <c r="N84" s="808">
        <v>0</v>
      </c>
      <c r="O84" s="569"/>
      <c r="P84" s="809">
        <v>0</v>
      </c>
      <c r="Q84" s="569"/>
      <c r="R84" s="810">
        <v>0</v>
      </c>
      <c r="S84" s="811"/>
      <c r="T84" s="811"/>
      <c r="U84" s="812"/>
      <c r="V84" s="813"/>
    </row>
    <row r="85" spans="2:23" hidden="1" outlineLevel="1">
      <c r="B85" s="184"/>
      <c r="C85" s="185"/>
      <c r="D85" s="803" t="s">
        <v>635</v>
      </c>
      <c r="E85" s="804">
        <v>1904</v>
      </c>
      <c r="F85" s="805">
        <f>+E85/8*12</f>
        <v>2856</v>
      </c>
      <c r="G85" s="806"/>
      <c r="H85" s="824"/>
      <c r="I85" s="824"/>
      <c r="J85" s="157"/>
      <c r="K85" s="763"/>
      <c r="L85" s="569"/>
      <c r="M85" s="807">
        <v>0</v>
      </c>
      <c r="N85" s="808">
        <v>0</v>
      </c>
      <c r="O85" s="569"/>
      <c r="P85" s="809">
        <v>0</v>
      </c>
      <c r="Q85" s="569"/>
      <c r="R85" s="810">
        <v>0</v>
      </c>
      <c r="S85" s="811"/>
      <c r="T85" s="811"/>
      <c r="U85" s="812"/>
      <c r="V85" s="813"/>
    </row>
    <row r="86" spans="2:23" hidden="1" outlineLevel="1">
      <c r="B86" s="184"/>
      <c r="C86" s="185"/>
      <c r="D86" s="803" t="s">
        <v>137</v>
      </c>
      <c r="E86" s="804">
        <f>156303-152685</f>
        <v>3618</v>
      </c>
      <c r="F86" s="805">
        <f>+E86/8*12</f>
        <v>5427</v>
      </c>
      <c r="G86" s="806"/>
      <c r="H86" s="806"/>
      <c r="I86" s="806"/>
      <c r="J86" s="157"/>
      <c r="K86" s="763"/>
      <c r="L86" s="569"/>
      <c r="M86" s="807">
        <v>0</v>
      </c>
      <c r="N86" s="808">
        <v>0</v>
      </c>
      <c r="O86" s="569"/>
      <c r="P86" s="809">
        <v>0</v>
      </c>
      <c r="Q86" s="569"/>
      <c r="R86" s="810">
        <v>0</v>
      </c>
      <c r="S86" s="811"/>
      <c r="T86" s="811"/>
      <c r="U86" s="812"/>
      <c r="V86" s="797"/>
    </row>
    <row r="87" spans="2:23" collapsed="1">
      <c r="B87" s="184"/>
      <c r="C87" s="185"/>
      <c r="D87" s="814" t="s">
        <v>636</v>
      </c>
      <c r="E87" s="815">
        <f>+SUM(E79:E86)</f>
        <v>156303</v>
      </c>
      <c r="F87" s="793">
        <v>195750</v>
      </c>
      <c r="G87" s="816"/>
      <c r="H87" s="832"/>
      <c r="I87" s="832"/>
      <c r="J87" s="157"/>
      <c r="K87" s="763" t="s">
        <v>598</v>
      </c>
      <c r="L87" s="570"/>
      <c r="M87" s="817">
        <f>+F87</f>
        <v>195750</v>
      </c>
      <c r="N87" s="818">
        <f>+M87</f>
        <v>195750</v>
      </c>
      <c r="O87" s="819" t="s">
        <v>637</v>
      </c>
      <c r="P87" s="820">
        <f>+'[2]Consultancy &amp; Legal'!AE55+20000</f>
        <v>122406.18</v>
      </c>
      <c r="Q87" s="570"/>
      <c r="R87" s="788">
        <f>+$P$87</f>
        <v>122406.18</v>
      </c>
      <c r="S87" s="821">
        <v>0</v>
      </c>
      <c r="T87" s="821">
        <v>0</v>
      </c>
      <c r="U87" s="822">
        <v>0</v>
      </c>
      <c r="V87" s="835"/>
      <c r="W87" s="6"/>
    </row>
    <row r="88" spans="2:23">
      <c r="B88" s="184"/>
      <c r="C88" s="185"/>
      <c r="D88" s="803"/>
      <c r="E88" s="804"/>
      <c r="F88" s="805"/>
      <c r="G88" s="806"/>
      <c r="H88" s="824"/>
      <c r="I88" s="824"/>
      <c r="J88" s="157"/>
      <c r="K88" s="763"/>
      <c r="L88" s="569"/>
      <c r="M88" s="807"/>
      <c r="N88" s="808"/>
      <c r="O88" s="569"/>
      <c r="P88" s="809"/>
      <c r="Q88" s="569"/>
      <c r="R88" s="810"/>
      <c r="S88" s="811"/>
      <c r="T88" s="811"/>
      <c r="U88" s="812"/>
      <c r="V88" s="813"/>
    </row>
    <row r="89" spans="2:23" hidden="1" outlineLevel="1">
      <c r="B89" s="184"/>
      <c r="C89" s="185"/>
      <c r="D89" s="803" t="s">
        <v>638</v>
      </c>
      <c r="E89" s="804"/>
      <c r="F89" s="805"/>
      <c r="G89" s="806"/>
      <c r="H89" s="824"/>
      <c r="I89" s="824"/>
      <c r="J89" s="157"/>
      <c r="K89" s="763"/>
      <c r="L89" s="569"/>
      <c r="M89" s="807">
        <v>0</v>
      </c>
      <c r="N89" s="808">
        <v>0</v>
      </c>
      <c r="O89" s="569"/>
      <c r="P89" s="809">
        <v>0</v>
      </c>
      <c r="Q89" s="569"/>
      <c r="R89" s="810">
        <v>0</v>
      </c>
      <c r="S89" s="811"/>
      <c r="T89" s="811"/>
      <c r="U89" s="812"/>
      <c r="V89" s="813"/>
    </row>
    <row r="90" spans="2:23" hidden="1" outlineLevel="1">
      <c r="B90" s="184"/>
      <c r="C90" s="185"/>
      <c r="D90" s="803" t="s">
        <v>639</v>
      </c>
      <c r="E90" s="804">
        <v>26850</v>
      </c>
      <c r="F90" s="805">
        <f>+E90/8*12</f>
        <v>40275</v>
      </c>
      <c r="G90" s="806"/>
      <c r="H90" s="806"/>
      <c r="I90" s="806"/>
      <c r="J90" s="157"/>
      <c r="K90" s="763"/>
      <c r="L90" s="569"/>
      <c r="M90" s="807"/>
      <c r="N90" s="808"/>
      <c r="O90" s="569"/>
      <c r="P90" s="809">
        <v>20000</v>
      </c>
      <c r="Q90" s="569"/>
      <c r="R90" s="810">
        <v>20000</v>
      </c>
      <c r="S90" s="811"/>
      <c r="T90" s="811"/>
      <c r="U90" s="812"/>
      <c r="V90" s="813"/>
    </row>
    <row r="91" spans="2:23" collapsed="1">
      <c r="B91" s="184"/>
      <c r="C91" s="185"/>
      <c r="D91" s="814" t="s">
        <v>640</v>
      </c>
      <c r="E91" s="815">
        <v>26850</v>
      </c>
      <c r="F91" s="793">
        <f>+E91/8*12</f>
        <v>40275</v>
      </c>
      <c r="G91" s="816"/>
      <c r="H91" s="832"/>
      <c r="I91" s="832"/>
      <c r="J91" s="157"/>
      <c r="K91" s="763" t="s">
        <v>598</v>
      </c>
      <c r="L91" s="570"/>
      <c r="M91" s="817">
        <f>+F91</f>
        <v>40275</v>
      </c>
      <c r="N91" s="818">
        <f>+M91</f>
        <v>40275</v>
      </c>
      <c r="O91" s="834" t="s">
        <v>641</v>
      </c>
      <c r="P91" s="820">
        <f>20000</f>
        <v>20000</v>
      </c>
      <c r="Q91" s="570"/>
      <c r="R91" s="788">
        <f>+$P$91</f>
        <v>20000</v>
      </c>
      <c r="S91" s="821">
        <v>0</v>
      </c>
      <c r="T91" s="821">
        <v>0</v>
      </c>
      <c r="U91" s="822">
        <v>0</v>
      </c>
      <c r="V91" s="797"/>
      <c r="W91" s="6"/>
    </row>
    <row r="92" spans="2:23" hidden="1" outlineLevel="1">
      <c r="B92" s="184"/>
      <c r="C92" s="185"/>
      <c r="D92" s="803" t="s">
        <v>642</v>
      </c>
      <c r="E92" s="804"/>
      <c r="F92" s="805"/>
      <c r="G92" s="806"/>
      <c r="H92" s="824"/>
      <c r="I92" s="824"/>
      <c r="J92" s="157"/>
      <c r="K92" s="763"/>
      <c r="L92" s="569"/>
      <c r="M92" s="807"/>
      <c r="N92" s="808"/>
      <c r="O92" s="569"/>
      <c r="P92" s="809"/>
      <c r="Q92" s="569"/>
      <c r="R92" s="810"/>
      <c r="S92" s="811"/>
      <c r="T92" s="811"/>
      <c r="U92" s="812"/>
      <c r="V92" s="813"/>
    </row>
    <row r="93" spans="2:23" hidden="1" outlineLevel="1">
      <c r="B93" s="184"/>
      <c r="C93" s="185"/>
      <c r="D93" s="814" t="s">
        <v>171</v>
      </c>
      <c r="E93" s="815"/>
      <c r="F93" s="836"/>
      <c r="G93" s="816"/>
      <c r="H93" s="832"/>
      <c r="I93" s="832"/>
      <c r="J93" s="157"/>
      <c r="K93" s="763"/>
      <c r="L93" s="570"/>
      <c r="M93" s="817">
        <v>0</v>
      </c>
      <c r="N93" s="818">
        <v>0</v>
      </c>
      <c r="O93" s="570"/>
      <c r="P93" s="820">
        <v>0</v>
      </c>
      <c r="Q93" s="570"/>
      <c r="R93" s="788">
        <v>0</v>
      </c>
      <c r="S93" s="821"/>
      <c r="T93" s="821">
        <v>0</v>
      </c>
      <c r="U93" s="822">
        <v>0</v>
      </c>
      <c r="V93" s="802"/>
      <c r="W93" s="508"/>
    </row>
    <row r="94" spans="2:23" collapsed="1">
      <c r="B94" s="184"/>
      <c r="C94" s="185"/>
      <c r="D94" s="803"/>
      <c r="E94" s="804"/>
      <c r="F94" s="805"/>
      <c r="G94" s="806"/>
      <c r="H94" s="824"/>
      <c r="I94" s="824"/>
      <c r="J94" s="157"/>
      <c r="K94" s="763"/>
      <c r="L94" s="569"/>
      <c r="M94" s="807"/>
      <c r="N94" s="808"/>
      <c r="O94" s="569"/>
      <c r="P94" s="809"/>
      <c r="Q94" s="569"/>
      <c r="R94" s="810"/>
      <c r="S94" s="811"/>
      <c r="T94" s="811"/>
      <c r="U94" s="837"/>
      <c r="V94" s="813"/>
    </row>
    <row r="95" spans="2:23" ht="13.8" thickBot="1">
      <c r="B95" s="184"/>
      <c r="C95" s="185"/>
      <c r="D95" s="814" t="s">
        <v>12</v>
      </c>
      <c r="E95" s="838">
        <f>+E91+E87+E77+E73+E68+E60+E48+E43</f>
        <v>3482876.2600000002</v>
      </c>
      <c r="F95" s="839">
        <f>+F91+F87+F77+F73+F68+F60+F48+F43</f>
        <v>5185609.8900000006</v>
      </c>
      <c r="G95" s="840"/>
      <c r="H95" s="841"/>
      <c r="I95" s="841"/>
      <c r="J95" s="157"/>
      <c r="K95" s="157"/>
      <c r="L95" s="842"/>
      <c r="M95" s="843">
        <f>M93+M91+M87+M77+M73+M68+M60+M48+M43</f>
        <v>4768907.49</v>
      </c>
      <c r="N95" s="844">
        <f>N93+N91+N87+N77+N73+N68+N60+N48+N43</f>
        <v>4355359.49</v>
      </c>
      <c r="O95" s="842"/>
      <c r="P95" s="845">
        <f>P93+P91+P87+P77+P73+P68+P60+P48+P43</f>
        <v>2674837.5133333332</v>
      </c>
      <c r="Q95" s="842"/>
      <c r="R95" s="846">
        <f>R93+R91+R87+R77+R73+R68+R60+R48+R43</f>
        <v>2574837.5133333332</v>
      </c>
      <c r="S95" s="847">
        <v>0</v>
      </c>
      <c r="T95" s="847">
        <f>T93+T91+T87+T77+T73+T68+T60+T48+T43</f>
        <v>0</v>
      </c>
      <c r="U95" s="848">
        <f>U93+U91+U87+U77+U73+U68+U60+U48+U43</f>
        <v>0</v>
      </c>
      <c r="V95" s="797"/>
      <c r="W95" s="849"/>
    </row>
    <row r="96" spans="2:23" ht="13.8" thickTop="1">
      <c r="B96" s="184"/>
      <c r="C96" s="185"/>
      <c r="D96" s="814"/>
      <c r="E96" s="850"/>
      <c r="F96" s="851"/>
      <c r="G96" s="840"/>
      <c r="H96" s="841"/>
      <c r="I96" s="841"/>
      <c r="J96" s="157"/>
      <c r="K96" s="157"/>
      <c r="L96" s="842"/>
      <c r="M96" s="852"/>
      <c r="N96" s="853"/>
      <c r="O96" s="842"/>
      <c r="P96" s="854"/>
      <c r="Q96" s="842"/>
      <c r="R96" s="855"/>
      <c r="S96" s="856"/>
      <c r="T96" s="856"/>
      <c r="U96" s="857"/>
      <c r="V96" s="797"/>
      <c r="W96" s="849"/>
    </row>
    <row r="97" spans="2:23" ht="13.8" thickBot="1">
      <c r="B97" s="184"/>
      <c r="C97" s="185"/>
      <c r="D97" s="814"/>
      <c r="E97" s="840"/>
      <c r="F97" s="840"/>
      <c r="G97" s="840"/>
      <c r="H97" s="841"/>
      <c r="I97" s="841"/>
      <c r="J97" s="157"/>
      <c r="K97" s="157"/>
      <c r="L97" s="842"/>
      <c r="M97" s="842"/>
      <c r="N97" s="842"/>
      <c r="O97" s="842"/>
      <c r="P97" s="842"/>
      <c r="Q97" s="842"/>
      <c r="R97" s="842"/>
      <c r="S97" s="842"/>
      <c r="T97" s="842"/>
      <c r="U97" s="842"/>
      <c r="V97" s="797"/>
      <c r="W97" s="849"/>
    </row>
    <row r="98" spans="2:23" ht="25.5" customHeight="1">
      <c r="B98" s="184"/>
      <c r="C98" s="185"/>
      <c r="D98" s="858" t="s">
        <v>643</v>
      </c>
      <c r="E98" s="859" t="s">
        <v>644</v>
      </c>
      <c r="F98" s="860" t="s">
        <v>49</v>
      </c>
      <c r="G98" s="861"/>
      <c r="H98" s="861"/>
      <c r="I98" s="861"/>
      <c r="J98" s="862" t="s">
        <v>39</v>
      </c>
      <c r="K98" s="157"/>
      <c r="L98" s="842"/>
      <c r="M98" s="842"/>
      <c r="N98" s="842"/>
      <c r="O98" s="863" t="s">
        <v>645</v>
      </c>
      <c r="P98" s="864"/>
      <c r="Q98" s="864"/>
      <c r="R98" s="865"/>
      <c r="S98" s="842"/>
      <c r="T98" s="842"/>
      <c r="U98" s="842"/>
      <c r="V98" s="797"/>
      <c r="W98" s="849"/>
    </row>
    <row r="99" spans="2:23">
      <c r="B99" s="184"/>
      <c r="C99" s="185"/>
      <c r="D99" s="184" t="s">
        <v>646</v>
      </c>
      <c r="E99" s="157">
        <v>1</v>
      </c>
      <c r="F99" s="866"/>
      <c r="G99" s="867"/>
      <c r="H99" s="868"/>
      <c r="I99" s="868"/>
      <c r="J99" s="696">
        <v>10000</v>
      </c>
      <c r="K99" s="157"/>
      <c r="L99" s="842"/>
      <c r="M99" s="842"/>
      <c r="N99" s="842"/>
      <c r="O99" s="869" t="s">
        <v>647</v>
      </c>
      <c r="P99" s="842">
        <f>+$M$95-P95</f>
        <v>2094069.976666667</v>
      </c>
      <c r="Q99" s="842"/>
      <c r="R99" s="870">
        <f>+$M$95-R95</f>
        <v>2194069.976666667</v>
      </c>
      <c r="S99" s="842"/>
      <c r="T99" s="842"/>
      <c r="U99" s="842"/>
      <c r="V99" s="797"/>
      <c r="W99" s="849"/>
    </row>
    <row r="100" spans="2:23">
      <c r="B100" s="184"/>
      <c r="C100" s="185"/>
      <c r="D100" s="184" t="s">
        <v>648</v>
      </c>
      <c r="E100" s="157"/>
      <c r="F100" s="866"/>
      <c r="G100" s="867"/>
      <c r="H100" s="868"/>
      <c r="I100" s="868"/>
      <c r="J100" s="696">
        <v>9000</v>
      </c>
      <c r="K100" s="157"/>
      <c r="L100" s="842"/>
      <c r="M100" s="842"/>
      <c r="N100" s="842"/>
      <c r="O100" s="869" t="s">
        <v>649</v>
      </c>
      <c r="P100" s="871">
        <f>+P99/$M$95</f>
        <v>0.4391089533730223</v>
      </c>
      <c r="Q100" s="842"/>
      <c r="R100" s="872">
        <f>+R99/$M$95</f>
        <v>0.4600781166897131</v>
      </c>
      <c r="S100" s="871"/>
      <c r="T100" s="842"/>
      <c r="U100" s="842"/>
      <c r="V100" s="797"/>
      <c r="W100" s="849"/>
    </row>
    <row r="101" spans="2:23">
      <c r="B101" s="184"/>
      <c r="C101" s="185"/>
      <c r="D101" s="184" t="s">
        <v>650</v>
      </c>
      <c r="E101" s="157"/>
      <c r="F101" s="866"/>
      <c r="G101" s="867"/>
      <c r="H101" s="868"/>
      <c r="I101" s="868"/>
      <c r="J101" s="696">
        <v>9000</v>
      </c>
      <c r="K101" s="157"/>
      <c r="L101" s="842"/>
      <c r="M101" s="842"/>
      <c r="N101" s="842"/>
      <c r="O101" s="869" t="s">
        <v>651</v>
      </c>
      <c r="P101" s="873">
        <f>+$N$95-P95</f>
        <v>1680521.976666667</v>
      </c>
      <c r="Q101" s="842"/>
      <c r="R101" s="874">
        <f>+$N$95-R95</f>
        <v>1780521.976666667</v>
      </c>
      <c r="S101" s="873"/>
      <c r="T101" s="842"/>
      <c r="U101" s="842"/>
      <c r="V101" s="797"/>
      <c r="W101" s="849"/>
    </row>
    <row r="102" spans="2:23">
      <c r="B102" s="184"/>
      <c r="C102" s="185"/>
      <c r="D102" s="184" t="s">
        <v>652</v>
      </c>
      <c r="E102" s="157">
        <v>25</v>
      </c>
      <c r="F102" s="866">
        <v>185</v>
      </c>
      <c r="G102" s="867"/>
      <c r="H102" s="868"/>
      <c r="I102" s="868"/>
      <c r="J102" s="696">
        <v>4625</v>
      </c>
      <c r="K102" s="157"/>
      <c r="L102" s="842"/>
      <c r="M102" s="842"/>
      <c r="N102" s="842"/>
      <c r="O102" s="869" t="s">
        <v>653</v>
      </c>
      <c r="P102" s="871">
        <f>+P101/$N$95</f>
        <v>0.38585149642071609</v>
      </c>
      <c r="Q102" s="842"/>
      <c r="R102" s="872">
        <f>+R101/$N$95</f>
        <v>0.4088117136495355</v>
      </c>
      <c r="S102" s="871"/>
      <c r="T102" s="842"/>
      <c r="U102" s="842"/>
      <c r="V102" s="797"/>
      <c r="W102" s="849"/>
    </row>
    <row r="103" spans="2:23">
      <c r="B103" s="184"/>
      <c r="C103" s="185"/>
      <c r="D103" s="184" t="s">
        <v>654</v>
      </c>
      <c r="E103" s="157">
        <v>5</v>
      </c>
      <c r="F103" s="866">
        <v>1030</v>
      </c>
      <c r="G103" s="867"/>
      <c r="H103" s="868"/>
      <c r="I103" s="868"/>
      <c r="J103" s="696">
        <v>5150</v>
      </c>
      <c r="K103" s="157"/>
      <c r="L103" s="842"/>
      <c r="M103" s="842"/>
      <c r="N103" s="842"/>
      <c r="O103" s="875"/>
      <c r="P103" s="842"/>
      <c r="Q103" s="842"/>
      <c r="R103" s="870"/>
      <c r="S103" s="842"/>
      <c r="T103" s="842"/>
      <c r="U103" s="842"/>
      <c r="V103" s="797"/>
      <c r="W103" s="849"/>
    </row>
    <row r="104" spans="2:23">
      <c r="B104" s="184"/>
      <c r="C104" s="185"/>
      <c r="D104" s="184" t="s">
        <v>655</v>
      </c>
      <c r="E104" s="157">
        <v>225</v>
      </c>
      <c r="F104" s="866">
        <v>630</v>
      </c>
      <c r="G104" s="867"/>
      <c r="H104" s="868"/>
      <c r="I104" s="868"/>
      <c r="J104" s="696">
        <v>141750</v>
      </c>
      <c r="K104" s="157"/>
      <c r="L104" s="842"/>
      <c r="M104" s="842"/>
      <c r="N104" s="842"/>
      <c r="O104" s="875"/>
      <c r="P104" s="842"/>
      <c r="Q104" s="842"/>
      <c r="R104" s="870"/>
      <c r="S104" s="842"/>
      <c r="T104" s="842"/>
      <c r="U104" s="842"/>
      <c r="V104" s="797"/>
      <c r="W104" s="849"/>
    </row>
    <row r="105" spans="2:23">
      <c r="B105" s="184"/>
      <c r="C105" s="185"/>
      <c r="D105" s="184" t="s">
        <v>656</v>
      </c>
      <c r="E105" s="157">
        <v>450</v>
      </c>
      <c r="F105" s="866">
        <v>205</v>
      </c>
      <c r="G105" s="867"/>
      <c r="H105" s="868"/>
      <c r="I105" s="868"/>
      <c r="J105" s="696">
        <v>92250</v>
      </c>
      <c r="K105" s="157"/>
      <c r="L105" s="842"/>
      <c r="M105" s="842"/>
      <c r="N105" s="842"/>
      <c r="O105" s="875"/>
      <c r="P105" s="842"/>
      <c r="Q105" s="842"/>
      <c r="R105" s="870"/>
      <c r="S105" s="842"/>
      <c r="T105" s="842"/>
      <c r="U105" s="842"/>
      <c r="V105" s="797"/>
      <c r="W105" s="849"/>
    </row>
    <row r="106" spans="2:23">
      <c r="B106" s="184"/>
      <c r="C106" s="185"/>
      <c r="D106" s="713" t="s">
        <v>447</v>
      </c>
      <c r="E106" s="187"/>
      <c r="F106" s="680"/>
      <c r="G106" s="867"/>
      <c r="H106" s="868"/>
      <c r="I106" s="868"/>
      <c r="J106" s="876">
        <v>271775</v>
      </c>
      <c r="K106" s="157"/>
      <c r="L106" s="842"/>
      <c r="M106" s="842"/>
      <c r="N106" s="842"/>
      <c r="O106" s="176"/>
      <c r="P106" s="185"/>
      <c r="Q106" s="185"/>
      <c r="R106" s="177"/>
      <c r="S106" s="157"/>
      <c r="T106" s="842"/>
      <c r="U106" s="842"/>
      <c r="V106" s="797"/>
      <c r="W106" s="849"/>
    </row>
    <row r="107" spans="2:23" ht="13.8" thickBot="1">
      <c r="B107" s="184"/>
      <c r="C107" s="185"/>
      <c r="D107" s="877"/>
      <c r="E107" s="878"/>
      <c r="F107" s="878"/>
      <c r="G107" s="878"/>
      <c r="H107" s="879"/>
      <c r="I107" s="879"/>
      <c r="J107" s="246"/>
      <c r="K107" s="157"/>
      <c r="L107" s="842"/>
      <c r="M107" s="842"/>
      <c r="N107" s="842"/>
      <c r="O107" s="702"/>
      <c r="P107" s="11"/>
      <c r="Q107" s="11"/>
      <c r="R107" s="246"/>
      <c r="S107" s="157"/>
      <c r="T107" s="871"/>
      <c r="U107" s="842"/>
      <c r="V107" s="797"/>
      <c r="W107" s="849"/>
    </row>
    <row r="108" spans="2:23">
      <c r="B108" s="184"/>
      <c r="C108" s="185"/>
      <c r="D108" s="814"/>
      <c r="E108" s="840"/>
      <c r="F108" s="840"/>
      <c r="G108" s="840"/>
      <c r="H108" s="841"/>
      <c r="I108" s="841"/>
      <c r="J108" s="157"/>
      <c r="K108" s="157"/>
      <c r="L108" s="842"/>
      <c r="M108" s="842"/>
      <c r="N108" s="842"/>
      <c r="P108" s="185"/>
      <c r="Q108" s="185"/>
      <c r="R108" s="157"/>
      <c r="S108" s="157"/>
      <c r="T108" s="873"/>
      <c r="U108" s="842"/>
      <c r="V108" s="797"/>
      <c r="W108" s="849"/>
    </row>
    <row r="109" spans="2:23" ht="14.25" customHeight="1" thickBot="1">
      <c r="B109" s="880"/>
      <c r="C109" s="703"/>
      <c r="D109" s="11"/>
      <c r="E109" s="11"/>
      <c r="F109" s="11"/>
      <c r="G109" s="881"/>
      <c r="H109" s="882"/>
      <c r="I109" s="882"/>
      <c r="J109" s="883"/>
      <c r="K109" s="883"/>
      <c r="L109" s="883"/>
      <c r="M109" s="883"/>
      <c r="N109" s="883"/>
      <c r="O109" s="883"/>
      <c r="P109" s="883"/>
      <c r="Q109" s="883"/>
      <c r="R109" s="883"/>
      <c r="S109" s="883"/>
      <c r="T109" s="883"/>
      <c r="U109" s="883"/>
      <c r="V109" s="884"/>
    </row>
    <row r="110" spans="2:23" outlineLevel="1">
      <c r="B110" s="185"/>
      <c r="C110" s="157"/>
      <c r="D110" s="157"/>
      <c r="E110" s="866"/>
      <c r="F110" s="866"/>
      <c r="G110" s="866"/>
      <c r="H110" s="885"/>
      <c r="I110" s="885"/>
      <c r="J110" s="866"/>
      <c r="K110" s="866"/>
      <c r="L110" s="866"/>
      <c r="M110" s="866"/>
      <c r="N110" s="866"/>
      <c r="O110" s="866"/>
      <c r="P110" s="731"/>
      <c r="Q110" s="731"/>
      <c r="R110" s="866"/>
      <c r="S110" s="866"/>
      <c r="T110" s="866"/>
      <c r="U110" s="763"/>
      <c r="V110" s="649"/>
    </row>
    <row r="111" spans="2:23" outlineLevel="1">
      <c r="D111" s="157"/>
      <c r="E111" s="866"/>
      <c r="F111" s="866"/>
      <c r="G111" s="866"/>
      <c r="H111" s="885"/>
      <c r="I111" s="885"/>
      <c r="J111" s="866"/>
      <c r="K111" s="866"/>
      <c r="L111" s="866"/>
      <c r="M111" s="866"/>
      <c r="N111" s="866"/>
      <c r="O111" s="866"/>
      <c r="P111" s="731"/>
      <c r="Q111" s="731"/>
      <c r="R111" s="866"/>
      <c r="S111" s="866"/>
      <c r="T111" s="866"/>
      <c r="U111" s="763"/>
      <c r="V111" s="649"/>
    </row>
    <row r="112" spans="2:23">
      <c r="B112" s="185"/>
      <c r="C112" s="157"/>
      <c r="D112" s="157"/>
      <c r="E112" s="866"/>
      <c r="F112" s="866"/>
      <c r="G112" s="866"/>
      <c r="H112" s="885"/>
      <c r="I112" s="885"/>
      <c r="J112" s="866"/>
      <c r="K112" s="866"/>
      <c r="L112" s="866"/>
      <c r="M112" s="866"/>
      <c r="N112" s="866"/>
      <c r="O112" s="866"/>
      <c r="P112" s="731"/>
      <c r="Q112" s="731"/>
      <c r="R112" s="866"/>
      <c r="S112" s="866"/>
      <c r="T112" s="866"/>
      <c r="U112" s="886"/>
      <c r="V112" s="764"/>
      <c r="W112" s="507"/>
    </row>
    <row r="113" spans="2:17">
      <c r="B113" s="185"/>
      <c r="C113" s="157"/>
      <c r="D113" s="157"/>
      <c r="E113" s="157"/>
      <c r="F113" s="157"/>
      <c r="G113" s="157"/>
      <c r="H113" s="887"/>
      <c r="I113" s="887"/>
      <c r="J113" s="157"/>
      <c r="K113" s="157"/>
      <c r="L113" s="157"/>
      <c r="M113" s="157"/>
      <c r="N113" s="157"/>
      <c r="P113" s="7"/>
      <c r="Q113" s="185"/>
    </row>
    <row r="114" spans="2:17">
      <c r="P114" s="7"/>
      <c r="Q114" s="185"/>
    </row>
    <row r="115" spans="2:17">
      <c r="P115" s="7"/>
      <c r="Q115" s="185"/>
    </row>
    <row r="116" spans="2:17">
      <c r="P116" s="7"/>
      <c r="Q116" s="185"/>
    </row>
    <row r="117" spans="2:17">
      <c r="P117" s="7"/>
      <c r="Q117" s="185"/>
    </row>
    <row r="118" spans="2:17">
      <c r="P118" s="7"/>
      <c r="Q118" s="185"/>
    </row>
    <row r="119" spans="2:17">
      <c r="P119" s="7"/>
      <c r="Q119" s="185"/>
    </row>
    <row r="120" spans="2:17">
      <c r="P120" s="7"/>
      <c r="Q120" s="185"/>
    </row>
  </sheetData>
  <mergeCells count="4">
    <mergeCell ref="M40:N40"/>
    <mergeCell ref="E40:F40"/>
    <mergeCell ref="G8:H8"/>
    <mergeCell ref="P39:U39"/>
  </mergeCells>
  <phoneticPr fontId="0" type="noConversion"/>
  <pageMargins left="0.23622047244094491" right="0" top="0.15748031496062992" bottom="0.19685039370078741" header="0.47244094488188981" footer="0.19685039370078741"/>
  <pageSetup paperSize="9" scale="39" orientation="landscape" r:id="rId1"/>
  <headerFooter alignWithMargins="0">
    <oddFooter>&amp;LPage 3&amp;CSource : Financial Planning and Analysis&amp;RPrinted : &amp;D &amp;T</oddFooter>
  </headerFooter>
  <rowBreaks count="1" manualBreakCount="1">
    <brk id="39" max="2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3"/>
  <sheetViews>
    <sheetView tabSelected="1" zoomScale="75" workbookViewId="0">
      <selection activeCell="C9" sqref="C9"/>
    </sheetView>
  </sheetViews>
  <sheetFormatPr defaultRowHeight="13.2" outlineLevelCol="1"/>
  <cols>
    <col min="2" max="2" width="13.88671875" customWidth="1"/>
    <col min="3" max="3" width="12.109375" hidden="1" customWidth="1"/>
    <col min="4" max="4" width="21" hidden="1" customWidth="1"/>
    <col min="5" max="5" width="0" hidden="1" customWidth="1"/>
    <col min="6" max="11" width="9.109375" hidden="1" customWidth="1" outlineLevel="1"/>
    <col min="12" max="13" width="11.33203125" hidden="1" customWidth="1" outlineLevel="1"/>
    <col min="14" max="23" width="9.109375" hidden="1" customWidth="1" outlineLevel="1"/>
    <col min="24" max="24" width="27.33203125" customWidth="1" collapsed="1"/>
    <col min="25" max="25" width="9.109375" hidden="1" customWidth="1" outlineLevel="1"/>
    <col min="26" max="26" width="9.109375" customWidth="1" collapsed="1"/>
    <col min="27" max="27" width="11.88671875" hidden="1" customWidth="1" outlineLevel="1"/>
    <col min="28" max="28" width="3.88671875" customWidth="1" collapsed="1"/>
    <col min="29" max="29" width="12.44140625" customWidth="1" outlineLevel="1"/>
    <col min="30" max="30" width="11.109375" hidden="1" customWidth="1" outlineLevel="1" collapsed="1"/>
    <col min="31" max="31" width="11.109375" customWidth="1" outlineLevel="1"/>
    <col min="32" max="32" width="11.88671875" customWidth="1"/>
    <col min="33" max="33" width="14" customWidth="1"/>
    <col min="34" max="34" width="70.6640625" customWidth="1"/>
    <col min="35" max="35" width="12" customWidth="1"/>
  </cols>
  <sheetData>
    <row r="1" spans="1:35" ht="13.8" thickBot="1"/>
    <row r="2" spans="1:35" s="64" customFormat="1" ht="18.75" customHeight="1" thickBot="1">
      <c r="B2" s="61"/>
      <c r="C2" s="62"/>
      <c r="D2" s="62"/>
      <c r="E2" s="62"/>
      <c r="F2" s="62"/>
      <c r="G2" s="62"/>
      <c r="H2" s="62"/>
      <c r="I2" s="62"/>
      <c r="J2" s="62"/>
      <c r="K2" s="62"/>
      <c r="L2" s="62"/>
      <c r="M2" s="63"/>
      <c r="N2" s="62"/>
      <c r="O2" s="62"/>
      <c r="P2" s="62"/>
      <c r="Q2" s="62"/>
      <c r="R2" s="62"/>
      <c r="S2" s="62"/>
      <c r="T2" s="62"/>
      <c r="U2" s="62"/>
      <c r="V2" s="62"/>
      <c r="W2" s="62"/>
      <c r="X2" s="62"/>
      <c r="Y2" s="62"/>
      <c r="Z2" s="62"/>
      <c r="AA2" s="62"/>
      <c r="AB2" s="62"/>
      <c r="AC2" s="62"/>
      <c r="AD2" s="62"/>
      <c r="AE2" s="62"/>
      <c r="AF2" s="62"/>
      <c r="AG2" s="62"/>
      <c r="AH2" s="62"/>
      <c r="AI2" s="63"/>
    </row>
    <row r="3" spans="1:35" s="16" customFormat="1">
      <c r="A3" s="127"/>
      <c r="B3" s="223"/>
      <c r="C3" s="216"/>
      <c r="D3" s="215"/>
      <c r="E3" s="196"/>
      <c r="F3" s="196"/>
      <c r="G3" s="196"/>
      <c r="H3" s="196"/>
      <c r="I3" s="196"/>
      <c r="J3" s="196"/>
      <c r="K3" s="196"/>
      <c r="L3" s="196"/>
      <c r="M3" s="196"/>
      <c r="N3" s="166"/>
      <c r="O3" s="127"/>
      <c r="P3" s="127"/>
      <c r="Q3" s="127"/>
      <c r="R3" s="127"/>
      <c r="S3" s="127"/>
      <c r="T3" s="127"/>
      <c r="U3" s="127"/>
      <c r="V3" s="127"/>
      <c r="W3" s="127"/>
      <c r="X3" s="127"/>
      <c r="Y3" s="127"/>
      <c r="Z3" s="127"/>
      <c r="AA3" s="127"/>
      <c r="AB3" s="127"/>
      <c r="AC3" s="127"/>
      <c r="AD3" s="127"/>
      <c r="AE3" s="127"/>
      <c r="AF3" s="127"/>
      <c r="AG3" s="127"/>
      <c r="AH3" s="127"/>
      <c r="AI3" s="167"/>
    </row>
    <row r="4" spans="1:35" s="16" customFormat="1">
      <c r="A4" s="127"/>
      <c r="B4" s="223"/>
      <c r="C4" s="218"/>
      <c r="D4" s="217"/>
      <c r="E4" s="127"/>
      <c r="F4" s="127"/>
      <c r="G4" s="127"/>
      <c r="H4" s="127"/>
      <c r="I4" s="127"/>
      <c r="J4" s="127"/>
      <c r="K4" s="127"/>
      <c r="L4" s="127"/>
      <c r="M4" s="127"/>
      <c r="N4" s="167"/>
      <c r="O4" s="127"/>
      <c r="P4" s="127"/>
      <c r="Q4" s="127"/>
      <c r="R4" s="127"/>
      <c r="S4" s="127"/>
      <c r="T4" s="127"/>
      <c r="U4" s="127"/>
      <c r="V4" s="127"/>
      <c r="W4" s="127"/>
      <c r="X4" s="127"/>
      <c r="Y4" s="127"/>
      <c r="Z4" s="127"/>
      <c r="AA4" s="127"/>
      <c r="AB4" s="127"/>
      <c r="AC4" s="127"/>
      <c r="AD4" s="127"/>
      <c r="AE4" s="127"/>
      <c r="AF4" s="127"/>
      <c r="AG4" s="127"/>
      <c r="AH4" s="127"/>
      <c r="AI4" s="167"/>
    </row>
    <row r="5" spans="1:35" s="16" customFormat="1">
      <c r="A5" s="127"/>
      <c r="B5" s="223"/>
      <c r="C5" s="218"/>
      <c r="D5" s="217"/>
      <c r="E5" s="127"/>
      <c r="F5" s="127"/>
      <c r="G5" s="127"/>
      <c r="H5" s="127"/>
      <c r="I5" s="127"/>
      <c r="J5" s="127"/>
      <c r="K5" s="127"/>
      <c r="L5" s="127"/>
      <c r="M5" s="127"/>
      <c r="N5" s="167"/>
      <c r="O5" s="127"/>
      <c r="P5" s="127"/>
      <c r="Q5" s="127"/>
      <c r="R5" s="127"/>
      <c r="S5" s="127"/>
      <c r="T5" s="127"/>
      <c r="U5" s="127"/>
      <c r="V5" s="127"/>
      <c r="W5" s="127"/>
      <c r="X5" s="127"/>
      <c r="Y5" s="127"/>
      <c r="Z5" s="127"/>
      <c r="AA5" s="127"/>
      <c r="AB5" s="127"/>
      <c r="AC5" s="127"/>
      <c r="AD5" s="127"/>
      <c r="AE5" s="127"/>
      <c r="AF5" s="127"/>
      <c r="AG5" s="127"/>
      <c r="AH5" s="127"/>
      <c r="AI5" s="167"/>
    </row>
    <row r="6" spans="1:35" s="16" customFormat="1">
      <c r="A6" s="127"/>
      <c r="B6" s="223"/>
      <c r="C6" s="218"/>
      <c r="D6" s="217"/>
      <c r="E6" s="127"/>
      <c r="F6" s="127"/>
      <c r="G6" s="127"/>
      <c r="H6" s="127"/>
      <c r="I6" s="127"/>
      <c r="J6" s="127"/>
      <c r="K6" s="127"/>
      <c r="L6" s="127"/>
      <c r="M6" s="127"/>
      <c r="N6" s="167"/>
      <c r="O6" s="127"/>
      <c r="P6" s="127"/>
      <c r="Q6" s="127"/>
      <c r="R6" s="127"/>
      <c r="S6" s="127"/>
      <c r="T6" s="127"/>
      <c r="U6" s="127"/>
      <c r="V6" s="127"/>
      <c r="W6" s="127"/>
      <c r="X6" s="127"/>
      <c r="Y6" s="127"/>
      <c r="Z6" s="127"/>
      <c r="AA6" s="127"/>
      <c r="AB6" s="127"/>
      <c r="AC6" s="127"/>
      <c r="AD6" s="127"/>
      <c r="AE6" s="127"/>
      <c r="AF6" s="127"/>
      <c r="AG6" s="127"/>
      <c r="AH6" s="127"/>
      <c r="AI6" s="167"/>
    </row>
    <row r="7" spans="1:35" s="16" customFormat="1">
      <c r="A7" s="127"/>
      <c r="B7" s="176"/>
      <c r="C7" s="218"/>
      <c r="D7" s="217"/>
      <c r="E7" s="127"/>
      <c r="F7" s="127"/>
      <c r="G7" s="127"/>
      <c r="H7" s="127"/>
      <c r="I7" s="127"/>
      <c r="J7" s="127"/>
      <c r="K7" s="127"/>
      <c r="L7" s="127"/>
      <c r="M7" s="127"/>
      <c r="N7" s="167"/>
      <c r="O7" s="127"/>
      <c r="P7" s="127"/>
      <c r="Q7" s="127"/>
      <c r="R7" s="127"/>
      <c r="S7" s="127"/>
      <c r="T7" s="127"/>
      <c r="U7" s="127"/>
      <c r="V7" s="127"/>
      <c r="W7" s="127"/>
      <c r="X7" s="127"/>
      <c r="Y7" s="127"/>
      <c r="Z7" s="127"/>
      <c r="AA7" s="127"/>
      <c r="AB7" s="127"/>
      <c r="AC7" s="127"/>
      <c r="AD7" s="127"/>
      <c r="AE7" s="127"/>
      <c r="AF7" s="127"/>
      <c r="AG7" s="127"/>
      <c r="AH7" s="127"/>
      <c r="AI7" s="167"/>
    </row>
    <row r="8" spans="1:35" s="16" customFormat="1">
      <c r="A8" s="127"/>
      <c r="B8" s="176"/>
      <c r="C8" s="218"/>
      <c r="D8" s="217"/>
      <c r="E8" s="127"/>
      <c r="F8" s="127"/>
      <c r="G8" s="127"/>
      <c r="H8" s="127"/>
      <c r="I8" s="127"/>
      <c r="J8" s="127"/>
      <c r="K8" s="127"/>
      <c r="L8" s="127"/>
      <c r="M8" s="127"/>
      <c r="N8" s="167"/>
      <c r="O8" s="127"/>
      <c r="P8" s="127"/>
      <c r="Q8" s="127"/>
      <c r="R8" s="127"/>
      <c r="S8" s="127"/>
      <c r="T8" s="127"/>
      <c r="U8" s="127"/>
      <c r="V8" s="127"/>
      <c r="W8" s="127"/>
      <c r="X8" s="127"/>
      <c r="Y8" s="127"/>
      <c r="Z8" s="127"/>
      <c r="AA8" s="127"/>
      <c r="AB8" s="127"/>
      <c r="AC8" s="127"/>
      <c r="AD8" s="127"/>
      <c r="AE8" s="127"/>
      <c r="AF8" s="127"/>
      <c r="AG8" s="127"/>
      <c r="AH8" s="127"/>
      <c r="AI8" s="167"/>
    </row>
    <row r="9" spans="1:35" ht="13.8" thickBot="1">
      <c r="A9" s="157"/>
      <c r="B9" s="176"/>
      <c r="C9" s="157"/>
      <c r="D9" s="157"/>
      <c r="E9" s="157"/>
      <c r="F9" s="651" t="s">
        <v>452</v>
      </c>
      <c r="G9" s="653"/>
      <c r="H9" s="653"/>
      <c r="I9" s="653"/>
      <c r="J9" s="653"/>
      <c r="K9" s="653"/>
      <c r="L9" s="653"/>
      <c r="M9" s="653"/>
      <c r="N9" s="653"/>
      <c r="O9" s="653"/>
      <c r="P9" s="653"/>
      <c r="Q9" s="653"/>
      <c r="R9" s="653"/>
      <c r="S9" s="653"/>
      <c r="T9" s="653"/>
      <c r="U9" s="653"/>
      <c r="V9" s="653"/>
      <c r="W9" s="654"/>
      <c r="X9" s="157"/>
      <c r="Y9" s="157"/>
      <c r="Z9" s="157"/>
      <c r="AA9" s="157"/>
      <c r="AB9" s="157"/>
      <c r="AC9" s="157"/>
      <c r="AD9" s="157"/>
      <c r="AE9" s="157"/>
      <c r="AF9" s="157"/>
      <c r="AG9" s="157"/>
      <c r="AH9" s="157"/>
      <c r="AI9" s="177"/>
    </row>
    <row r="10" spans="1:35" ht="33" customHeight="1">
      <c r="A10" s="157"/>
      <c r="B10" s="945" t="s">
        <v>159</v>
      </c>
      <c r="C10" s="157"/>
      <c r="D10" s="157"/>
      <c r="E10" s="157"/>
      <c r="F10" s="655">
        <v>36373</v>
      </c>
      <c r="G10" s="656">
        <v>36557</v>
      </c>
      <c r="H10" s="656">
        <v>36647</v>
      </c>
      <c r="I10" s="656">
        <v>36678</v>
      </c>
      <c r="J10" s="656">
        <v>36708</v>
      </c>
      <c r="K10" s="656">
        <v>36770</v>
      </c>
      <c r="L10" s="656">
        <v>36800</v>
      </c>
      <c r="M10" s="656">
        <v>36831</v>
      </c>
      <c r="N10" s="656">
        <v>36861</v>
      </c>
      <c r="O10" s="657">
        <v>36892</v>
      </c>
      <c r="P10" s="657">
        <v>36923</v>
      </c>
      <c r="Q10" s="657">
        <v>36951</v>
      </c>
      <c r="R10" s="657">
        <v>36982</v>
      </c>
      <c r="S10" s="657">
        <v>37012</v>
      </c>
      <c r="T10" s="657">
        <v>37043</v>
      </c>
      <c r="U10" s="657">
        <v>37073</v>
      </c>
      <c r="V10" s="657">
        <v>37104</v>
      </c>
      <c r="W10" s="658" t="s">
        <v>453</v>
      </c>
      <c r="X10" s="891"/>
      <c r="Y10" s="659" t="s">
        <v>454</v>
      </c>
      <c r="Z10" s="659" t="s">
        <v>455</v>
      </c>
      <c r="AA10" s="660" t="s">
        <v>456</v>
      </c>
      <c r="AB10" s="661"/>
      <c r="AC10" s="662" t="s">
        <v>457</v>
      </c>
      <c r="AD10" s="690" t="s">
        <v>458</v>
      </c>
      <c r="AE10" s="690"/>
      <c r="AF10" s="660" t="s">
        <v>36</v>
      </c>
      <c r="AG10" s="691" t="s">
        <v>459</v>
      </c>
      <c r="AH10" s="949">
        <v>2001</v>
      </c>
      <c r="AI10" s="692" t="s">
        <v>460</v>
      </c>
    </row>
    <row r="11" spans="1:35">
      <c r="A11" s="157"/>
      <c r="B11" s="176" t="s">
        <v>461</v>
      </c>
      <c r="C11" s="157"/>
      <c r="D11" s="157"/>
      <c r="E11" s="157"/>
      <c r="F11" s="663"/>
      <c r="G11" s="664"/>
      <c r="H11" s="664"/>
      <c r="I11" s="664"/>
      <c r="J11" s="664"/>
      <c r="K11" s="664"/>
      <c r="L11" s="664"/>
      <c r="M11" s="664"/>
      <c r="N11" s="664">
        <v>18748.86</v>
      </c>
      <c r="O11" s="665">
        <v>22288.32</v>
      </c>
      <c r="P11" s="665">
        <v>32650.15</v>
      </c>
      <c r="Q11" s="665">
        <v>28452.51</v>
      </c>
      <c r="R11" s="665"/>
      <c r="S11" s="665">
        <v>49793.279999999999</v>
      </c>
      <c r="T11" s="665">
        <v>22855.67</v>
      </c>
      <c r="U11" s="665">
        <v>14183.38</v>
      </c>
      <c r="V11" s="665"/>
      <c r="W11" s="666">
        <v>188972.17</v>
      </c>
      <c r="X11" s="157"/>
      <c r="Y11" s="507">
        <f>+SUM(F11:N11)</f>
        <v>18748.86</v>
      </c>
      <c r="Z11" s="507">
        <f>+SUM(O11:V11)</f>
        <v>170223.31</v>
      </c>
      <c r="AA11" s="667">
        <f t="shared" ref="AA11:AA24" si="0">+Y11+Z11</f>
        <v>188972.16999999998</v>
      </c>
      <c r="AB11" s="507"/>
      <c r="AC11" s="667">
        <f t="shared" ref="AC11:AC27" si="1">+Z11/8*12</f>
        <v>255334.965</v>
      </c>
      <c r="AD11" s="157"/>
      <c r="AE11" s="157"/>
      <c r="AF11" s="668">
        <v>120000</v>
      </c>
      <c r="AG11" s="157" t="s">
        <v>462</v>
      </c>
      <c r="AH11" s="157" t="s">
        <v>463</v>
      </c>
      <c r="AI11" s="177"/>
    </row>
    <row r="12" spans="1:35">
      <c r="A12" s="157"/>
      <c r="B12" s="176"/>
      <c r="C12" s="185"/>
      <c r="D12" s="185"/>
      <c r="E12" s="185"/>
      <c r="F12" s="669"/>
      <c r="G12" s="569"/>
      <c r="H12" s="569"/>
      <c r="I12" s="569"/>
      <c r="J12" s="569"/>
      <c r="K12" s="569"/>
      <c r="L12" s="569"/>
      <c r="M12" s="569"/>
      <c r="N12" s="569"/>
      <c r="O12" s="569"/>
      <c r="P12" s="569"/>
      <c r="Q12" s="569"/>
      <c r="R12" s="569">
        <v>15533.98</v>
      </c>
      <c r="S12" s="569">
        <v>86425.81</v>
      </c>
      <c r="T12" s="569">
        <v>571.9</v>
      </c>
      <c r="U12" s="569"/>
      <c r="V12" s="569"/>
      <c r="W12" s="670">
        <v>102531.69</v>
      </c>
      <c r="X12" s="185"/>
      <c r="Y12" s="569">
        <f>+SUM(F12:N12)</f>
        <v>0</v>
      </c>
      <c r="Z12" s="569">
        <f>+SUM(O12:V12)+20114</f>
        <v>122645.68999999999</v>
      </c>
      <c r="AA12" s="667">
        <f t="shared" si="0"/>
        <v>122645.68999999999</v>
      </c>
      <c r="AB12" s="569"/>
      <c r="AC12" s="667">
        <f t="shared" si="1"/>
        <v>183968.53499999997</v>
      </c>
      <c r="AD12" s="157"/>
      <c r="AE12" s="157"/>
      <c r="AF12" s="667">
        <v>80000</v>
      </c>
      <c r="AG12" s="157" t="s">
        <v>464</v>
      </c>
      <c r="AH12" s="157" t="s">
        <v>465</v>
      </c>
      <c r="AI12" s="177"/>
    </row>
    <row r="13" spans="1:35" ht="54" customHeight="1">
      <c r="A13" s="157"/>
      <c r="B13" s="176" t="s">
        <v>466</v>
      </c>
      <c r="C13" s="157"/>
      <c r="D13" s="157"/>
      <c r="E13" s="157"/>
      <c r="F13" s="671"/>
      <c r="G13" s="693"/>
      <c r="H13" s="693"/>
      <c r="I13" s="693"/>
      <c r="J13" s="693"/>
      <c r="K13" s="693"/>
      <c r="L13" s="693">
        <v>28102.09</v>
      </c>
      <c r="M13" s="693"/>
      <c r="N13" s="693"/>
      <c r="O13" s="569">
        <v>28307.39</v>
      </c>
      <c r="P13" s="569">
        <v>38983.279999999999</v>
      </c>
      <c r="Q13" s="569"/>
      <c r="R13" s="569"/>
      <c r="S13" s="569"/>
      <c r="T13" s="569"/>
      <c r="U13" s="569"/>
      <c r="V13" s="569"/>
      <c r="W13" s="670">
        <v>95392.76</v>
      </c>
      <c r="X13" s="157"/>
      <c r="Y13" s="507">
        <f>+SUM(F13:N13)+28307.39</f>
        <v>56409.479999999996</v>
      </c>
      <c r="Z13" s="507">
        <f>+SUM(O13:V13)+154144-28307.39</f>
        <v>193127.27999999997</v>
      </c>
      <c r="AA13" s="667">
        <f t="shared" si="0"/>
        <v>249536.75999999995</v>
      </c>
      <c r="AB13" s="507"/>
      <c r="AC13" s="667">
        <f t="shared" si="1"/>
        <v>289690.91999999993</v>
      </c>
      <c r="AD13" s="157"/>
      <c r="AE13" s="157"/>
      <c r="AF13" s="668">
        <v>120000</v>
      </c>
      <c r="AG13" s="157" t="s">
        <v>464</v>
      </c>
      <c r="AH13" s="694" t="s">
        <v>467</v>
      </c>
      <c r="AI13" s="177"/>
    </row>
    <row r="14" spans="1:35">
      <c r="A14" s="157"/>
      <c r="B14" s="176" t="s">
        <v>112</v>
      </c>
      <c r="C14" s="157"/>
      <c r="D14" s="157"/>
      <c r="E14" s="157"/>
      <c r="F14" s="671"/>
      <c r="G14" s="693"/>
      <c r="H14" s="693"/>
      <c r="I14" s="693"/>
      <c r="J14" s="693"/>
      <c r="K14" s="693"/>
      <c r="L14" s="693"/>
      <c r="M14" s="693"/>
      <c r="N14" s="693"/>
      <c r="O14" s="569"/>
      <c r="P14" s="569"/>
      <c r="Q14" s="569"/>
      <c r="R14" s="569">
        <v>68778.539999999994</v>
      </c>
      <c r="S14" s="569">
        <v>4281.43</v>
      </c>
      <c r="T14" s="569"/>
      <c r="U14" s="569">
        <v>-14158.69</v>
      </c>
      <c r="V14" s="569"/>
      <c r="W14" s="670">
        <v>58901.279999999999</v>
      </c>
      <c r="X14" s="157"/>
      <c r="Y14" s="507">
        <v>14436</v>
      </c>
      <c r="Z14" s="507">
        <f>+SUM(O14:V14)+17211</f>
        <v>76112.28</v>
      </c>
      <c r="AA14" s="667">
        <f t="shared" si="0"/>
        <v>90548.28</v>
      </c>
      <c r="AB14" s="507"/>
      <c r="AC14" s="667">
        <f t="shared" si="1"/>
        <v>114168.42</v>
      </c>
      <c r="AD14" s="157"/>
      <c r="AE14" s="157"/>
      <c r="AF14" s="668">
        <v>0</v>
      </c>
      <c r="AG14" s="157" t="s">
        <v>468</v>
      </c>
      <c r="AH14" s="157" t="s">
        <v>469</v>
      </c>
      <c r="AI14" s="177"/>
    </row>
    <row r="15" spans="1:35">
      <c r="B15" s="176" t="s">
        <v>470</v>
      </c>
      <c r="C15" s="157"/>
      <c r="D15" s="157"/>
      <c r="E15" s="157"/>
      <c r="F15" s="671"/>
      <c r="G15" s="693"/>
      <c r="H15" s="693"/>
      <c r="I15" s="693"/>
      <c r="J15" s="693"/>
      <c r="K15" s="693"/>
      <c r="L15" s="693"/>
      <c r="M15" s="693"/>
      <c r="N15" s="693">
        <v>11403.64</v>
      </c>
      <c r="O15" s="569">
        <v>25431.75</v>
      </c>
      <c r="P15" s="569">
        <v>0</v>
      </c>
      <c r="Q15" s="569"/>
      <c r="R15" s="569">
        <v>32.58</v>
      </c>
      <c r="S15" s="569">
        <v>11874.36</v>
      </c>
      <c r="T15" s="569">
        <v>11921.11</v>
      </c>
      <c r="U15" s="569"/>
      <c r="V15" s="569"/>
      <c r="W15" s="670">
        <v>60663.44</v>
      </c>
      <c r="X15" s="157"/>
      <c r="Y15" s="507">
        <f>+SUM(F15:N15)</f>
        <v>11403.64</v>
      </c>
      <c r="Z15" s="507">
        <f>+SUM(O15:V15)</f>
        <v>49259.8</v>
      </c>
      <c r="AA15" s="667">
        <f t="shared" si="0"/>
        <v>60663.44</v>
      </c>
      <c r="AB15" s="507"/>
      <c r="AC15" s="667">
        <f t="shared" si="1"/>
        <v>73889.700000000012</v>
      </c>
      <c r="AD15" s="157"/>
      <c r="AE15" s="157"/>
      <c r="AF15" s="668">
        <v>0</v>
      </c>
      <c r="AG15" s="157" t="s">
        <v>471</v>
      </c>
      <c r="AH15" s="157" t="s">
        <v>472</v>
      </c>
      <c r="AI15" s="177"/>
    </row>
    <row r="16" spans="1:35" ht="24.75" customHeight="1">
      <c r="B16" s="176" t="s">
        <v>473</v>
      </c>
      <c r="C16" s="157"/>
      <c r="D16" s="157"/>
      <c r="E16" s="157"/>
      <c r="F16" s="671"/>
      <c r="G16" s="693"/>
      <c r="H16" s="693"/>
      <c r="I16" s="693"/>
      <c r="J16" s="693"/>
      <c r="K16" s="693"/>
      <c r="L16" s="693"/>
      <c r="M16" s="693"/>
      <c r="N16" s="693"/>
      <c r="O16" s="569">
        <v>9438.99</v>
      </c>
      <c r="P16" s="569">
        <v>13761.88</v>
      </c>
      <c r="Q16" s="569">
        <v>9579.68</v>
      </c>
      <c r="R16" s="569">
        <v>2974.71</v>
      </c>
      <c r="S16" s="569">
        <v>2003.25</v>
      </c>
      <c r="T16" s="569">
        <v>17808.16</v>
      </c>
      <c r="U16" s="569">
        <v>4124.51</v>
      </c>
      <c r="V16" s="569"/>
      <c r="W16" s="670">
        <v>59691.18</v>
      </c>
      <c r="X16" s="157"/>
      <c r="Y16" s="507">
        <f>+SUM(F16:N16)</f>
        <v>0</v>
      </c>
      <c r="Z16" s="507">
        <f>+SUM(O16:V16)</f>
        <v>59691.18</v>
      </c>
      <c r="AA16" s="667">
        <f t="shared" si="0"/>
        <v>59691.18</v>
      </c>
      <c r="AB16" s="507"/>
      <c r="AC16" s="667">
        <f t="shared" si="1"/>
        <v>89536.77</v>
      </c>
      <c r="AD16" s="157"/>
      <c r="AE16" s="157"/>
      <c r="AF16" s="668">
        <v>30000</v>
      </c>
      <c r="AG16" s="157" t="s">
        <v>471</v>
      </c>
      <c r="AH16" s="695" t="s">
        <v>474</v>
      </c>
      <c r="AI16" s="696">
        <v>60000</v>
      </c>
    </row>
    <row r="17" spans="2:35">
      <c r="B17" s="176" t="s">
        <v>475</v>
      </c>
      <c r="C17" s="157"/>
      <c r="D17" s="157"/>
      <c r="E17" s="157"/>
      <c r="F17" s="157"/>
      <c r="G17" s="157"/>
      <c r="H17" s="157"/>
      <c r="I17" s="157"/>
      <c r="J17" s="157"/>
      <c r="K17" s="157"/>
      <c r="L17" s="157"/>
      <c r="M17" s="671"/>
      <c r="N17" s="693"/>
      <c r="O17" s="569"/>
      <c r="P17" s="569"/>
      <c r="Q17" s="569"/>
      <c r="R17" s="569"/>
      <c r="S17" s="569"/>
      <c r="T17" s="569"/>
      <c r="U17" s="569"/>
      <c r="V17" s="569">
        <v>26130.79</v>
      </c>
      <c r="W17" s="670">
        <v>26130.79</v>
      </c>
      <c r="X17" s="157"/>
      <c r="Y17" s="507">
        <f>+SUM(F17:N17)</f>
        <v>0</v>
      </c>
      <c r="Z17" s="507">
        <f>+SUM(O17:V17)</f>
        <v>26130.79</v>
      </c>
      <c r="AA17" s="667">
        <f t="shared" si="0"/>
        <v>26130.79</v>
      </c>
      <c r="AB17" s="507"/>
      <c r="AC17" s="667">
        <f t="shared" si="1"/>
        <v>39196.184999999998</v>
      </c>
      <c r="AD17" s="157"/>
      <c r="AE17" s="157"/>
      <c r="AF17" s="673">
        <v>0</v>
      </c>
      <c r="AG17" s="157" t="s">
        <v>464</v>
      </c>
      <c r="AH17" s="157" t="s">
        <v>476</v>
      </c>
      <c r="AI17" s="177"/>
    </row>
    <row r="18" spans="2:35">
      <c r="B18" s="176" t="s">
        <v>477</v>
      </c>
      <c r="C18" s="157"/>
      <c r="D18" s="157"/>
      <c r="E18" s="157"/>
      <c r="F18" s="671"/>
      <c r="G18" s="693"/>
      <c r="H18" s="693"/>
      <c r="I18" s="693"/>
      <c r="J18" s="693"/>
      <c r="K18" s="693"/>
      <c r="L18" s="693">
        <v>7706.7</v>
      </c>
      <c r="M18" s="693">
        <v>6434.21</v>
      </c>
      <c r="N18" s="693">
        <v>18312.79</v>
      </c>
      <c r="O18" s="569">
        <v>3476.69</v>
      </c>
      <c r="P18" s="569">
        <v>1442.51</v>
      </c>
      <c r="Q18" s="569">
        <v>4779.1499999999996</v>
      </c>
      <c r="R18" s="569">
        <v>392.76</v>
      </c>
      <c r="S18" s="569"/>
      <c r="T18" s="569">
        <v>6069.04</v>
      </c>
      <c r="U18" s="569"/>
      <c r="V18" s="569"/>
      <c r="W18" s="670">
        <v>48613.85</v>
      </c>
      <c r="X18" s="157"/>
      <c r="Y18" s="507">
        <f>+SUM(F18:N18)</f>
        <v>32453.7</v>
      </c>
      <c r="Z18" s="507">
        <f>+SUM(O18:V18)+7131</f>
        <v>23291.149999999998</v>
      </c>
      <c r="AA18" s="667">
        <f t="shared" si="0"/>
        <v>55744.85</v>
      </c>
      <c r="AB18" s="507"/>
      <c r="AC18" s="667">
        <f t="shared" si="1"/>
        <v>34936.724999999999</v>
      </c>
      <c r="AD18" s="157"/>
      <c r="AE18" s="157"/>
      <c r="AF18" s="668">
        <v>30000</v>
      </c>
      <c r="AG18" s="157"/>
      <c r="AH18" s="157" t="s">
        <v>478</v>
      </c>
      <c r="AI18" s="177"/>
    </row>
    <row r="19" spans="2:35">
      <c r="B19" s="176" t="s">
        <v>479</v>
      </c>
      <c r="C19" s="157"/>
      <c r="D19" s="157"/>
      <c r="E19" s="157"/>
      <c r="F19" s="671"/>
      <c r="G19" s="693">
        <v>2154.63</v>
      </c>
      <c r="H19" s="693">
        <v>4436.47</v>
      </c>
      <c r="I19" s="693"/>
      <c r="J19" s="693">
        <v>5526.98</v>
      </c>
      <c r="K19" s="693"/>
      <c r="L19" s="693">
        <v>4909.91</v>
      </c>
      <c r="M19" s="693">
        <v>2824.67</v>
      </c>
      <c r="N19" s="693">
        <v>5947.22</v>
      </c>
      <c r="O19" s="569">
        <v>5856.79</v>
      </c>
      <c r="P19" s="569">
        <v>2257.0500000000002</v>
      </c>
      <c r="Q19" s="569">
        <v>2441.4299999999998</v>
      </c>
      <c r="R19" s="569">
        <v>3202.51</v>
      </c>
      <c r="S19" s="569">
        <v>3624.82</v>
      </c>
      <c r="T19" s="569">
        <v>3255.43</v>
      </c>
      <c r="U19" s="569">
        <v>3521.19</v>
      </c>
      <c r="V19" s="569"/>
      <c r="W19" s="670">
        <v>49959.1</v>
      </c>
      <c r="X19" s="157"/>
      <c r="Y19" s="507">
        <f>+SUM(F19:N19)</f>
        <v>25799.879999999997</v>
      </c>
      <c r="Z19" s="507">
        <f t="shared" ref="Z19:Z24" si="2">+SUM(O19:V19)</f>
        <v>24159.22</v>
      </c>
      <c r="AA19" s="667">
        <f t="shared" si="0"/>
        <v>49959.1</v>
      </c>
      <c r="AB19" s="507"/>
      <c r="AC19" s="667">
        <f t="shared" si="1"/>
        <v>36238.83</v>
      </c>
      <c r="AD19" s="157"/>
      <c r="AE19" s="157"/>
      <c r="AF19" s="668">
        <v>18000</v>
      </c>
      <c r="AG19" s="157"/>
      <c r="AH19" s="157" t="s">
        <v>480</v>
      </c>
      <c r="AI19" s="177"/>
    </row>
    <row r="20" spans="2:35">
      <c r="B20" s="176" t="s">
        <v>481</v>
      </c>
      <c r="C20" s="157"/>
      <c r="D20" s="157"/>
      <c r="E20" s="157"/>
      <c r="F20" s="671"/>
      <c r="G20" s="693"/>
      <c r="H20" s="693"/>
      <c r="I20" s="693"/>
      <c r="J20" s="693"/>
      <c r="K20" s="693"/>
      <c r="L20" s="693"/>
      <c r="M20" s="693"/>
      <c r="N20" s="693"/>
      <c r="O20" s="569">
        <v>2260.16</v>
      </c>
      <c r="P20" s="569">
        <v>6598.82</v>
      </c>
      <c r="Q20" s="569">
        <v>6945.59</v>
      </c>
      <c r="R20" s="569"/>
      <c r="S20" s="569"/>
      <c r="T20" s="569"/>
      <c r="U20" s="569">
        <v>6470.53</v>
      </c>
      <c r="V20" s="569"/>
      <c r="W20" s="670">
        <v>22275.1</v>
      </c>
      <c r="X20" s="157"/>
      <c r="Y20" s="507">
        <f>+SUM(F20:N20)+13297+6751</f>
        <v>20048</v>
      </c>
      <c r="Z20" s="507">
        <f t="shared" si="2"/>
        <v>22275.1</v>
      </c>
      <c r="AA20" s="667">
        <f t="shared" si="0"/>
        <v>42323.1</v>
      </c>
      <c r="AB20" s="507"/>
      <c r="AC20" s="667">
        <f t="shared" si="1"/>
        <v>33412.649999999994</v>
      </c>
      <c r="AD20" s="157" t="s">
        <v>482</v>
      </c>
      <c r="AE20" s="157"/>
      <c r="AF20" s="668">
        <v>34000</v>
      </c>
      <c r="AG20" s="187"/>
      <c r="AH20" s="697" t="s">
        <v>483</v>
      </c>
      <c r="AI20" s="177"/>
    </row>
    <row r="21" spans="2:35">
      <c r="B21" s="176" t="s">
        <v>484</v>
      </c>
      <c r="C21" s="157"/>
      <c r="D21" s="157"/>
      <c r="E21" s="157"/>
      <c r="F21" s="671"/>
      <c r="G21" s="693"/>
      <c r="H21" s="693"/>
      <c r="I21" s="693"/>
      <c r="J21" s="693"/>
      <c r="K21" s="693"/>
      <c r="L21" s="693"/>
      <c r="M21" s="693"/>
      <c r="N21" s="693">
        <v>9529.2900000000009</v>
      </c>
      <c r="O21" s="569"/>
      <c r="P21" s="569"/>
      <c r="Q21" s="569"/>
      <c r="R21" s="569"/>
      <c r="S21" s="569">
        <v>12636.39</v>
      </c>
      <c r="T21" s="569">
        <v>10860.42</v>
      </c>
      <c r="U21" s="569"/>
      <c r="V21" s="569"/>
      <c r="W21" s="670">
        <v>33026.1</v>
      </c>
      <c r="X21" s="157"/>
      <c r="Y21" s="507">
        <f>+SUM(F21:N21)</f>
        <v>9529.2900000000009</v>
      </c>
      <c r="Z21" s="507">
        <f t="shared" si="2"/>
        <v>23496.809999999998</v>
      </c>
      <c r="AA21" s="667">
        <f t="shared" si="0"/>
        <v>33026.1</v>
      </c>
      <c r="AB21" s="507"/>
      <c r="AC21" s="667">
        <f t="shared" si="1"/>
        <v>35245.214999999997</v>
      </c>
      <c r="AD21" s="157"/>
      <c r="AE21" s="157"/>
      <c r="AF21" s="673">
        <v>0</v>
      </c>
      <c r="AG21" s="157"/>
      <c r="AH21" s="697" t="s">
        <v>485</v>
      </c>
      <c r="AI21" s="177"/>
    </row>
    <row r="22" spans="2:35">
      <c r="B22" s="176" t="s">
        <v>486</v>
      </c>
      <c r="C22" s="157"/>
      <c r="D22" s="157"/>
      <c r="E22" s="157"/>
      <c r="F22" s="671"/>
      <c r="G22" s="693"/>
      <c r="H22" s="693"/>
      <c r="I22" s="693"/>
      <c r="J22" s="693">
        <v>2538.67</v>
      </c>
      <c r="K22" s="693"/>
      <c r="L22" s="693"/>
      <c r="M22" s="693">
        <v>615.66999999999996</v>
      </c>
      <c r="N22" s="693">
        <v>9540.31</v>
      </c>
      <c r="O22" s="569">
        <v>3040.98</v>
      </c>
      <c r="P22" s="569">
        <v>1229.08</v>
      </c>
      <c r="Q22" s="569">
        <v>1101.1199999999999</v>
      </c>
      <c r="R22" s="569">
        <v>129.76</v>
      </c>
      <c r="S22" s="569">
        <v>4039.82</v>
      </c>
      <c r="T22" s="569">
        <v>5425.95</v>
      </c>
      <c r="U22" s="569">
        <v>1265.58</v>
      </c>
      <c r="V22" s="569"/>
      <c r="W22" s="670">
        <v>28926.94</v>
      </c>
      <c r="X22" s="157"/>
      <c r="Y22" s="507">
        <f>+SUM(F22:N22)</f>
        <v>12694.65</v>
      </c>
      <c r="Z22" s="507">
        <f t="shared" si="2"/>
        <v>16232.289999999999</v>
      </c>
      <c r="AA22" s="667">
        <f t="shared" si="0"/>
        <v>28926.94</v>
      </c>
      <c r="AB22" s="507"/>
      <c r="AC22" s="667">
        <f t="shared" si="1"/>
        <v>24348.434999999998</v>
      </c>
      <c r="AD22" s="157"/>
      <c r="AE22" s="157"/>
      <c r="AF22" s="668">
        <v>20000</v>
      </c>
      <c r="AG22" s="157" t="s">
        <v>464</v>
      </c>
      <c r="AH22" s="157" t="s">
        <v>487</v>
      </c>
      <c r="AI22" s="177"/>
    </row>
    <row r="23" spans="2:35">
      <c r="B23" s="176" t="s">
        <v>488</v>
      </c>
      <c r="C23" s="157"/>
      <c r="D23" s="157"/>
      <c r="E23" s="157"/>
      <c r="F23" s="671"/>
      <c r="G23" s="693"/>
      <c r="H23" s="693"/>
      <c r="I23" s="693"/>
      <c r="J23" s="693"/>
      <c r="K23" s="693"/>
      <c r="L23" s="693"/>
      <c r="M23" s="693"/>
      <c r="N23" s="693"/>
      <c r="O23" s="569"/>
      <c r="P23" s="569">
        <v>7359.47</v>
      </c>
      <c r="Q23" s="569"/>
      <c r="R23" s="569"/>
      <c r="S23" s="569">
        <v>1554.45</v>
      </c>
      <c r="T23" s="569"/>
      <c r="U23" s="569"/>
      <c r="V23" s="569"/>
      <c r="W23" s="670">
        <v>8913.92</v>
      </c>
      <c r="X23" s="157"/>
      <c r="Y23" s="507">
        <f>+SUM(F23:N23)</f>
        <v>0</v>
      </c>
      <c r="Z23" s="507">
        <f t="shared" si="2"/>
        <v>8913.92</v>
      </c>
      <c r="AA23" s="667">
        <f t="shared" si="0"/>
        <v>8913.92</v>
      </c>
      <c r="AB23" s="507"/>
      <c r="AC23" s="667">
        <f t="shared" si="1"/>
        <v>13370.880000000001</v>
      </c>
      <c r="AD23" s="157" t="s">
        <v>489</v>
      </c>
      <c r="AE23" s="157"/>
      <c r="AF23" s="673">
        <v>10000</v>
      </c>
      <c r="AG23" s="157" t="s">
        <v>471</v>
      </c>
      <c r="AH23" s="157" t="s">
        <v>490</v>
      </c>
      <c r="AI23" s="177"/>
    </row>
    <row r="24" spans="2:35">
      <c r="B24" s="176" t="s">
        <v>491</v>
      </c>
      <c r="C24" s="157"/>
      <c r="D24" s="157"/>
      <c r="E24" s="157"/>
      <c r="F24" s="671"/>
      <c r="G24" s="693"/>
      <c r="H24" s="693"/>
      <c r="I24" s="693"/>
      <c r="J24" s="693"/>
      <c r="K24" s="693"/>
      <c r="L24" s="693"/>
      <c r="M24" s="693">
        <v>4790.3500000000004</v>
      </c>
      <c r="N24" s="693"/>
      <c r="O24" s="569">
        <v>1107.44</v>
      </c>
      <c r="P24" s="569"/>
      <c r="Q24" s="569"/>
      <c r="R24" s="569"/>
      <c r="S24" s="569"/>
      <c r="T24" s="569"/>
      <c r="U24" s="569"/>
      <c r="V24" s="569"/>
      <c r="W24" s="670">
        <v>5897.79</v>
      </c>
      <c r="X24" s="157"/>
      <c r="Y24" s="507">
        <f>+SUM(F24:N24)</f>
        <v>4790.3500000000004</v>
      </c>
      <c r="Z24" s="507">
        <f t="shared" si="2"/>
        <v>1107.44</v>
      </c>
      <c r="AA24" s="667">
        <f t="shared" si="0"/>
        <v>5897.7900000000009</v>
      </c>
      <c r="AB24" s="507"/>
      <c r="AC24" s="667">
        <f t="shared" si="1"/>
        <v>1661.16</v>
      </c>
      <c r="AD24" s="157" t="s">
        <v>492</v>
      </c>
      <c r="AE24" s="157"/>
      <c r="AF24" s="673">
        <v>0</v>
      </c>
      <c r="AG24" s="157" t="s">
        <v>493</v>
      </c>
      <c r="AH24" s="157" t="s">
        <v>494</v>
      </c>
      <c r="AI24" s="177"/>
    </row>
    <row r="25" spans="2:35">
      <c r="B25" s="184" t="s">
        <v>495</v>
      </c>
      <c r="C25" s="157"/>
      <c r="D25" s="157"/>
      <c r="E25" s="157"/>
      <c r="F25" s="671"/>
      <c r="G25" s="693"/>
      <c r="H25" s="693"/>
      <c r="I25" s="693"/>
      <c r="J25" s="693"/>
      <c r="K25" s="693"/>
      <c r="L25" s="693"/>
      <c r="M25" s="693"/>
      <c r="N25" s="693"/>
      <c r="O25" s="569"/>
      <c r="P25" s="569"/>
      <c r="Q25" s="569"/>
      <c r="R25" s="569"/>
      <c r="S25" s="569"/>
      <c r="T25" s="569"/>
      <c r="U25" s="569"/>
      <c r="V25" s="569"/>
      <c r="W25" s="670"/>
      <c r="X25" s="157"/>
      <c r="Y25" s="507">
        <v>0</v>
      </c>
      <c r="Z25" s="507">
        <v>10000</v>
      </c>
      <c r="AA25" s="667"/>
      <c r="AB25" s="507"/>
      <c r="AC25" s="667">
        <f t="shared" si="1"/>
        <v>15000</v>
      </c>
      <c r="AD25" s="157"/>
      <c r="AE25" s="157"/>
      <c r="AF25" s="673">
        <v>0</v>
      </c>
      <c r="AG25" s="157"/>
      <c r="AH25" s="157" t="s">
        <v>496</v>
      </c>
      <c r="AI25" s="177"/>
    </row>
    <row r="26" spans="2:35">
      <c r="B26" s="184" t="s">
        <v>497</v>
      </c>
      <c r="C26" s="157"/>
      <c r="D26" s="157"/>
      <c r="E26" s="157"/>
      <c r="F26" s="671"/>
      <c r="G26" s="693"/>
      <c r="H26" s="693"/>
      <c r="I26" s="693"/>
      <c r="J26" s="693"/>
      <c r="K26" s="693"/>
      <c r="L26" s="693"/>
      <c r="M26" s="693"/>
      <c r="N26" s="693"/>
      <c r="O26" s="569"/>
      <c r="P26" s="569"/>
      <c r="Q26" s="569"/>
      <c r="R26" s="569"/>
      <c r="S26" s="569"/>
      <c r="T26" s="569"/>
      <c r="U26" s="569"/>
      <c r="V26" s="569"/>
      <c r="W26" s="670"/>
      <c r="X26" s="157"/>
      <c r="Y26" s="507">
        <v>0</v>
      </c>
      <c r="Z26" s="507">
        <v>14000</v>
      </c>
      <c r="AA26" s="667"/>
      <c r="AB26" s="507"/>
      <c r="AC26" s="667">
        <f t="shared" si="1"/>
        <v>21000</v>
      </c>
      <c r="AD26" s="157"/>
      <c r="AE26" s="157"/>
      <c r="AF26" s="673">
        <v>20000</v>
      </c>
      <c r="AG26" s="157"/>
      <c r="AH26" s="157" t="s">
        <v>498</v>
      </c>
      <c r="AI26" s="177"/>
    </row>
    <row r="27" spans="2:35" ht="13.8" thickBot="1">
      <c r="B27" s="176" t="s">
        <v>499</v>
      </c>
      <c r="C27" s="157"/>
      <c r="D27" s="157"/>
      <c r="E27" s="157"/>
      <c r="F27" s="671"/>
      <c r="G27" s="693"/>
      <c r="H27" s="693"/>
      <c r="I27" s="693"/>
      <c r="J27" s="693"/>
      <c r="K27" s="693"/>
      <c r="L27" s="693"/>
      <c r="M27" s="693"/>
      <c r="N27" s="693"/>
      <c r="O27" s="569"/>
      <c r="P27" s="569"/>
      <c r="Q27" s="569"/>
      <c r="R27" s="569"/>
      <c r="S27" s="569"/>
      <c r="T27" s="569"/>
      <c r="U27" s="569"/>
      <c r="V27" s="569"/>
      <c r="W27" s="670"/>
      <c r="X27" s="157"/>
      <c r="Y27" s="507"/>
      <c r="Z27" s="507">
        <v>0</v>
      </c>
      <c r="AA27" s="667">
        <f>+Y27+Z27</f>
        <v>0</v>
      </c>
      <c r="AB27" s="507"/>
      <c r="AC27" s="667">
        <f t="shared" si="1"/>
        <v>0</v>
      </c>
      <c r="AD27" s="157"/>
      <c r="AE27" s="157"/>
      <c r="AF27" s="668">
        <v>45000</v>
      </c>
      <c r="AG27" s="157"/>
      <c r="AH27" s="185" t="s">
        <v>670</v>
      </c>
      <c r="AI27" s="177"/>
    </row>
    <row r="28" spans="2:35" ht="13.8" thickBot="1">
      <c r="B28" s="689" t="s">
        <v>453</v>
      </c>
      <c r="C28" s="157"/>
      <c r="D28" s="157"/>
      <c r="E28" s="157"/>
      <c r="F28" s="674">
        <v>2769.79</v>
      </c>
      <c r="G28" s="675">
        <v>2154.63</v>
      </c>
      <c r="H28" s="675">
        <v>4436.47</v>
      </c>
      <c r="I28" s="675">
        <v>-3149.82</v>
      </c>
      <c r="J28" s="675">
        <v>58652.08</v>
      </c>
      <c r="K28" s="675">
        <v>7298.5</v>
      </c>
      <c r="L28" s="675">
        <v>40718.699999999997</v>
      </c>
      <c r="M28" s="675">
        <v>14960.12</v>
      </c>
      <c r="N28" s="675">
        <v>107713.08</v>
      </c>
      <c r="O28" s="676">
        <v>94732.37</v>
      </c>
      <c r="P28" s="676">
        <v>108423.46</v>
      </c>
      <c r="Q28" s="676">
        <v>-713.34999999999127</v>
      </c>
      <c r="R28" s="676">
        <v>109284.19</v>
      </c>
      <c r="S28" s="676">
        <v>177212.4</v>
      </c>
      <c r="T28" s="676">
        <v>81962.539999999994</v>
      </c>
      <c r="U28" s="676">
        <v>19257.22</v>
      </c>
      <c r="V28" s="676">
        <v>21885.97</v>
      </c>
      <c r="W28" s="677">
        <v>847598.35</v>
      </c>
      <c r="X28" s="157"/>
      <c r="Y28" s="678">
        <f>SUM(Y11:Y27)</f>
        <v>206313.85</v>
      </c>
      <c r="Z28" s="678">
        <f>SUM(Z11:Z27)</f>
        <v>840666.26000000013</v>
      </c>
      <c r="AA28" s="679">
        <f>SUM(AA13:AA27)</f>
        <v>711362.24999999988</v>
      </c>
      <c r="AB28" s="680"/>
      <c r="AC28" s="679">
        <f>SUM(AC11:AC27)</f>
        <v>1260999.3900000001</v>
      </c>
      <c r="AD28" s="157"/>
      <c r="AE28" s="157"/>
      <c r="AF28" s="681">
        <f>+SUM(AF11:AF27)</f>
        <v>527000</v>
      </c>
      <c r="AG28" s="698">
        <f>+(AC28-AF28)/AC28</f>
        <v>0.58207751393123197</v>
      </c>
      <c r="AH28" s="187" t="s">
        <v>500</v>
      </c>
      <c r="AI28" s="177"/>
    </row>
    <row r="29" spans="2:35">
      <c r="B29" s="176"/>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673"/>
      <c r="AB29" s="157"/>
      <c r="AC29" s="673"/>
      <c r="AD29" s="157"/>
      <c r="AE29" s="157"/>
      <c r="AF29" s="673"/>
      <c r="AG29" s="157"/>
      <c r="AH29" s="157"/>
      <c r="AI29" s="177"/>
    </row>
    <row r="30" spans="2:35" ht="26.25" customHeight="1">
      <c r="B30" s="945" t="s">
        <v>501</v>
      </c>
      <c r="C30" s="891"/>
      <c r="D30" s="891"/>
      <c r="E30" s="891"/>
      <c r="F30" s="891"/>
      <c r="G30" s="891"/>
      <c r="H30" s="891"/>
      <c r="I30" s="891"/>
      <c r="J30" s="891"/>
      <c r="K30" s="891"/>
      <c r="L30" s="891"/>
      <c r="M30" s="655">
        <v>36831</v>
      </c>
      <c r="N30" s="656">
        <v>36861</v>
      </c>
      <c r="O30" s="656">
        <v>36892</v>
      </c>
      <c r="P30" s="656">
        <v>36923</v>
      </c>
      <c r="Q30" s="656">
        <v>36951</v>
      </c>
      <c r="R30" s="656">
        <v>36982</v>
      </c>
      <c r="S30" s="656">
        <v>37012</v>
      </c>
      <c r="T30" s="656">
        <v>37043</v>
      </c>
      <c r="U30" s="656">
        <v>37073</v>
      </c>
      <c r="V30" s="656">
        <v>37104</v>
      </c>
      <c r="W30" s="944" t="s">
        <v>453</v>
      </c>
      <c r="X30" s="891"/>
      <c r="Y30" s="682">
        <v>2000</v>
      </c>
      <c r="Z30" s="699">
        <v>2001</v>
      </c>
      <c r="AA30" s="683" t="s">
        <v>456</v>
      </c>
      <c r="AB30" s="684"/>
      <c r="AC30" s="685" t="s">
        <v>502</v>
      </c>
      <c r="AD30" s="690"/>
      <c r="AE30" s="690"/>
      <c r="AF30" s="683" t="s">
        <v>36</v>
      </c>
      <c r="AG30" s="691"/>
      <c r="AH30" s="691"/>
      <c r="AI30" s="177"/>
    </row>
    <row r="31" spans="2:35">
      <c r="B31" s="176" t="s">
        <v>503</v>
      </c>
      <c r="C31" s="157"/>
      <c r="D31" s="157"/>
      <c r="E31" s="157"/>
      <c r="F31" s="157"/>
      <c r="G31" s="157"/>
      <c r="H31" s="157"/>
      <c r="I31" s="157"/>
      <c r="J31" s="157"/>
      <c r="K31" s="157"/>
      <c r="L31" s="157"/>
      <c r="M31" s="671"/>
      <c r="N31" s="693"/>
      <c r="O31" s="569"/>
      <c r="P31" s="569"/>
      <c r="Q31" s="569"/>
      <c r="R31" s="569"/>
      <c r="S31" s="569"/>
      <c r="T31" s="569"/>
      <c r="U31" s="569"/>
      <c r="V31" s="569">
        <v>79050.13</v>
      </c>
      <c r="W31" s="670">
        <v>79050.13</v>
      </c>
      <c r="X31" s="157"/>
      <c r="Y31" s="507">
        <f>+SUM(F31:N31)</f>
        <v>0</v>
      </c>
      <c r="Z31" s="507">
        <f>+SUM(O31:V31)+21915</f>
        <v>100965.13</v>
      </c>
      <c r="AA31" s="667">
        <f t="shared" ref="AA31:AA40" si="3">+Y31+Z31</f>
        <v>100965.13</v>
      </c>
      <c r="AB31" s="507"/>
      <c r="AC31" s="667">
        <f t="shared" ref="AC31:AC40" si="4">+Z31/8*12</f>
        <v>151447.69500000001</v>
      </c>
      <c r="AD31" s="157"/>
      <c r="AE31" s="157"/>
      <c r="AF31" s="673">
        <v>50000</v>
      </c>
      <c r="AG31" s="157" t="s">
        <v>462</v>
      </c>
      <c r="AH31" s="157" t="s">
        <v>504</v>
      </c>
      <c r="AI31" s="177"/>
    </row>
    <row r="32" spans="2:35" ht="25.5" customHeight="1">
      <c r="B32" s="176" t="s">
        <v>505</v>
      </c>
      <c r="C32" s="157"/>
      <c r="D32" s="157"/>
      <c r="E32" s="157"/>
      <c r="F32" s="157"/>
      <c r="G32" s="157"/>
      <c r="H32" s="157"/>
      <c r="I32" s="157"/>
      <c r="J32" s="157"/>
      <c r="K32" s="157"/>
      <c r="L32" s="157"/>
      <c r="M32" s="671"/>
      <c r="N32" s="693"/>
      <c r="O32" s="569">
        <v>113122.17</v>
      </c>
      <c r="P32" s="569"/>
      <c r="Q32" s="569"/>
      <c r="R32" s="569"/>
      <c r="S32" s="569"/>
      <c r="T32" s="569"/>
      <c r="U32" s="569"/>
      <c r="V32" s="569"/>
      <c r="W32" s="670">
        <v>113122.17</v>
      </c>
      <c r="X32" s="157"/>
      <c r="Y32" s="507">
        <f>129270+15753</f>
        <v>145023</v>
      </c>
      <c r="Z32" s="507">
        <f>52367+25000</f>
        <v>77367</v>
      </c>
      <c r="AA32" s="667">
        <f t="shared" si="3"/>
        <v>222390</v>
      </c>
      <c r="AB32" s="507"/>
      <c r="AC32" s="667">
        <f t="shared" si="4"/>
        <v>116050.5</v>
      </c>
      <c r="AD32" s="157" t="s">
        <v>506</v>
      </c>
      <c r="AE32" s="157"/>
      <c r="AF32" s="668">
        <v>100000</v>
      </c>
      <c r="AG32" s="157" t="s">
        <v>464</v>
      </c>
      <c r="AH32" s="694" t="s">
        <v>507</v>
      </c>
      <c r="AI32" s="177"/>
    </row>
    <row r="33" spans="2:35" hidden="1">
      <c r="B33" s="176" t="s">
        <v>508</v>
      </c>
      <c r="C33" s="157"/>
      <c r="D33" s="157"/>
      <c r="E33" s="157"/>
      <c r="F33" s="157"/>
      <c r="G33" s="157"/>
      <c r="H33" s="157"/>
      <c r="I33" s="157"/>
      <c r="J33" s="157"/>
      <c r="K33" s="157"/>
      <c r="L33" s="157"/>
      <c r="M33" s="671"/>
      <c r="N33" s="693">
        <v>7878</v>
      </c>
      <c r="O33" s="569"/>
      <c r="P33" s="569">
        <v>1908.76</v>
      </c>
      <c r="Q33" s="569">
        <v>3775.94</v>
      </c>
      <c r="R33" s="569"/>
      <c r="S33" s="569">
        <v>35063.08</v>
      </c>
      <c r="T33" s="569"/>
      <c r="U33" s="569"/>
      <c r="V33" s="569">
        <v>-24995.07</v>
      </c>
      <c r="W33" s="670">
        <v>23630.71</v>
      </c>
      <c r="X33" s="157"/>
      <c r="Y33" s="507">
        <f t="shared" ref="Y33:Y39" si="5">+SUM(F33:N33)</f>
        <v>7878</v>
      </c>
      <c r="Z33" s="507">
        <v>0</v>
      </c>
      <c r="AA33" s="667">
        <f t="shared" si="3"/>
        <v>7878</v>
      </c>
      <c r="AB33" s="507"/>
      <c r="AC33" s="667">
        <f t="shared" si="4"/>
        <v>0</v>
      </c>
      <c r="AD33" s="157" t="s">
        <v>509</v>
      </c>
      <c r="AE33" s="157"/>
      <c r="AF33" s="673">
        <v>0</v>
      </c>
      <c r="AG33" s="157"/>
      <c r="AH33" s="157"/>
      <c r="AI33" s="177"/>
    </row>
    <row r="34" spans="2:35">
      <c r="B34" s="176" t="s">
        <v>510</v>
      </c>
      <c r="C34" s="157"/>
      <c r="D34" s="157"/>
      <c r="E34" s="157"/>
      <c r="F34" s="157"/>
      <c r="G34" s="157"/>
      <c r="H34" s="157"/>
      <c r="I34" s="157"/>
      <c r="J34" s="157"/>
      <c r="K34" s="157"/>
      <c r="L34" s="157"/>
      <c r="M34" s="671"/>
      <c r="N34" s="693"/>
      <c r="O34" s="569">
        <v>5862.12</v>
      </c>
      <c r="P34" s="569"/>
      <c r="Q34" s="569"/>
      <c r="R34" s="569"/>
      <c r="S34" s="569"/>
      <c r="T34" s="569">
        <v>2085.84</v>
      </c>
      <c r="U34" s="569"/>
      <c r="V34" s="569">
        <v>7722</v>
      </c>
      <c r="W34" s="670">
        <v>15669.96</v>
      </c>
      <c r="X34" s="157"/>
      <c r="Y34" s="507">
        <f t="shared" si="5"/>
        <v>0</v>
      </c>
      <c r="Z34" s="507">
        <f>+SUM(O34:V34)</f>
        <v>15669.96</v>
      </c>
      <c r="AA34" s="667">
        <f t="shared" si="3"/>
        <v>15669.96</v>
      </c>
      <c r="AB34" s="507"/>
      <c r="AC34" s="667">
        <f t="shared" si="4"/>
        <v>23504.94</v>
      </c>
      <c r="AD34" s="157"/>
      <c r="AE34" s="157"/>
      <c r="AF34" s="673">
        <v>0</v>
      </c>
      <c r="AG34" s="157"/>
      <c r="AH34" s="187"/>
      <c r="AI34" s="177"/>
    </row>
    <row r="35" spans="2:35">
      <c r="B35" s="176" t="s">
        <v>511</v>
      </c>
      <c r="C35" s="157"/>
      <c r="D35" s="157"/>
      <c r="E35" s="157"/>
      <c r="F35" s="157"/>
      <c r="G35" s="157"/>
      <c r="H35" s="157"/>
      <c r="I35" s="157"/>
      <c r="J35" s="157"/>
      <c r="K35" s="157"/>
      <c r="L35" s="157"/>
      <c r="M35" s="671"/>
      <c r="N35" s="693">
        <v>8385.11</v>
      </c>
      <c r="O35" s="569">
        <v>283.97000000000003</v>
      </c>
      <c r="P35" s="569"/>
      <c r="Q35" s="569">
        <v>4136.5600000000004</v>
      </c>
      <c r="R35" s="569">
        <v>3700.14</v>
      </c>
      <c r="S35" s="569">
        <v>2554.7399999999998</v>
      </c>
      <c r="T35" s="569">
        <v>1138.28</v>
      </c>
      <c r="U35" s="569"/>
      <c r="V35" s="569"/>
      <c r="W35" s="670">
        <v>20198.8</v>
      </c>
      <c r="X35" s="157"/>
      <c r="Y35" s="507">
        <f t="shared" si="5"/>
        <v>8385.11</v>
      </c>
      <c r="Z35" s="507">
        <f>+SUM(O35:V35)</f>
        <v>11813.69</v>
      </c>
      <c r="AA35" s="667">
        <f t="shared" si="3"/>
        <v>20198.800000000003</v>
      </c>
      <c r="AB35" s="507"/>
      <c r="AC35" s="667">
        <f t="shared" si="4"/>
        <v>17720.535</v>
      </c>
      <c r="AD35" s="157"/>
      <c r="AE35" s="157"/>
      <c r="AF35" s="673">
        <v>10000</v>
      </c>
      <c r="AG35" s="157" t="s">
        <v>471</v>
      </c>
      <c r="AH35" s="157" t="s">
        <v>512</v>
      </c>
      <c r="AI35" s="177"/>
    </row>
    <row r="36" spans="2:35">
      <c r="B36" s="176" t="s">
        <v>513</v>
      </c>
      <c r="C36" s="157"/>
      <c r="D36" s="157"/>
      <c r="E36" s="157"/>
      <c r="F36" s="157"/>
      <c r="G36" s="157"/>
      <c r="H36" s="157"/>
      <c r="I36" s="157"/>
      <c r="J36" s="157"/>
      <c r="K36" s="157"/>
      <c r="L36" s="157"/>
      <c r="M36" s="671"/>
      <c r="N36" s="693">
        <v>1980.21</v>
      </c>
      <c r="O36" s="569">
        <v>6767.39</v>
      </c>
      <c r="P36" s="569">
        <v>1655.78</v>
      </c>
      <c r="Q36" s="569"/>
      <c r="R36" s="569"/>
      <c r="S36" s="569">
        <v>2057.5700000000002</v>
      </c>
      <c r="T36" s="569"/>
      <c r="U36" s="569"/>
      <c r="V36" s="569"/>
      <c r="W36" s="670">
        <v>12460.95</v>
      </c>
      <c r="X36" s="157"/>
      <c r="Y36" s="507">
        <f t="shared" si="5"/>
        <v>1980.21</v>
      </c>
      <c r="Z36" s="507">
        <f>+SUM(O36:V36)</f>
        <v>10480.74</v>
      </c>
      <c r="AA36" s="667">
        <f t="shared" si="3"/>
        <v>12460.95</v>
      </c>
      <c r="AB36" s="507"/>
      <c r="AC36" s="667">
        <f t="shared" si="4"/>
        <v>15721.11</v>
      </c>
      <c r="AD36" s="157" t="s">
        <v>514</v>
      </c>
      <c r="AE36" s="157"/>
      <c r="AF36" s="673">
        <v>10000</v>
      </c>
      <c r="AG36" s="157" t="s">
        <v>471</v>
      </c>
      <c r="AH36" s="157" t="s">
        <v>515</v>
      </c>
      <c r="AI36" s="177"/>
    </row>
    <row r="37" spans="2:35" hidden="1">
      <c r="B37" s="176" t="s">
        <v>516</v>
      </c>
      <c r="C37" s="157"/>
      <c r="D37" s="157"/>
      <c r="E37" s="157"/>
      <c r="F37" s="157"/>
      <c r="G37" s="157"/>
      <c r="H37" s="157"/>
      <c r="I37" s="157"/>
      <c r="J37" s="157"/>
      <c r="K37" s="157"/>
      <c r="L37" s="157"/>
      <c r="M37" s="671">
        <v>10253.719999999999</v>
      </c>
      <c r="N37" s="693"/>
      <c r="O37" s="569"/>
      <c r="P37" s="569"/>
      <c r="Q37" s="569"/>
      <c r="R37" s="569"/>
      <c r="S37" s="569"/>
      <c r="T37" s="569"/>
      <c r="U37" s="569"/>
      <c r="V37" s="569"/>
      <c r="W37" s="670">
        <v>10253.719999999999</v>
      </c>
      <c r="X37" s="157"/>
      <c r="Y37" s="507">
        <f t="shared" si="5"/>
        <v>10253.719999999999</v>
      </c>
      <c r="Z37" s="507">
        <f>+SUM(O37:V37)</f>
        <v>0</v>
      </c>
      <c r="AA37" s="667">
        <f t="shared" si="3"/>
        <v>10253.719999999999</v>
      </c>
      <c r="AB37" s="507"/>
      <c r="AC37" s="667">
        <f t="shared" si="4"/>
        <v>0</v>
      </c>
      <c r="AD37" s="157"/>
      <c r="AE37" s="157"/>
      <c r="AF37" s="673">
        <v>0</v>
      </c>
      <c r="AG37" s="157"/>
      <c r="AH37" s="157"/>
      <c r="AI37" s="177"/>
    </row>
    <row r="38" spans="2:35">
      <c r="B38" s="176" t="s">
        <v>517</v>
      </c>
      <c r="C38" s="157"/>
      <c r="D38" s="157"/>
      <c r="E38" s="157"/>
      <c r="F38" s="671"/>
      <c r="G38" s="693"/>
      <c r="H38" s="693"/>
      <c r="I38" s="693"/>
      <c r="J38" s="693"/>
      <c r="K38" s="693">
        <v>738.42</v>
      </c>
      <c r="L38" s="693"/>
      <c r="M38" s="693"/>
      <c r="N38" s="693">
        <v>6950.21</v>
      </c>
      <c r="O38" s="569"/>
      <c r="P38" s="569"/>
      <c r="Q38" s="569"/>
      <c r="R38" s="569"/>
      <c r="S38" s="569"/>
      <c r="T38" s="569"/>
      <c r="U38" s="569"/>
      <c r="V38" s="569"/>
      <c r="W38" s="670">
        <v>7688.63</v>
      </c>
      <c r="X38" s="157"/>
      <c r="Y38" s="507">
        <f t="shared" si="5"/>
        <v>7688.63</v>
      </c>
      <c r="Z38" s="507">
        <v>6080</v>
      </c>
      <c r="AA38" s="667">
        <f t="shared" si="3"/>
        <v>13768.630000000001</v>
      </c>
      <c r="AB38" s="507"/>
      <c r="AC38" s="667">
        <f t="shared" si="4"/>
        <v>9120</v>
      </c>
      <c r="AD38" s="157" t="s">
        <v>492</v>
      </c>
      <c r="AE38" s="157"/>
      <c r="AF38" s="673">
        <v>10000</v>
      </c>
      <c r="AG38" s="157" t="s">
        <v>518</v>
      </c>
      <c r="AH38" s="157" t="s">
        <v>519</v>
      </c>
      <c r="AI38" s="177"/>
    </row>
    <row r="39" spans="2:35">
      <c r="B39" s="176" t="s">
        <v>520</v>
      </c>
      <c r="C39" s="157"/>
      <c r="D39" s="157"/>
      <c r="E39" s="157"/>
      <c r="F39" s="671">
        <v>2769.79</v>
      </c>
      <c r="G39" s="693"/>
      <c r="H39" s="693"/>
      <c r="I39" s="693"/>
      <c r="J39" s="693">
        <v>50586.43</v>
      </c>
      <c r="K39" s="693"/>
      <c r="L39" s="693"/>
      <c r="M39" s="693"/>
      <c r="N39" s="693"/>
      <c r="O39" s="569"/>
      <c r="P39" s="569"/>
      <c r="Q39" s="569"/>
      <c r="R39" s="569"/>
      <c r="S39" s="569"/>
      <c r="T39" s="569"/>
      <c r="U39" s="569"/>
      <c r="V39" s="569"/>
      <c r="W39" s="670">
        <v>53356.22</v>
      </c>
      <c r="X39" s="157"/>
      <c r="Y39" s="507">
        <f t="shared" si="5"/>
        <v>53356.22</v>
      </c>
      <c r="Z39" s="507">
        <f>+AC39/12*8</f>
        <v>33333.333333333336</v>
      </c>
      <c r="AA39" s="667">
        <f t="shared" si="3"/>
        <v>86689.553333333344</v>
      </c>
      <c r="AB39" s="507"/>
      <c r="AC39" s="667">
        <v>50000</v>
      </c>
      <c r="AD39" s="157"/>
      <c r="AE39" s="157"/>
      <c r="AF39" s="673">
        <v>50000</v>
      </c>
      <c r="AG39" s="157"/>
      <c r="AH39" s="157" t="s">
        <v>521</v>
      </c>
      <c r="AI39" s="177"/>
    </row>
    <row r="40" spans="2:35" ht="13.8" thickBot="1">
      <c r="B40" s="176" t="s">
        <v>499</v>
      </c>
      <c r="C40" s="157"/>
      <c r="D40" s="157"/>
      <c r="E40" s="157"/>
      <c r="F40" s="157"/>
      <c r="G40" s="157"/>
      <c r="H40" s="157"/>
      <c r="I40" s="157"/>
      <c r="J40" s="157"/>
      <c r="K40" s="157"/>
      <c r="L40" s="157"/>
      <c r="M40" s="671"/>
      <c r="N40" s="693"/>
      <c r="O40" s="569"/>
      <c r="P40" s="569"/>
      <c r="Q40" s="569"/>
      <c r="R40" s="569"/>
      <c r="S40" s="569"/>
      <c r="T40" s="569"/>
      <c r="U40" s="569"/>
      <c r="V40" s="569"/>
      <c r="W40" s="670"/>
      <c r="X40" s="157"/>
      <c r="Y40" s="507"/>
      <c r="Z40" s="507">
        <v>0</v>
      </c>
      <c r="AA40" s="667">
        <f t="shared" si="3"/>
        <v>0</v>
      </c>
      <c r="AB40" s="507"/>
      <c r="AC40" s="667">
        <f t="shared" si="4"/>
        <v>0</v>
      </c>
      <c r="AD40" s="157"/>
      <c r="AE40" s="157"/>
      <c r="AF40" s="668">
        <v>15000</v>
      </c>
      <c r="AG40" s="157"/>
      <c r="AH40" s="157"/>
      <c r="AI40" s="177"/>
    </row>
    <row r="41" spans="2:35" ht="13.8" thickBot="1">
      <c r="B41" s="689" t="s">
        <v>453</v>
      </c>
      <c r="C41" s="157"/>
      <c r="D41" s="157"/>
      <c r="E41" s="157"/>
      <c r="F41" s="157"/>
      <c r="G41" s="157"/>
      <c r="H41" s="157"/>
      <c r="I41" s="157"/>
      <c r="J41" s="157"/>
      <c r="K41" s="157"/>
      <c r="L41" s="157"/>
      <c r="M41" s="674">
        <v>10253.719999999999</v>
      </c>
      <c r="N41" s="675">
        <v>18243.32</v>
      </c>
      <c r="O41" s="676">
        <v>126526.61</v>
      </c>
      <c r="P41" s="676">
        <v>4109.97</v>
      </c>
      <c r="Q41" s="676">
        <v>78901.279999999999</v>
      </c>
      <c r="R41" s="676">
        <v>5319.33</v>
      </c>
      <c r="S41" s="676">
        <v>39675.39</v>
      </c>
      <c r="T41" s="676">
        <v>3394.83</v>
      </c>
      <c r="U41" s="676">
        <v>75.13</v>
      </c>
      <c r="V41" s="676">
        <v>325391.84999999998</v>
      </c>
      <c r="W41" s="677">
        <v>611891.43000000005</v>
      </c>
      <c r="X41" s="157"/>
      <c r="Y41" s="686">
        <f>+SUM(Y32:Y40)</f>
        <v>234564.88999999998</v>
      </c>
      <c r="Z41" s="686">
        <f>+SUM(Z31:Z40)</f>
        <v>255709.85333333333</v>
      </c>
      <c r="AA41" s="687">
        <f>+SUM(AA32:AA40)</f>
        <v>389309.61333333334</v>
      </c>
      <c r="AB41" s="510"/>
      <c r="AC41" s="687">
        <f>SUM(AC31:AC40)</f>
        <v>383564.77999999997</v>
      </c>
      <c r="AD41" s="700"/>
      <c r="AE41" s="700"/>
      <c r="AF41" s="681">
        <f>+SUM(AF31:AF40)</f>
        <v>245000</v>
      </c>
      <c r="AG41" s="698">
        <f>+(AC41-AF41)/AC41</f>
        <v>0.36125522265104731</v>
      </c>
      <c r="AH41" s="187" t="s">
        <v>500</v>
      </c>
      <c r="AI41" s="177"/>
    </row>
    <row r="42" spans="2:35">
      <c r="B42" s="176"/>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673"/>
      <c r="AB42" s="157"/>
      <c r="AC42" s="673"/>
      <c r="AD42" s="157"/>
      <c r="AE42" s="157"/>
      <c r="AF42" s="673"/>
      <c r="AG42" s="157"/>
      <c r="AH42" s="157"/>
      <c r="AI42" s="177"/>
    </row>
    <row r="43" spans="2:35" ht="26.4">
      <c r="B43" s="945" t="s">
        <v>522</v>
      </c>
      <c r="C43" s="891"/>
      <c r="D43" s="891"/>
      <c r="E43" s="891"/>
      <c r="F43" s="891"/>
      <c r="G43" s="891"/>
      <c r="H43" s="891"/>
      <c r="I43" s="891"/>
      <c r="J43" s="891"/>
      <c r="K43" s="891"/>
      <c r="L43" s="891"/>
      <c r="M43" s="891"/>
      <c r="N43" s="655">
        <v>36861</v>
      </c>
      <c r="O43" s="656">
        <v>36892</v>
      </c>
      <c r="P43" s="656">
        <v>36923</v>
      </c>
      <c r="Q43" s="656">
        <v>36951</v>
      </c>
      <c r="R43" s="656">
        <v>36982</v>
      </c>
      <c r="S43" s="656">
        <v>37012</v>
      </c>
      <c r="T43" s="656">
        <v>37043</v>
      </c>
      <c r="U43" s="656">
        <v>37073</v>
      </c>
      <c r="V43" s="656">
        <v>37104</v>
      </c>
      <c r="W43" s="944" t="s">
        <v>453</v>
      </c>
      <c r="X43" s="891"/>
      <c r="Y43" s="682">
        <v>2000</v>
      </c>
      <c r="Z43" s="699">
        <v>2001</v>
      </c>
      <c r="AA43" s="683" t="s">
        <v>456</v>
      </c>
      <c r="AB43" s="684"/>
      <c r="AC43" s="685" t="s">
        <v>502</v>
      </c>
      <c r="AD43" s="690"/>
      <c r="AE43" s="690"/>
      <c r="AF43" s="683" t="s">
        <v>36</v>
      </c>
      <c r="AG43" s="691"/>
      <c r="AH43" s="691"/>
      <c r="AI43" s="177"/>
    </row>
    <row r="44" spans="2:35">
      <c r="B44" s="176" t="s">
        <v>523</v>
      </c>
      <c r="C44" s="157"/>
      <c r="D44" s="157"/>
      <c r="E44" s="157"/>
      <c r="F44" s="157"/>
      <c r="G44" s="157"/>
      <c r="H44" s="157"/>
      <c r="I44" s="157"/>
      <c r="J44" s="157"/>
      <c r="K44" s="157"/>
      <c r="L44" s="157"/>
      <c r="M44" s="157"/>
      <c r="N44" s="663"/>
      <c r="O44" s="665"/>
      <c r="P44" s="665"/>
      <c r="Q44" s="665">
        <v>35883.449999999997</v>
      </c>
      <c r="R44" s="665"/>
      <c r="S44" s="665"/>
      <c r="T44" s="665"/>
      <c r="U44" s="665"/>
      <c r="V44" s="665"/>
      <c r="W44" s="666">
        <v>35883.449999999997</v>
      </c>
      <c r="X44" s="157"/>
      <c r="Y44" s="507">
        <f>+SUM(F44:N44)</f>
        <v>0</v>
      </c>
      <c r="Z44" s="507">
        <f>+SUM(O44:V44)</f>
        <v>35883.449999999997</v>
      </c>
      <c r="AA44" s="667">
        <f>+Y44+Z44</f>
        <v>35883.449999999997</v>
      </c>
      <c r="AB44" s="507"/>
      <c r="AC44" s="667">
        <f t="shared" ref="AC44:AC55" si="6">+Z44</f>
        <v>35883.449999999997</v>
      </c>
      <c r="AD44" s="157"/>
      <c r="AE44" s="157"/>
      <c r="AF44" s="667">
        <f>+AA44</f>
        <v>35883.449999999997</v>
      </c>
      <c r="AG44" s="157"/>
      <c r="AH44" s="157"/>
      <c r="AI44" s="177"/>
    </row>
    <row r="45" spans="2:35">
      <c r="B45" s="176" t="s">
        <v>524</v>
      </c>
      <c r="C45" s="157"/>
      <c r="D45" s="157"/>
      <c r="E45" s="157"/>
      <c r="F45" s="157"/>
      <c r="G45" s="157"/>
      <c r="H45" s="157"/>
      <c r="I45" s="157"/>
      <c r="J45" s="157"/>
      <c r="K45" s="157"/>
      <c r="L45" s="157"/>
      <c r="M45" s="157"/>
      <c r="N45" s="671"/>
      <c r="O45" s="569">
        <v>26768.560000000001</v>
      </c>
      <c r="P45" s="569"/>
      <c r="Q45" s="569"/>
      <c r="R45" s="569"/>
      <c r="S45" s="569"/>
      <c r="T45" s="569"/>
      <c r="U45" s="569"/>
      <c r="V45" s="569"/>
      <c r="W45" s="670">
        <v>26768.560000000001</v>
      </c>
      <c r="X45" s="157"/>
      <c r="Y45" s="507">
        <f>+SUM(F45:N45)</f>
        <v>0</v>
      </c>
      <c r="Z45" s="507">
        <f>+SUM(O45:V45)</f>
        <v>26768.560000000001</v>
      </c>
      <c r="AA45" s="667">
        <f>+Y45+Z45</f>
        <v>26768.560000000001</v>
      </c>
      <c r="AB45" s="507"/>
      <c r="AC45" s="667">
        <f t="shared" si="6"/>
        <v>26768.560000000001</v>
      </c>
      <c r="AD45" s="157"/>
      <c r="AE45" s="157"/>
      <c r="AF45" s="667">
        <f>+AA45</f>
        <v>26768.560000000001</v>
      </c>
      <c r="AG45" s="157"/>
      <c r="AH45" s="157"/>
      <c r="AI45" s="177"/>
    </row>
    <row r="46" spans="2:35">
      <c r="B46" s="184" t="s">
        <v>525</v>
      </c>
      <c r="C46" s="157"/>
      <c r="D46" s="157"/>
      <c r="E46" s="157"/>
      <c r="F46" s="157"/>
      <c r="G46" s="157"/>
      <c r="H46" s="157"/>
      <c r="I46" s="157"/>
      <c r="J46" s="157"/>
      <c r="K46" s="157"/>
      <c r="L46" s="157"/>
      <c r="M46" s="157"/>
      <c r="N46" s="671"/>
      <c r="O46" s="569"/>
      <c r="P46" s="569"/>
      <c r="Q46" s="569"/>
      <c r="R46" s="569"/>
      <c r="S46" s="569"/>
      <c r="T46" s="569"/>
      <c r="U46" s="569"/>
      <c r="V46" s="569"/>
      <c r="W46" s="670"/>
      <c r="X46" s="157"/>
      <c r="Y46" s="507"/>
      <c r="Z46" s="507">
        <v>16800</v>
      </c>
      <c r="AA46" s="667"/>
      <c r="AB46" s="507"/>
      <c r="AC46" s="667">
        <f t="shared" si="6"/>
        <v>16800</v>
      </c>
      <c r="AD46" s="157"/>
      <c r="AE46" s="157"/>
      <c r="AF46" s="667">
        <f>12000*1.4</f>
        <v>16800</v>
      </c>
      <c r="AG46" s="157"/>
      <c r="AH46" s="157" t="s">
        <v>526</v>
      </c>
      <c r="AI46" s="177"/>
    </row>
    <row r="47" spans="2:35">
      <c r="B47" s="176" t="s">
        <v>527</v>
      </c>
      <c r="C47" s="157"/>
      <c r="D47" s="157"/>
      <c r="E47" s="157"/>
      <c r="F47" s="157"/>
      <c r="G47" s="157"/>
      <c r="H47" s="157"/>
      <c r="I47" s="157"/>
      <c r="J47" s="157"/>
      <c r="K47" s="157"/>
      <c r="L47" s="157"/>
      <c r="M47" s="157"/>
      <c r="N47" s="671"/>
      <c r="O47" s="569"/>
      <c r="P47" s="569"/>
      <c r="Q47" s="569"/>
      <c r="R47" s="569"/>
      <c r="S47" s="569"/>
      <c r="T47" s="569">
        <v>9840.2800000000007</v>
      </c>
      <c r="U47" s="569"/>
      <c r="V47" s="569"/>
      <c r="W47" s="670">
        <v>9840.2800000000007</v>
      </c>
      <c r="X47" s="157"/>
      <c r="Y47" s="507">
        <f>+SUM(F47:N47)</f>
        <v>0</v>
      </c>
      <c r="Z47" s="507">
        <f>+SUM(O47:V47)</f>
        <v>9840.2800000000007</v>
      </c>
      <c r="AA47" s="667">
        <f>+Y47+Z47</f>
        <v>9840.2800000000007</v>
      </c>
      <c r="AB47" s="507"/>
      <c r="AC47" s="667">
        <f t="shared" si="6"/>
        <v>9840.2800000000007</v>
      </c>
      <c r="AD47" s="157"/>
      <c r="AE47" s="157"/>
      <c r="AF47" s="667">
        <f>+AA47</f>
        <v>9840.2800000000007</v>
      </c>
      <c r="AG47" s="157"/>
      <c r="AH47" s="157"/>
      <c r="AI47" s="177"/>
    </row>
    <row r="48" spans="2:35">
      <c r="B48" s="176" t="s">
        <v>528</v>
      </c>
      <c r="C48" s="157"/>
      <c r="D48" s="157"/>
      <c r="E48" s="157"/>
      <c r="F48" s="157"/>
      <c r="G48" s="157"/>
      <c r="H48" s="157"/>
      <c r="I48" s="157"/>
      <c r="J48" s="157"/>
      <c r="K48" s="157"/>
      <c r="L48" s="157"/>
      <c r="M48" s="157"/>
      <c r="N48" s="671"/>
      <c r="O48" s="569">
        <v>8390.26</v>
      </c>
      <c r="P48" s="569"/>
      <c r="Q48" s="569"/>
      <c r="R48" s="569"/>
      <c r="S48" s="569"/>
      <c r="T48" s="569"/>
      <c r="U48" s="569"/>
      <c r="V48" s="569"/>
      <c r="W48" s="670">
        <v>8390.26</v>
      </c>
      <c r="X48" s="157"/>
      <c r="Y48" s="507">
        <f>+SUM(F48:N48)</f>
        <v>0</v>
      </c>
      <c r="Z48" s="507">
        <f>+SUM(O48:V48)</f>
        <v>8390.26</v>
      </c>
      <c r="AA48" s="667">
        <f>+Y48+Z48</f>
        <v>8390.26</v>
      </c>
      <c r="AB48" s="507"/>
      <c r="AC48" s="667">
        <f t="shared" si="6"/>
        <v>8390.26</v>
      </c>
      <c r="AD48" s="157"/>
      <c r="AE48" s="157"/>
      <c r="AF48" s="667">
        <v>0</v>
      </c>
      <c r="AG48" s="157"/>
      <c r="AH48" s="157"/>
      <c r="AI48" s="177"/>
    </row>
    <row r="49" spans="2:35">
      <c r="B49" s="184" t="s">
        <v>529</v>
      </c>
      <c r="C49" s="157"/>
      <c r="D49" s="157"/>
      <c r="E49" s="157"/>
      <c r="F49" s="157"/>
      <c r="G49" s="157"/>
      <c r="H49" s="157"/>
      <c r="I49" s="157"/>
      <c r="J49" s="157"/>
      <c r="K49" s="157"/>
      <c r="L49" s="157"/>
      <c r="M49" s="157"/>
      <c r="N49" s="671"/>
      <c r="O49" s="569"/>
      <c r="P49" s="569"/>
      <c r="Q49" s="569"/>
      <c r="R49" s="569"/>
      <c r="S49" s="569"/>
      <c r="T49" s="569"/>
      <c r="U49" s="569"/>
      <c r="V49" s="569"/>
      <c r="W49" s="670"/>
      <c r="X49" s="157"/>
      <c r="Y49" s="507"/>
      <c r="Z49" s="507">
        <v>7000</v>
      </c>
      <c r="AA49" s="667"/>
      <c r="AB49" s="507"/>
      <c r="AC49" s="667">
        <f t="shared" si="6"/>
        <v>7000</v>
      </c>
      <c r="AD49" s="157"/>
      <c r="AE49" s="157"/>
      <c r="AF49" s="667">
        <f>5000*1.4</f>
        <v>7000</v>
      </c>
      <c r="AG49" s="157"/>
      <c r="AH49" s="157"/>
      <c r="AI49" s="177"/>
    </row>
    <row r="50" spans="2:35">
      <c r="B50" s="176" t="s">
        <v>530</v>
      </c>
      <c r="C50" s="157"/>
      <c r="D50" s="157"/>
      <c r="E50" s="157"/>
      <c r="F50" s="157"/>
      <c r="G50" s="157"/>
      <c r="H50" s="157"/>
      <c r="I50" s="157"/>
      <c r="J50" s="157"/>
      <c r="K50" s="157"/>
      <c r="L50" s="157"/>
      <c r="M50" s="157"/>
      <c r="N50" s="671"/>
      <c r="O50" s="569"/>
      <c r="P50" s="569"/>
      <c r="Q50" s="569"/>
      <c r="R50" s="569">
        <v>3286.92</v>
      </c>
      <c r="S50" s="569"/>
      <c r="T50" s="569"/>
      <c r="U50" s="569"/>
      <c r="V50" s="569"/>
      <c r="W50" s="670">
        <v>3286.92</v>
      </c>
      <c r="X50" s="157"/>
      <c r="Y50" s="507">
        <f>+SUM(F50:N50)</f>
        <v>0</v>
      </c>
      <c r="Z50" s="507">
        <f>+SUM(O50:V50)</f>
        <v>3286.92</v>
      </c>
      <c r="AA50" s="667">
        <f t="shared" ref="AA50:AA55" si="7">+Y50+Z50</f>
        <v>3286.92</v>
      </c>
      <c r="AB50" s="507"/>
      <c r="AC50" s="667">
        <f t="shared" si="6"/>
        <v>3286.92</v>
      </c>
      <c r="AD50" s="157"/>
      <c r="AE50" s="157"/>
      <c r="AF50" s="667">
        <v>0</v>
      </c>
      <c r="AG50" s="157"/>
      <c r="AH50" s="157"/>
      <c r="AI50" s="177"/>
    </row>
    <row r="51" spans="2:35">
      <c r="B51" s="176" t="s">
        <v>531</v>
      </c>
      <c r="C51" s="157"/>
      <c r="D51" s="157"/>
      <c r="E51" s="157"/>
      <c r="F51" s="157"/>
      <c r="G51" s="157"/>
      <c r="H51" s="157"/>
      <c r="I51" s="157"/>
      <c r="J51" s="157"/>
      <c r="K51" s="157"/>
      <c r="L51" s="157"/>
      <c r="M51" s="157"/>
      <c r="N51" s="671"/>
      <c r="O51" s="569">
        <v>2917.62</v>
      </c>
      <c r="P51" s="569"/>
      <c r="Q51" s="569"/>
      <c r="R51" s="569"/>
      <c r="S51" s="569"/>
      <c r="T51" s="569"/>
      <c r="U51" s="569"/>
      <c r="V51" s="569"/>
      <c r="W51" s="670">
        <v>2917.62</v>
      </c>
      <c r="X51" s="157"/>
      <c r="Y51" s="507">
        <f>+SUM(F51:N51)</f>
        <v>0</v>
      </c>
      <c r="Z51" s="507">
        <f>+SUM(O51:V51)</f>
        <v>2917.62</v>
      </c>
      <c r="AA51" s="667">
        <f t="shared" si="7"/>
        <v>2917.62</v>
      </c>
      <c r="AB51" s="507"/>
      <c r="AC51" s="667">
        <f t="shared" si="6"/>
        <v>2917.62</v>
      </c>
      <c r="AD51" s="157"/>
      <c r="AE51" s="157"/>
      <c r="AF51" s="667">
        <v>0</v>
      </c>
      <c r="AG51" s="157"/>
      <c r="AH51" s="157"/>
      <c r="AI51" s="177"/>
    </row>
    <row r="52" spans="2:35">
      <c r="B52" s="176" t="s">
        <v>532</v>
      </c>
      <c r="C52" s="157"/>
      <c r="D52" s="157"/>
      <c r="E52" s="157"/>
      <c r="F52" s="157"/>
      <c r="G52" s="157"/>
      <c r="H52" s="157"/>
      <c r="I52" s="157"/>
      <c r="J52" s="157"/>
      <c r="K52" s="157"/>
      <c r="L52" s="157"/>
      <c r="M52" s="157"/>
      <c r="N52" s="671"/>
      <c r="O52" s="569">
        <v>2887.25</v>
      </c>
      <c r="P52" s="569"/>
      <c r="Q52" s="569"/>
      <c r="R52" s="569"/>
      <c r="S52" s="569"/>
      <c r="T52" s="569"/>
      <c r="U52" s="569"/>
      <c r="V52" s="569"/>
      <c r="W52" s="670">
        <v>2887.25</v>
      </c>
      <c r="X52" s="157"/>
      <c r="Y52" s="507">
        <f>+SUM(F52:N52)</f>
        <v>0</v>
      </c>
      <c r="Z52" s="507">
        <f>+SUM(O52:V52)</f>
        <v>2887.25</v>
      </c>
      <c r="AA52" s="667">
        <f t="shared" si="7"/>
        <v>2887.25</v>
      </c>
      <c r="AB52" s="507"/>
      <c r="AC52" s="667">
        <f t="shared" si="6"/>
        <v>2887.25</v>
      </c>
      <c r="AD52" s="157"/>
      <c r="AE52" s="157"/>
      <c r="AF52" s="667">
        <f>+AA52</f>
        <v>2887.25</v>
      </c>
      <c r="AG52" s="157"/>
      <c r="AH52" s="157"/>
      <c r="AI52" s="177"/>
    </row>
    <row r="53" spans="2:35">
      <c r="B53" s="176" t="s">
        <v>533</v>
      </c>
      <c r="C53" s="157"/>
      <c r="D53" s="157"/>
      <c r="E53" s="157"/>
      <c r="F53" s="157"/>
      <c r="G53" s="157"/>
      <c r="H53" s="157"/>
      <c r="I53" s="157"/>
      <c r="J53" s="157"/>
      <c r="K53" s="157"/>
      <c r="L53" s="157"/>
      <c r="M53" s="157"/>
      <c r="N53" s="671"/>
      <c r="O53" s="569"/>
      <c r="P53" s="569"/>
      <c r="Q53" s="569"/>
      <c r="R53" s="569"/>
      <c r="S53" s="569"/>
      <c r="T53" s="569">
        <v>1799.5</v>
      </c>
      <c r="U53" s="569"/>
      <c r="V53" s="569"/>
      <c r="W53" s="670">
        <v>1799.5</v>
      </c>
      <c r="X53" s="157"/>
      <c r="Y53" s="507">
        <f>+SUM(F53:N53)</f>
        <v>0</v>
      </c>
      <c r="Z53" s="507">
        <f>+SUM(O53:V53)</f>
        <v>1799.5</v>
      </c>
      <c r="AA53" s="667">
        <f t="shared" si="7"/>
        <v>1799.5</v>
      </c>
      <c r="AB53" s="507"/>
      <c r="AC53" s="667">
        <f t="shared" si="6"/>
        <v>1799.5</v>
      </c>
      <c r="AD53" s="157"/>
      <c r="AE53" s="157"/>
      <c r="AF53" s="667">
        <f>+AA53</f>
        <v>1799.5</v>
      </c>
      <c r="AG53" s="157"/>
      <c r="AH53" s="157"/>
      <c r="AI53" s="177"/>
    </row>
    <row r="54" spans="2:35">
      <c r="B54" s="176" t="s">
        <v>534</v>
      </c>
      <c r="C54" s="157"/>
      <c r="D54" s="157"/>
      <c r="E54" s="157"/>
      <c r="F54" s="157"/>
      <c r="G54" s="157"/>
      <c r="H54" s="157"/>
      <c r="I54" s="157"/>
      <c r="J54" s="157"/>
      <c r="K54" s="157"/>
      <c r="L54" s="157"/>
      <c r="M54" s="157"/>
      <c r="N54" s="671"/>
      <c r="O54" s="569"/>
      <c r="P54" s="569"/>
      <c r="Q54" s="569">
        <v>1427.14</v>
      </c>
      <c r="R54" s="569"/>
      <c r="S54" s="569"/>
      <c r="T54" s="569"/>
      <c r="U54" s="569"/>
      <c r="V54" s="569"/>
      <c r="W54" s="670">
        <v>1427.14</v>
      </c>
      <c r="X54" s="157"/>
      <c r="Y54" s="507">
        <f>+SUM(F54:N54)</f>
        <v>0</v>
      </c>
      <c r="Z54" s="507">
        <f>+SUM(O54:V54)</f>
        <v>1427.14</v>
      </c>
      <c r="AA54" s="667">
        <f t="shared" si="7"/>
        <v>1427.14</v>
      </c>
      <c r="AB54" s="507"/>
      <c r="AC54" s="667">
        <f t="shared" si="6"/>
        <v>1427.14</v>
      </c>
      <c r="AD54" s="157"/>
      <c r="AE54" s="157"/>
      <c r="AF54" s="667">
        <f>+AA54</f>
        <v>1427.14</v>
      </c>
      <c r="AG54" s="157"/>
      <c r="AH54" s="157"/>
      <c r="AI54" s="177"/>
    </row>
    <row r="55" spans="2:35" ht="13.8" thickBot="1">
      <c r="B55" s="176" t="s">
        <v>535</v>
      </c>
      <c r="C55" s="157"/>
      <c r="D55" s="157"/>
      <c r="E55" s="157"/>
      <c r="F55" s="157"/>
      <c r="G55" s="157"/>
      <c r="H55" s="157"/>
      <c r="I55" s="157"/>
      <c r="J55" s="157"/>
      <c r="K55" s="157"/>
      <c r="L55" s="157"/>
      <c r="M55" s="157"/>
      <c r="N55" s="671"/>
      <c r="O55" s="569"/>
      <c r="P55" s="569"/>
      <c r="Q55" s="569"/>
      <c r="R55" s="569"/>
      <c r="S55" s="569"/>
      <c r="T55" s="569"/>
      <c r="U55" s="569"/>
      <c r="V55" s="569"/>
      <c r="W55" s="670"/>
      <c r="X55" s="157"/>
      <c r="Y55" s="507">
        <v>0</v>
      </c>
      <c r="Z55" s="507">
        <v>0</v>
      </c>
      <c r="AA55" s="667">
        <f t="shared" si="7"/>
        <v>0</v>
      </c>
      <c r="AB55" s="507"/>
      <c r="AC55" s="667">
        <f t="shared" si="6"/>
        <v>0</v>
      </c>
      <c r="AD55" s="157"/>
      <c r="AE55" s="157"/>
      <c r="AF55" s="668"/>
      <c r="AG55" s="157"/>
      <c r="AH55" s="157"/>
      <c r="AI55" s="177"/>
    </row>
    <row r="56" spans="2:35" ht="13.8" thickBot="1">
      <c r="B56" s="689" t="s">
        <v>453</v>
      </c>
      <c r="C56" s="157"/>
      <c r="D56" s="157"/>
      <c r="E56" s="157"/>
      <c r="F56" s="157"/>
      <c r="G56" s="157"/>
      <c r="H56" s="157"/>
      <c r="I56" s="157"/>
      <c r="J56" s="157"/>
      <c r="K56" s="157"/>
      <c r="L56" s="157"/>
      <c r="M56" s="157"/>
      <c r="N56" s="674">
        <v>199.21</v>
      </c>
      <c r="O56" s="676">
        <v>41473.43</v>
      </c>
      <c r="P56" s="676">
        <v>360.29</v>
      </c>
      <c r="Q56" s="676">
        <v>37861.01</v>
      </c>
      <c r="R56" s="676">
        <v>3405.35</v>
      </c>
      <c r="S56" s="676">
        <v>2915.05</v>
      </c>
      <c r="T56" s="676">
        <v>16409.13</v>
      </c>
      <c r="U56" s="676">
        <v>1883.05</v>
      </c>
      <c r="V56" s="676">
        <v>151.02000000000001</v>
      </c>
      <c r="W56" s="677">
        <v>104657.54</v>
      </c>
      <c r="X56" s="157"/>
      <c r="Y56" s="686">
        <f>SUM(Y44:Y54)</f>
        <v>0</v>
      </c>
      <c r="Z56" s="686">
        <f>SUM(Z44:Z55)</f>
        <v>117000.97999999998</v>
      </c>
      <c r="AA56" s="687">
        <f>SUM(AA44:AA55)</f>
        <v>93200.979999999981</v>
      </c>
      <c r="AB56" s="510"/>
      <c r="AC56" s="687">
        <f>SUM(AC44:AC55)</f>
        <v>117000.97999999998</v>
      </c>
      <c r="AD56" s="157"/>
      <c r="AE56" s="157"/>
      <c r="AF56" s="681">
        <f>+SUM(AF44:AF55)</f>
        <v>102406.18</v>
      </c>
      <c r="AG56" s="698">
        <f>+(AC56-AF56)/AC56</f>
        <v>0.12474083550411279</v>
      </c>
      <c r="AH56" s="187" t="s">
        <v>500</v>
      </c>
      <c r="AI56" s="177"/>
    </row>
    <row r="57" spans="2:35" ht="13.8" thickBot="1">
      <c r="B57" s="176"/>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688"/>
      <c r="AB57" s="157"/>
      <c r="AC57" s="688"/>
      <c r="AD57" s="157"/>
      <c r="AE57" s="157"/>
      <c r="AF57" s="688"/>
      <c r="AG57" s="157"/>
      <c r="AH57" s="157"/>
      <c r="AI57" s="177"/>
    </row>
    <row r="58" spans="2:35">
      <c r="B58" s="176"/>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t="s">
        <v>536</v>
      </c>
      <c r="AE58" s="157"/>
      <c r="AF58" s="157"/>
      <c r="AG58" s="157"/>
      <c r="AH58" s="157"/>
      <c r="AI58" s="177"/>
    </row>
    <row r="59" spans="2:35">
      <c r="B59" s="701" t="s">
        <v>425</v>
      </c>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77"/>
    </row>
    <row r="60" spans="2:35">
      <c r="B60" s="176" t="s">
        <v>537</v>
      </c>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77"/>
    </row>
    <row r="61" spans="2:35">
      <c r="B61" s="176" t="s">
        <v>323</v>
      </c>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77"/>
    </row>
    <row r="62" spans="2:35">
      <c r="B62" s="176"/>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77"/>
    </row>
    <row r="63" spans="2:35" ht="13.8" thickBot="1">
      <c r="B63" s="702"/>
      <c r="C63" s="703"/>
      <c r="D63" s="703"/>
      <c r="E63" s="703"/>
      <c r="F63" s="703"/>
      <c r="G63" s="703"/>
      <c r="H63" s="703"/>
      <c r="I63" s="703"/>
      <c r="J63" s="703"/>
      <c r="K63" s="703"/>
      <c r="L63" s="703"/>
      <c r="M63" s="703"/>
      <c r="N63" s="703"/>
      <c r="O63" s="703"/>
      <c r="P63" s="703"/>
      <c r="Q63" s="703"/>
      <c r="R63" s="703"/>
      <c r="S63" s="703"/>
      <c r="T63" s="703"/>
      <c r="U63" s="703"/>
      <c r="V63" s="703"/>
      <c r="W63" s="703"/>
      <c r="X63" s="703"/>
      <c r="Y63" s="703"/>
      <c r="Z63" s="703"/>
      <c r="AA63" s="703"/>
      <c r="AB63" s="703"/>
      <c r="AC63" s="703"/>
      <c r="AD63" s="703"/>
      <c r="AE63" s="703"/>
      <c r="AF63" s="703"/>
      <c r="AG63" s="703"/>
      <c r="AH63" s="703"/>
      <c r="AI63" s="246"/>
    </row>
  </sheetData>
  <phoneticPr fontId="0" type="noConversion"/>
  <pageMargins left="0.15748031496062992" right="0.35433070866141736" top="0.98425196850393704" bottom="0.98425196850393704" header="0.51181102362204722" footer="0.51181102362204722"/>
  <pageSetup paperSize="9" scale="50" orientation="landscape" r:id="rId1"/>
  <headerFooter alignWithMargins="0">
    <oddFooter>&amp;LPage 4&amp;CSource : Financial Planning and Analysis&amp;RPrinted : &amp;D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52"/>
  <sheetViews>
    <sheetView tabSelected="1" topLeftCell="A11" zoomScale="65" zoomScaleNormal="100" zoomScaleSheetLayoutView="100" workbookViewId="0">
      <selection activeCell="C9" sqref="C9"/>
    </sheetView>
  </sheetViews>
  <sheetFormatPr defaultColWidth="9.109375" defaultRowHeight="13.2"/>
  <cols>
    <col min="1" max="1" width="3.5546875" style="16" customWidth="1"/>
    <col min="2" max="2" width="13.88671875" style="16" customWidth="1"/>
    <col min="3" max="3" width="10.88671875" style="16" customWidth="1"/>
    <col min="4" max="4" width="9.109375" style="16"/>
    <col min="5" max="5" width="14.44140625" style="16" customWidth="1"/>
    <col min="6" max="6" width="7.5546875" style="16" customWidth="1"/>
    <col min="7" max="7" width="13" style="16" customWidth="1"/>
    <col min="8" max="8" width="9" style="16" customWidth="1"/>
    <col min="9" max="9" width="17.5546875" style="16" customWidth="1"/>
    <col min="10" max="10" width="10.88671875" style="16" customWidth="1"/>
    <col min="11" max="11" width="5.6640625" style="16" customWidth="1"/>
    <col min="12" max="12" width="17.44140625" style="16" customWidth="1"/>
    <col min="13" max="13" width="28.109375" style="16" customWidth="1"/>
    <col min="14" max="14" width="9" style="16" customWidth="1"/>
    <col min="15" max="15" width="14.5546875" style="16" customWidth="1"/>
    <col min="16" max="16384" width="9.10937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c r="A9" s="197"/>
      <c r="B9" s="127"/>
      <c r="C9" s="127"/>
      <c r="D9" s="127"/>
      <c r="E9" s="127"/>
      <c r="F9" s="127"/>
      <c r="G9" s="127"/>
      <c r="H9" s="127"/>
      <c r="I9" s="127"/>
      <c r="J9" s="127"/>
      <c r="K9" s="127"/>
      <c r="L9" s="127"/>
      <c r="M9" s="127"/>
      <c r="N9" s="127"/>
      <c r="O9" s="167"/>
    </row>
    <row r="10" spans="1:15" ht="15.6">
      <c r="A10" s="197"/>
      <c r="B10" s="127"/>
      <c r="C10" s="127"/>
      <c r="D10" s="127"/>
      <c r="E10" s="127"/>
      <c r="F10" s="330"/>
      <c r="G10" s="127"/>
      <c r="H10" s="127"/>
      <c r="I10" s="127"/>
      <c r="J10" s="127"/>
      <c r="K10" s="127"/>
      <c r="L10" s="127"/>
      <c r="M10" s="127"/>
      <c r="N10" s="127"/>
      <c r="O10" s="167"/>
    </row>
    <row r="11" spans="1:15" ht="13.8" thickBot="1">
      <c r="A11" s="197"/>
      <c r="B11" s="127"/>
      <c r="C11" s="127"/>
      <c r="D11" s="127"/>
      <c r="E11" s="127"/>
      <c r="F11" s="127"/>
      <c r="G11" s="127"/>
      <c r="H11" s="127"/>
      <c r="I11" s="127"/>
      <c r="J11" s="127"/>
      <c r="K11" s="127"/>
      <c r="L11" s="127"/>
      <c r="M11" s="127"/>
      <c r="N11" s="127"/>
      <c r="O11" s="167"/>
    </row>
    <row r="12" spans="1:15" ht="15.6">
      <c r="A12" s="351"/>
      <c r="B12" s="900"/>
      <c r="C12" s="352"/>
      <c r="D12" s="353"/>
      <c r="E12" s="353"/>
      <c r="F12" s="353"/>
      <c r="G12" s="353"/>
      <c r="H12" s="353"/>
      <c r="I12" s="354"/>
      <c r="J12" s="355"/>
      <c r="K12" s="331"/>
      <c r="L12" s="388" t="s">
        <v>92</v>
      </c>
      <c r="M12" s="356"/>
      <c r="N12" s="331"/>
      <c r="O12" s="167"/>
    </row>
    <row r="13" spans="1:15" ht="15.6">
      <c r="A13" s="351"/>
      <c r="B13" s="357"/>
      <c r="C13" s="358"/>
      <c r="D13" s="359"/>
      <c r="E13" s="359" t="s">
        <v>87</v>
      </c>
      <c r="F13" s="359"/>
      <c r="G13" s="359" t="s">
        <v>70</v>
      </c>
      <c r="H13" s="359"/>
      <c r="I13" s="359" t="s">
        <v>343</v>
      </c>
      <c r="J13" s="360" t="s">
        <v>93</v>
      </c>
      <c r="K13" s="361"/>
      <c r="L13" s="356"/>
      <c r="O13" s="167"/>
    </row>
    <row r="14" spans="1:15" ht="15.6">
      <c r="A14" s="351"/>
      <c r="B14" s="298" t="s">
        <v>97</v>
      </c>
      <c r="C14" s="362"/>
      <c r="D14" s="363"/>
      <c r="E14" s="339">
        <f>+'Input Data'!F31+'Input Data'!F33+'Input Data'!F35</f>
        <v>3971671</v>
      </c>
      <c r="F14" s="364"/>
      <c r="G14" s="365">
        <f>+E14/I14</f>
        <v>189127.19047619047</v>
      </c>
      <c r="H14" s="366"/>
      <c r="I14" s="381">
        <v>21</v>
      </c>
      <c r="J14" s="367"/>
      <c r="K14" s="331"/>
      <c r="L14" s="368"/>
      <c r="N14" s="331"/>
      <c r="O14" s="367"/>
    </row>
    <row r="15" spans="1:15" ht="15.6">
      <c r="A15" s="351"/>
      <c r="B15" s="298" t="s">
        <v>96</v>
      </c>
      <c r="C15" s="362"/>
      <c r="D15" s="363"/>
      <c r="E15" s="339">
        <f>+'Adaytum by Month'!Q31+'Adaytum by Month'!Q32+'Adaytum by Month'!Q33</f>
        <v>4181849.2466666666</v>
      </c>
      <c r="F15" s="364"/>
      <c r="G15" s="365">
        <f>+E15/I15</f>
        <v>220097.32877192981</v>
      </c>
      <c r="H15" s="369"/>
      <c r="I15" s="382">
        <v>19</v>
      </c>
      <c r="J15" s="367"/>
      <c r="K15" s="331"/>
      <c r="L15" s="368"/>
      <c r="M15" s="370" t="s">
        <v>179</v>
      </c>
      <c r="N15" s="571">
        <v>19</v>
      </c>
      <c r="O15" s="367"/>
    </row>
    <row r="16" spans="1:15" ht="16.2" thickBot="1">
      <c r="A16" s="351"/>
      <c r="B16" s="340" t="s">
        <v>36</v>
      </c>
      <c r="C16" s="371"/>
      <c r="D16" s="372"/>
      <c r="E16" s="341">
        <f>+'Adaytum  Detail 2002'!E26+'Adaytum  Detail 2002'!E33+'Adaytum  Detail 2002'!E46</f>
        <v>1660431</v>
      </c>
      <c r="F16" s="373"/>
      <c r="G16" s="559">
        <f>E16/I16</f>
        <v>166043.1</v>
      </c>
      <c r="H16" s="374"/>
      <c r="I16" s="383">
        <f>'Adaytum  Detail 2002'!E15</f>
        <v>10</v>
      </c>
      <c r="J16" s="375"/>
      <c r="K16" s="331"/>
      <c r="L16" s="368"/>
      <c r="M16" s="331"/>
      <c r="N16" s="571"/>
      <c r="O16" s="367"/>
    </row>
    <row r="17" spans="1:15" ht="15.6">
      <c r="A17" s="351"/>
      <c r="B17" s="331"/>
      <c r="C17" s="331"/>
      <c r="D17" s="331"/>
      <c r="E17" s="331"/>
      <c r="F17" s="331"/>
      <c r="G17" s="331"/>
      <c r="H17" s="331"/>
      <c r="I17" s="331"/>
      <c r="J17" s="331"/>
      <c r="K17" s="331"/>
      <c r="L17" s="368"/>
      <c r="M17" s="331" t="s">
        <v>180</v>
      </c>
      <c r="N17" s="571">
        <f>+N19-N15</f>
        <v>-9</v>
      </c>
      <c r="O17" s="367"/>
    </row>
    <row r="18" spans="1:15" ht="15.6">
      <c r="A18" s="351"/>
      <c r="B18" s="331"/>
      <c r="C18" s="331"/>
      <c r="D18" s="331"/>
      <c r="E18" s="331"/>
      <c r="F18" s="331"/>
      <c r="G18" s="331"/>
      <c r="H18" s="331"/>
      <c r="I18" s="331"/>
      <c r="J18" s="331"/>
      <c r="K18" s="331"/>
      <c r="L18" s="368"/>
      <c r="M18" s="331"/>
      <c r="N18" s="571"/>
      <c r="O18" s="367"/>
    </row>
    <row r="19" spans="1:15" ht="15.6">
      <c r="A19" s="197"/>
      <c r="B19" s="127"/>
      <c r="C19" s="127"/>
      <c r="D19" s="127"/>
      <c r="E19" s="127"/>
      <c r="F19" s="127"/>
      <c r="G19" s="127"/>
      <c r="H19" s="127"/>
      <c r="I19" s="127"/>
      <c r="J19" s="127"/>
      <c r="K19" s="127"/>
      <c r="L19" s="368"/>
      <c r="M19" s="376" t="s">
        <v>181</v>
      </c>
      <c r="N19" s="572">
        <f>+'Adaytum  Detail 2002'!E15</f>
        <v>10</v>
      </c>
      <c r="O19" s="367"/>
    </row>
    <row r="20" spans="1:15" ht="15">
      <c r="A20" s="197"/>
      <c r="B20" s="127"/>
      <c r="C20" s="127"/>
      <c r="D20" s="127"/>
      <c r="E20" s="127"/>
      <c r="F20" s="127"/>
      <c r="G20" s="127"/>
      <c r="H20" s="127"/>
      <c r="I20" s="127"/>
      <c r="J20" s="127"/>
      <c r="K20" s="127"/>
      <c r="L20" s="368"/>
      <c r="M20" s="331"/>
      <c r="N20" s="331"/>
      <c r="O20" s="367"/>
    </row>
    <row r="21" spans="1:15" ht="15">
      <c r="A21" s="197"/>
      <c r="B21" s="127"/>
      <c r="C21" s="127"/>
      <c r="D21" s="127"/>
      <c r="E21" s="127"/>
      <c r="F21" s="127"/>
      <c r="G21" s="127"/>
      <c r="H21" s="127"/>
      <c r="I21" s="127"/>
      <c r="J21" s="127"/>
      <c r="K21" s="127"/>
      <c r="L21" s="368"/>
      <c r="M21" s="331"/>
      <c r="N21" s="331"/>
      <c r="O21" s="367"/>
    </row>
    <row r="22" spans="1:15" ht="15">
      <c r="A22" s="197"/>
      <c r="B22" s="127"/>
      <c r="C22" s="127"/>
      <c r="D22" s="127"/>
      <c r="E22" s="127"/>
      <c r="F22" s="127"/>
      <c r="G22" s="127"/>
      <c r="H22" s="127"/>
      <c r="I22" s="127"/>
      <c r="J22" s="127"/>
      <c r="K22" s="127"/>
      <c r="N22" s="331"/>
      <c r="O22" s="367"/>
    </row>
    <row r="23" spans="1:15" ht="15.6">
      <c r="A23" s="197"/>
      <c r="B23" s="127"/>
      <c r="C23" s="127"/>
      <c r="D23" s="127"/>
      <c r="E23" s="127"/>
      <c r="F23" s="127"/>
      <c r="G23" s="127"/>
      <c r="H23" s="127"/>
      <c r="I23" s="127"/>
      <c r="J23" s="127"/>
      <c r="K23" s="127"/>
      <c r="L23" s="387" t="s">
        <v>182</v>
      </c>
      <c r="M23" s="331"/>
      <c r="N23" s="331"/>
      <c r="O23" s="367"/>
    </row>
    <row r="24" spans="1:15" ht="15">
      <c r="A24" s="197"/>
      <c r="B24" s="127"/>
      <c r="C24" s="127"/>
      <c r="D24" s="127"/>
      <c r="E24" s="127"/>
      <c r="F24" s="127"/>
      <c r="G24" s="127"/>
      <c r="H24" s="127"/>
      <c r="I24" s="127"/>
      <c r="J24" s="127"/>
      <c r="K24" s="127"/>
      <c r="L24" s="377"/>
      <c r="M24" s="331"/>
      <c r="N24" s="331"/>
      <c r="O24" s="367"/>
    </row>
    <row r="25" spans="1:15" ht="15">
      <c r="A25" s="197"/>
      <c r="B25" s="127"/>
      <c r="C25" s="127"/>
      <c r="D25" s="127"/>
      <c r="E25" s="127"/>
      <c r="F25" s="127"/>
      <c r="G25" s="127"/>
      <c r="H25" s="127"/>
      <c r="I25" s="127"/>
      <c r="J25" s="127"/>
      <c r="K25" s="127"/>
      <c r="L25" s="377" t="s">
        <v>344</v>
      </c>
      <c r="M25" s="331"/>
      <c r="N25" s="331"/>
      <c r="O25" s="367"/>
    </row>
    <row r="26" spans="1:15" ht="15">
      <c r="A26" s="197"/>
      <c r="B26" s="127"/>
      <c r="C26" s="127"/>
      <c r="D26" s="127"/>
      <c r="E26" s="127"/>
      <c r="F26" s="127"/>
      <c r="G26" s="127"/>
      <c r="H26" s="127"/>
      <c r="I26" s="127"/>
      <c r="J26" s="127"/>
      <c r="K26" s="127"/>
      <c r="L26" s="377" t="s">
        <v>345</v>
      </c>
      <c r="M26" s="331"/>
      <c r="N26" s="377"/>
      <c r="O26" s="367"/>
    </row>
    <row r="27" spans="1:15" ht="15">
      <c r="A27" s="197"/>
      <c r="B27" s="127"/>
      <c r="C27" s="127"/>
      <c r="D27" s="127"/>
      <c r="E27" s="127"/>
      <c r="F27" s="127"/>
      <c r="G27" s="127"/>
      <c r="H27" s="127"/>
      <c r="I27" s="127"/>
      <c r="J27" s="127"/>
      <c r="K27" s="127"/>
      <c r="L27" s="377" t="s">
        <v>346</v>
      </c>
      <c r="M27" s="331"/>
      <c r="N27" s="377"/>
      <c r="O27" s="367"/>
    </row>
    <row r="28" spans="1:15" ht="15">
      <c r="A28" s="197"/>
      <c r="B28" s="127"/>
      <c r="C28" s="127"/>
      <c r="D28" s="127"/>
      <c r="E28" s="127"/>
      <c r="F28" s="127"/>
      <c r="G28" s="127"/>
      <c r="H28" s="127"/>
      <c r="I28" s="127"/>
      <c r="J28" s="127"/>
      <c r="K28" s="127"/>
      <c r="L28" s="368"/>
      <c r="M28" s="331"/>
      <c r="N28" s="331"/>
      <c r="O28" s="367"/>
    </row>
    <row r="29" spans="1:15" ht="15">
      <c r="A29" s="197"/>
      <c r="B29" s="127"/>
      <c r="C29" s="127"/>
      <c r="D29" s="127"/>
      <c r="E29" s="127"/>
      <c r="F29" s="127"/>
      <c r="G29" s="127"/>
      <c r="H29" s="127"/>
      <c r="I29" s="127"/>
      <c r="J29" s="127"/>
      <c r="K29" s="127"/>
      <c r="L29" s="377"/>
      <c r="M29" s="331"/>
      <c r="N29" s="331"/>
      <c r="O29" s="367"/>
    </row>
    <row r="30" spans="1:15" ht="15">
      <c r="A30" s="197"/>
      <c r="B30" s="127"/>
      <c r="C30" s="127"/>
      <c r="D30" s="127"/>
      <c r="E30" s="127"/>
      <c r="F30" s="127"/>
      <c r="G30" s="127"/>
      <c r="H30" s="127"/>
      <c r="I30" s="127"/>
      <c r="J30" s="127"/>
      <c r="K30" s="127"/>
      <c r="L30" s="368"/>
      <c r="M30" s="331"/>
      <c r="N30" s="331"/>
      <c r="O30" s="367"/>
    </row>
    <row r="31" spans="1:15" ht="15">
      <c r="A31" s="197"/>
      <c r="B31" s="127"/>
      <c r="C31" s="127"/>
      <c r="D31" s="127"/>
      <c r="E31" s="127"/>
      <c r="F31" s="127"/>
      <c r="G31" s="127"/>
      <c r="H31" s="127"/>
      <c r="I31" s="127"/>
      <c r="J31" s="127"/>
      <c r="K31" s="127"/>
      <c r="L31" s="377"/>
      <c r="M31" s="331"/>
      <c r="N31" s="331"/>
      <c r="O31" s="367"/>
    </row>
    <row r="32" spans="1:15" ht="15">
      <c r="A32" s="197"/>
      <c r="B32" s="127"/>
      <c r="C32" s="127"/>
      <c r="D32" s="127"/>
      <c r="E32" s="127"/>
      <c r="F32" s="127"/>
      <c r="G32" s="127"/>
      <c r="H32" s="127"/>
      <c r="I32" s="127"/>
      <c r="J32" s="127"/>
      <c r="K32" s="127"/>
      <c r="L32" s="368"/>
      <c r="M32" s="331"/>
      <c r="N32" s="331"/>
      <c r="O32" s="367"/>
    </row>
    <row r="33" spans="1:15" ht="15">
      <c r="A33" s="197"/>
      <c r="B33" s="127"/>
      <c r="C33" s="127"/>
      <c r="D33" s="127"/>
      <c r="E33" s="127"/>
      <c r="F33" s="127"/>
      <c r="G33" s="127"/>
      <c r="H33" s="127"/>
      <c r="I33" s="127"/>
      <c r="J33" s="127"/>
      <c r="K33" s="127"/>
      <c r="L33" s="331"/>
      <c r="M33" s="331"/>
      <c r="N33" s="331"/>
      <c r="O33" s="367"/>
    </row>
    <row r="34" spans="1:15" ht="15">
      <c r="A34" s="197"/>
      <c r="B34" s="127"/>
      <c r="C34" s="127"/>
      <c r="D34" s="127"/>
      <c r="E34" s="127"/>
      <c r="F34" s="127"/>
      <c r="G34" s="127"/>
      <c r="H34" s="127"/>
      <c r="I34" s="127"/>
      <c r="J34" s="127"/>
      <c r="K34" s="127"/>
      <c r="L34" s="331"/>
      <c r="M34" s="331"/>
      <c r="N34" s="331"/>
      <c r="O34" s="367"/>
    </row>
    <row r="35" spans="1:15" ht="15">
      <c r="A35" s="197"/>
      <c r="B35" s="127"/>
      <c r="C35" s="127"/>
      <c r="D35" s="127"/>
      <c r="E35" s="127"/>
      <c r="F35" s="127"/>
      <c r="G35" s="127"/>
      <c r="H35" s="127"/>
      <c r="I35" s="127"/>
      <c r="J35" s="127"/>
      <c r="K35" s="127"/>
      <c r="L35" s="331"/>
      <c r="M35" s="331"/>
      <c r="N35" s="331"/>
      <c r="O35" s="367"/>
    </row>
    <row r="36" spans="1:15" ht="15">
      <c r="A36" s="197"/>
      <c r="B36" s="127"/>
      <c r="C36" s="127"/>
      <c r="D36" s="127"/>
      <c r="E36" s="127"/>
      <c r="F36" s="127"/>
      <c r="G36" s="127"/>
      <c r="H36" s="127"/>
      <c r="I36" s="127"/>
      <c r="J36" s="127"/>
      <c r="K36" s="127"/>
      <c r="L36" s="331"/>
      <c r="M36" s="331"/>
      <c r="N36" s="331"/>
      <c r="O36" s="367"/>
    </row>
    <row r="37" spans="1:15" ht="15">
      <c r="A37" s="197"/>
      <c r="B37" s="127"/>
      <c r="C37" s="127"/>
      <c r="D37" s="127"/>
      <c r="E37" s="127"/>
      <c r="F37" s="127"/>
      <c r="G37" s="127"/>
      <c r="H37" s="127"/>
      <c r="I37" s="127"/>
      <c r="J37" s="127"/>
      <c r="K37" s="127"/>
      <c r="L37" s="331"/>
      <c r="M37" s="331"/>
      <c r="N37" s="331"/>
      <c r="O37" s="367"/>
    </row>
    <row r="38" spans="1:15" ht="15">
      <c r="A38" s="197"/>
      <c r="B38" s="127"/>
      <c r="C38" s="127"/>
      <c r="D38" s="127"/>
      <c r="E38" s="127"/>
      <c r="F38" s="127"/>
      <c r="G38" s="127"/>
      <c r="H38" s="127"/>
      <c r="I38" s="127"/>
      <c r="J38" s="127"/>
      <c r="K38" s="127"/>
      <c r="L38" s="331"/>
      <c r="M38" s="331"/>
      <c r="N38" s="331"/>
      <c r="O38" s="367"/>
    </row>
    <row r="39" spans="1:15" ht="15">
      <c r="A39" s="197"/>
      <c r="B39" s="127"/>
      <c r="C39" s="127"/>
      <c r="D39" s="127"/>
      <c r="E39" s="127"/>
      <c r="F39" s="127"/>
      <c r="G39" s="127"/>
      <c r="H39" s="127"/>
      <c r="I39" s="127"/>
      <c r="J39" s="127"/>
      <c r="K39" s="127"/>
      <c r="L39" s="331"/>
      <c r="M39" s="331"/>
      <c r="N39" s="331"/>
      <c r="O39" s="367"/>
    </row>
    <row r="40" spans="1:15" ht="15">
      <c r="A40" s="197"/>
      <c r="B40" s="127"/>
      <c r="C40" s="127"/>
      <c r="D40" s="127"/>
      <c r="E40" s="127"/>
      <c r="F40" s="127"/>
      <c r="G40" s="127"/>
      <c r="H40" s="127"/>
      <c r="I40" s="127"/>
      <c r="J40" s="127"/>
      <c r="K40" s="127"/>
      <c r="L40" s="331"/>
      <c r="M40" s="331"/>
      <c r="N40" s="331"/>
      <c r="O40" s="367"/>
    </row>
    <row r="41" spans="1:15">
      <c r="A41" s="197"/>
      <c r="B41" s="127"/>
      <c r="C41" s="127"/>
      <c r="D41" s="127"/>
      <c r="E41" s="127"/>
      <c r="F41" s="127"/>
      <c r="G41" s="127"/>
      <c r="H41" s="127"/>
      <c r="I41" s="127"/>
      <c r="J41" s="127"/>
      <c r="K41" s="127"/>
      <c r="L41" s="127"/>
      <c r="M41" s="127"/>
      <c r="N41" s="127"/>
      <c r="O41" s="167"/>
    </row>
    <row r="42" spans="1:15">
      <c r="A42" s="197"/>
      <c r="B42" s="127"/>
      <c r="C42" s="127"/>
      <c r="D42" s="127"/>
      <c r="E42" s="127"/>
      <c r="F42" s="127"/>
      <c r="G42" s="127"/>
      <c r="H42" s="127"/>
      <c r="I42" s="127"/>
      <c r="J42" s="127"/>
      <c r="K42" s="127"/>
      <c r="L42" s="127"/>
      <c r="M42" s="127"/>
      <c r="N42" s="127"/>
      <c r="O42" s="167"/>
    </row>
    <row r="43" spans="1:15">
      <c r="A43" s="197"/>
      <c r="B43" s="127"/>
      <c r="C43" s="127"/>
      <c r="D43" s="127"/>
      <c r="E43" s="127"/>
      <c r="F43" s="127"/>
      <c r="G43" s="127"/>
      <c r="H43" s="127"/>
      <c r="I43" s="127"/>
      <c r="J43" s="127"/>
      <c r="K43" s="127"/>
      <c r="L43" s="127"/>
      <c r="M43" s="127"/>
      <c r="N43" s="127"/>
      <c r="O43" s="167"/>
    </row>
    <row r="44" spans="1:15">
      <c r="A44" s="197"/>
      <c r="B44" s="127"/>
      <c r="C44" s="127"/>
      <c r="D44" s="127"/>
      <c r="E44" s="127"/>
      <c r="F44" s="127"/>
      <c r="G44" s="127"/>
      <c r="H44" s="127"/>
      <c r="I44" s="127"/>
      <c r="J44" s="127"/>
      <c r="K44" s="127"/>
      <c r="L44" s="127"/>
      <c r="M44" s="127"/>
      <c r="N44" s="127"/>
      <c r="O44" s="167"/>
    </row>
    <row r="45" spans="1:15">
      <c r="A45" s="197"/>
      <c r="B45" s="127"/>
      <c r="C45" s="127"/>
      <c r="D45" s="127"/>
      <c r="E45" s="127"/>
      <c r="F45" s="127"/>
      <c r="G45" s="127"/>
      <c r="H45" s="127"/>
      <c r="I45" s="127"/>
      <c r="J45" s="127"/>
      <c r="K45" s="127"/>
      <c r="L45" s="127"/>
      <c r="M45" s="127"/>
      <c r="N45" s="127"/>
      <c r="O45" s="167"/>
    </row>
    <row r="46" spans="1:15">
      <c r="A46" s="197"/>
      <c r="B46" s="127"/>
      <c r="C46" s="127"/>
      <c r="D46" s="127"/>
      <c r="E46" s="127"/>
      <c r="F46" s="127"/>
      <c r="G46" s="127"/>
      <c r="H46" s="127"/>
      <c r="I46" s="127"/>
      <c r="J46" s="127"/>
      <c r="K46" s="127"/>
      <c r="L46" s="127"/>
      <c r="M46" s="127"/>
      <c r="N46" s="127"/>
      <c r="O46" s="167"/>
    </row>
    <row r="47" spans="1:15">
      <c r="A47" s="197"/>
      <c r="B47" s="127"/>
      <c r="C47" s="127"/>
      <c r="D47" s="127"/>
      <c r="E47" s="127"/>
      <c r="F47" s="127"/>
      <c r="G47" s="127"/>
      <c r="H47" s="127"/>
      <c r="I47" s="127"/>
      <c r="J47" s="127"/>
      <c r="K47" s="127"/>
      <c r="L47" s="127"/>
      <c r="M47" s="127"/>
      <c r="N47" s="127"/>
      <c r="O47" s="167"/>
    </row>
    <row r="48" spans="1:15">
      <c r="A48" s="197"/>
      <c r="B48" s="338" t="s">
        <v>88</v>
      </c>
      <c r="C48" s="127"/>
      <c r="D48" s="127"/>
      <c r="E48" s="127"/>
      <c r="F48" s="127"/>
      <c r="G48" s="127"/>
      <c r="H48" s="127"/>
      <c r="I48" s="127"/>
      <c r="J48" s="127"/>
      <c r="K48" s="127"/>
      <c r="L48" s="127"/>
      <c r="M48" s="127"/>
      <c r="N48" s="127"/>
      <c r="O48" s="167"/>
    </row>
    <row r="49" spans="1:15">
      <c r="A49" s="197"/>
      <c r="B49" s="127"/>
      <c r="C49" s="127"/>
      <c r="D49" s="127"/>
      <c r="E49" s="127"/>
      <c r="F49" s="127"/>
      <c r="G49" s="127"/>
      <c r="H49" s="127"/>
      <c r="I49" s="127"/>
      <c r="J49" s="127"/>
      <c r="K49" s="127"/>
      <c r="L49" s="127"/>
      <c r="M49" s="127"/>
      <c r="N49" s="127"/>
      <c r="O49" s="167"/>
    </row>
    <row r="50" spans="1:15">
      <c r="A50" s="197"/>
      <c r="C50" s="127"/>
      <c r="D50" s="127"/>
      <c r="E50" s="127"/>
      <c r="F50" s="127"/>
      <c r="G50" s="127"/>
      <c r="H50" s="127"/>
      <c r="I50" s="127"/>
      <c r="J50" s="127"/>
      <c r="K50" s="127"/>
      <c r="L50" s="127"/>
      <c r="M50" s="127"/>
      <c r="N50" s="127"/>
      <c r="O50" s="167"/>
    </row>
    <row r="51" spans="1:15">
      <c r="A51" s="197"/>
      <c r="B51" s="127"/>
      <c r="C51" s="127"/>
      <c r="D51" s="127"/>
      <c r="E51" s="127"/>
      <c r="F51" s="127"/>
      <c r="G51" s="127"/>
      <c r="H51" s="127"/>
      <c r="I51" s="127"/>
      <c r="J51" s="127"/>
      <c r="K51" s="127"/>
      <c r="L51" s="127"/>
      <c r="M51" s="127"/>
      <c r="N51" s="127"/>
      <c r="O51" s="167"/>
    </row>
    <row r="52" spans="1:15" ht="13.8" thickBot="1">
      <c r="A52" s="198"/>
      <c r="B52" s="199"/>
      <c r="C52" s="199"/>
      <c r="D52" s="199"/>
      <c r="E52" s="199"/>
      <c r="F52" s="199"/>
      <c r="G52" s="199"/>
      <c r="H52" s="199"/>
      <c r="I52" s="199"/>
      <c r="J52" s="199"/>
      <c r="K52" s="199"/>
      <c r="L52" s="199"/>
      <c r="M52" s="199"/>
      <c r="N52" s="199"/>
      <c r="O52" s="168"/>
    </row>
  </sheetData>
  <phoneticPr fontId="0" type="noConversion"/>
  <pageMargins left="0.51181102362204722" right="0.47244094488188981" top="0.6692913385826772" bottom="0.6692913385826772" header="0.51181102362204722" footer="0.51181102362204722"/>
  <pageSetup paperSize="9" scale="69" orientation="landscape" r:id="rId1"/>
  <headerFooter alignWithMargins="0">
    <oddFooter>&amp;L&amp;9Page 5&amp;C&amp;9Source: Financial Planning and Analysis&amp;R&amp;9Printed : &amp;D&amp;T</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O43"/>
  <sheetViews>
    <sheetView zoomScale="75" workbookViewId="0">
      <selection activeCell="C9" sqref="C9"/>
    </sheetView>
  </sheetViews>
  <sheetFormatPr defaultColWidth="9.109375" defaultRowHeight="13.2"/>
  <cols>
    <col min="1" max="16384" width="9.10937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c r="A9" s="197"/>
      <c r="B9" s="127"/>
      <c r="C9" s="127"/>
      <c r="D9" s="127"/>
      <c r="E9" s="127"/>
      <c r="F9" s="127"/>
      <c r="G9" s="127"/>
      <c r="H9" s="127"/>
      <c r="I9" s="127"/>
      <c r="J9" s="127"/>
      <c r="K9" s="127"/>
      <c r="L9" s="127"/>
      <c r="M9" s="127"/>
      <c r="N9" s="127"/>
      <c r="O9" s="167"/>
    </row>
    <row r="10" spans="1:15">
      <c r="A10" s="197"/>
      <c r="B10" s="127"/>
      <c r="C10" s="127"/>
      <c r="D10" s="127"/>
      <c r="E10" s="127"/>
      <c r="F10" s="127"/>
      <c r="G10" s="127"/>
      <c r="H10" s="127"/>
      <c r="I10" s="127"/>
      <c r="J10" s="127"/>
      <c r="K10" s="127"/>
      <c r="L10" s="127"/>
      <c r="M10" s="127"/>
      <c r="N10" s="127"/>
      <c r="O10" s="167"/>
    </row>
    <row r="11" spans="1:15">
      <c r="A11" s="197"/>
      <c r="B11" s="127"/>
      <c r="C11" s="127"/>
      <c r="D11" s="127"/>
      <c r="E11" s="127"/>
      <c r="F11" s="127"/>
      <c r="G11" s="127"/>
      <c r="H11" s="127"/>
      <c r="I11" s="127"/>
      <c r="J11" s="127"/>
      <c r="K11" s="127"/>
      <c r="L11" s="127"/>
      <c r="M11" s="127"/>
      <c r="N11" s="127"/>
      <c r="O11" s="167"/>
    </row>
    <row r="12" spans="1:15">
      <c r="A12" s="197"/>
      <c r="B12" s="127"/>
      <c r="C12" s="127"/>
      <c r="D12" s="127"/>
      <c r="E12" s="127"/>
      <c r="F12" s="127"/>
      <c r="G12" s="127"/>
      <c r="H12" s="127"/>
      <c r="I12" s="127"/>
      <c r="J12" s="127"/>
      <c r="K12" s="127"/>
      <c r="L12" s="127"/>
      <c r="M12" s="127"/>
      <c r="N12" s="127"/>
      <c r="O12" s="167"/>
    </row>
    <row r="13" spans="1:15">
      <c r="A13" s="197"/>
      <c r="B13" s="127"/>
      <c r="C13" s="127"/>
      <c r="D13" s="127"/>
      <c r="E13" s="127"/>
      <c r="F13" s="127"/>
      <c r="G13" s="127"/>
      <c r="H13" s="127"/>
      <c r="I13" s="127"/>
      <c r="J13" s="127"/>
      <c r="K13" s="127"/>
      <c r="L13" s="127"/>
      <c r="M13" s="127"/>
      <c r="N13" s="127"/>
      <c r="O13" s="167"/>
    </row>
    <row r="14" spans="1:15">
      <c r="A14" s="197"/>
      <c r="B14" s="127"/>
      <c r="C14" s="127"/>
      <c r="D14" s="127"/>
      <c r="E14" s="127"/>
      <c r="F14" s="127"/>
      <c r="G14" s="127"/>
      <c r="H14" s="127"/>
      <c r="I14" s="127"/>
      <c r="J14" s="127"/>
      <c r="K14" s="127"/>
      <c r="L14" s="127"/>
      <c r="M14" s="127"/>
      <c r="N14" s="127"/>
      <c r="O14" s="167"/>
    </row>
    <row r="15" spans="1:15">
      <c r="A15" s="197"/>
      <c r="B15" s="127"/>
      <c r="C15" s="127"/>
      <c r="D15" s="127"/>
      <c r="E15" s="127"/>
      <c r="F15" s="127"/>
      <c r="G15" s="127"/>
      <c r="H15" s="127"/>
      <c r="I15" s="127"/>
      <c r="J15" s="127"/>
      <c r="K15" s="127"/>
      <c r="L15" s="127"/>
      <c r="M15" s="127"/>
      <c r="N15" s="127"/>
      <c r="O15" s="167"/>
    </row>
    <row r="16" spans="1:15">
      <c r="A16" s="197"/>
      <c r="B16" s="127"/>
      <c r="C16" s="127"/>
      <c r="D16" s="127"/>
      <c r="E16" s="127"/>
      <c r="F16" s="127"/>
      <c r="G16" s="127"/>
      <c r="H16" s="127"/>
      <c r="I16" s="127"/>
      <c r="J16" s="127"/>
      <c r="K16" s="127"/>
      <c r="L16" s="127"/>
      <c r="M16" s="127"/>
      <c r="N16" s="127"/>
      <c r="O16" s="167"/>
    </row>
    <row r="17" spans="1:15">
      <c r="A17" s="197"/>
      <c r="B17" s="127"/>
      <c r="C17" s="127"/>
      <c r="D17" s="127"/>
      <c r="E17" s="127"/>
      <c r="F17" s="127"/>
      <c r="G17" s="127"/>
      <c r="H17" s="127"/>
      <c r="I17" s="127"/>
      <c r="J17" s="127"/>
      <c r="K17" s="127"/>
      <c r="L17" s="127"/>
      <c r="M17" s="127"/>
      <c r="N17" s="127"/>
      <c r="O17" s="167"/>
    </row>
    <row r="18" spans="1:15" ht="13.8" thickBot="1">
      <c r="A18" s="197"/>
      <c r="B18" s="127"/>
      <c r="C18" s="127"/>
      <c r="D18" s="127"/>
      <c r="E18" s="127"/>
      <c r="F18" s="127"/>
      <c r="G18" s="127"/>
      <c r="H18" s="127"/>
      <c r="I18" s="127"/>
      <c r="J18" s="127"/>
      <c r="K18" s="127"/>
      <c r="L18" s="127"/>
      <c r="M18" s="127"/>
      <c r="N18" s="127"/>
      <c r="O18" s="167"/>
    </row>
    <row r="19" spans="1:15">
      <c r="A19" s="197"/>
      <c r="B19" s="127"/>
      <c r="C19" s="127"/>
      <c r="D19" s="895" t="s">
        <v>658</v>
      </c>
      <c r="E19" s="715"/>
      <c r="F19" s="715"/>
      <c r="G19" s="715"/>
      <c r="H19" s="896"/>
      <c r="I19" s="127"/>
      <c r="J19" s="127"/>
      <c r="K19" s="127"/>
      <c r="L19" s="127"/>
      <c r="M19" s="127"/>
      <c r="N19" s="127"/>
      <c r="O19" s="167"/>
    </row>
    <row r="20" spans="1:15" ht="13.8" thickBot="1">
      <c r="A20" s="197"/>
      <c r="B20" s="127"/>
      <c r="C20" s="127"/>
      <c r="D20" s="897"/>
      <c r="E20" s="898"/>
      <c r="F20" s="898"/>
      <c r="G20" s="898"/>
      <c r="H20" s="899"/>
      <c r="I20" s="127"/>
      <c r="J20" s="127"/>
      <c r="K20" s="127"/>
      <c r="L20" s="127"/>
      <c r="M20" s="127"/>
      <c r="N20" s="127"/>
      <c r="O20" s="167"/>
    </row>
    <row r="21" spans="1:15">
      <c r="A21" s="197"/>
      <c r="B21" s="127"/>
      <c r="C21" s="127"/>
      <c r="D21" s="127"/>
      <c r="E21" s="127"/>
      <c r="F21" s="127"/>
      <c r="G21" s="127"/>
      <c r="H21" s="127"/>
      <c r="I21" s="127"/>
      <c r="J21" s="127"/>
      <c r="K21" s="127"/>
      <c r="L21" s="127"/>
      <c r="M21" s="127"/>
      <c r="N21" s="127"/>
      <c r="O21" s="167"/>
    </row>
    <row r="22" spans="1:15">
      <c r="A22" s="197"/>
      <c r="B22" s="127"/>
      <c r="C22" s="127"/>
      <c r="D22" s="127"/>
      <c r="E22" s="127"/>
      <c r="F22" s="127"/>
      <c r="G22" s="127"/>
      <c r="H22" s="127"/>
      <c r="I22" s="127"/>
      <c r="J22" s="127"/>
      <c r="K22" s="127"/>
      <c r="L22" s="127"/>
      <c r="M22" s="127"/>
      <c r="N22" s="127"/>
      <c r="O22" s="167"/>
    </row>
    <row r="23" spans="1:15">
      <c r="A23" s="197"/>
      <c r="B23" s="127"/>
      <c r="C23" s="127"/>
      <c r="D23" s="127"/>
      <c r="E23" s="127"/>
      <c r="F23" s="127"/>
      <c r="G23" s="127"/>
      <c r="H23" s="127"/>
      <c r="I23" s="127"/>
      <c r="J23" s="127"/>
      <c r="K23" s="127"/>
      <c r="L23" s="127"/>
      <c r="M23" s="127"/>
      <c r="N23" s="127"/>
      <c r="O23" s="167"/>
    </row>
    <row r="24" spans="1:15">
      <c r="A24" s="197"/>
      <c r="B24" s="127"/>
      <c r="C24" s="127"/>
      <c r="D24" s="127"/>
      <c r="E24" s="127"/>
      <c r="F24" s="127"/>
      <c r="G24" s="127"/>
      <c r="H24" s="127"/>
      <c r="I24" s="127"/>
      <c r="J24" s="127"/>
      <c r="K24" s="127"/>
      <c r="L24" s="127"/>
      <c r="M24" s="127"/>
      <c r="N24" s="127"/>
      <c r="O24" s="167"/>
    </row>
    <row r="25" spans="1:15">
      <c r="A25" s="197"/>
      <c r="B25" s="127"/>
      <c r="C25" s="127"/>
      <c r="D25" s="127"/>
      <c r="E25" s="127"/>
      <c r="F25" s="127"/>
      <c r="G25" s="127"/>
      <c r="H25" s="127"/>
      <c r="I25" s="127"/>
      <c r="J25" s="127"/>
      <c r="K25" s="127"/>
      <c r="L25" s="127"/>
      <c r="M25" s="127"/>
      <c r="N25" s="127"/>
      <c r="O25" s="167"/>
    </row>
    <row r="26" spans="1:15">
      <c r="A26" s="197"/>
      <c r="B26" s="127"/>
      <c r="C26" s="127"/>
      <c r="D26" s="127"/>
      <c r="E26" s="127"/>
      <c r="F26" s="127"/>
      <c r="G26" s="127"/>
      <c r="H26" s="127"/>
      <c r="I26" s="127"/>
      <c r="J26" s="127"/>
      <c r="K26" s="127"/>
      <c r="L26" s="127"/>
      <c r="M26" s="127"/>
      <c r="N26" s="127"/>
      <c r="O26" s="167"/>
    </row>
    <row r="27" spans="1:15">
      <c r="A27" s="197"/>
      <c r="B27" s="127"/>
      <c r="C27" s="127"/>
      <c r="D27" s="127"/>
      <c r="E27" s="127"/>
      <c r="F27" s="127"/>
      <c r="G27" s="127"/>
      <c r="H27" s="127"/>
      <c r="I27" s="127"/>
      <c r="J27" s="127"/>
      <c r="K27" s="127"/>
      <c r="L27" s="127"/>
      <c r="M27" s="127"/>
      <c r="N27" s="127"/>
      <c r="O27" s="167"/>
    </row>
    <row r="28" spans="1:15">
      <c r="A28" s="197"/>
      <c r="B28" s="127"/>
      <c r="C28" s="127"/>
      <c r="D28" s="127"/>
      <c r="E28" s="127"/>
      <c r="F28" s="127"/>
      <c r="G28" s="127"/>
      <c r="H28" s="127"/>
      <c r="I28" s="127"/>
      <c r="J28" s="127"/>
      <c r="K28" s="127"/>
      <c r="L28" s="127"/>
      <c r="M28" s="127"/>
      <c r="N28" s="127"/>
      <c r="O28" s="167"/>
    </row>
    <row r="29" spans="1:15">
      <c r="A29" s="197"/>
      <c r="B29" s="127"/>
      <c r="C29" s="127"/>
      <c r="D29" s="127"/>
      <c r="E29" s="127"/>
      <c r="F29" s="127"/>
      <c r="G29" s="127"/>
      <c r="H29" s="127"/>
      <c r="I29" s="127"/>
      <c r="J29" s="127"/>
      <c r="K29" s="127"/>
      <c r="L29" s="127"/>
      <c r="M29" s="127"/>
      <c r="N29" s="127"/>
      <c r="O29" s="167"/>
    </row>
    <row r="30" spans="1:15">
      <c r="A30" s="197"/>
      <c r="B30" s="127"/>
      <c r="C30" s="127"/>
      <c r="D30" s="127"/>
      <c r="E30" s="127"/>
      <c r="F30" s="127"/>
      <c r="G30" s="127"/>
      <c r="H30" s="127"/>
      <c r="I30" s="127"/>
      <c r="J30" s="127"/>
      <c r="K30" s="127"/>
      <c r="L30" s="127"/>
      <c r="M30" s="127"/>
      <c r="N30" s="127"/>
      <c r="O30" s="167"/>
    </row>
    <row r="31" spans="1:15">
      <c r="A31" s="197"/>
      <c r="B31" s="127"/>
      <c r="C31" s="127"/>
      <c r="D31" s="127"/>
      <c r="E31" s="127"/>
      <c r="F31" s="127"/>
      <c r="G31" s="127"/>
      <c r="H31" s="127"/>
      <c r="I31" s="127"/>
      <c r="J31" s="127"/>
      <c r="K31" s="127"/>
      <c r="L31" s="127"/>
      <c r="M31" s="127"/>
      <c r="N31" s="127"/>
      <c r="O31" s="167"/>
    </row>
    <row r="32" spans="1:15">
      <c r="A32" s="197"/>
      <c r="B32" s="127"/>
      <c r="C32" s="127"/>
      <c r="D32" s="127"/>
      <c r="E32" s="127"/>
      <c r="F32" s="127"/>
      <c r="G32" s="127"/>
      <c r="H32" s="127"/>
      <c r="I32" s="127"/>
      <c r="J32" s="127"/>
      <c r="K32" s="127"/>
      <c r="L32" s="127"/>
      <c r="M32" s="127"/>
      <c r="N32" s="127"/>
      <c r="O32" s="167"/>
    </row>
    <row r="33" spans="1:15">
      <c r="A33" s="197"/>
      <c r="B33" s="127"/>
      <c r="C33" s="127"/>
      <c r="D33" s="127"/>
      <c r="E33" s="127"/>
      <c r="F33" s="127"/>
      <c r="G33" s="127"/>
      <c r="H33" s="127"/>
      <c r="I33" s="127"/>
      <c r="J33" s="127"/>
      <c r="K33" s="127"/>
      <c r="L33" s="127"/>
      <c r="M33" s="127"/>
      <c r="N33" s="127"/>
      <c r="O33" s="167"/>
    </row>
    <row r="34" spans="1:15">
      <c r="A34" s="197"/>
      <c r="B34" s="127"/>
      <c r="C34" s="127"/>
      <c r="D34" s="127"/>
      <c r="E34" s="127"/>
      <c r="F34" s="127"/>
      <c r="G34" s="127"/>
      <c r="H34" s="127"/>
      <c r="I34" s="127"/>
      <c r="J34" s="127"/>
      <c r="K34" s="127"/>
      <c r="L34" s="127"/>
      <c r="M34" s="127"/>
      <c r="N34" s="127"/>
      <c r="O34" s="167"/>
    </row>
    <row r="35" spans="1:15">
      <c r="A35" s="197"/>
      <c r="B35" s="127"/>
      <c r="C35" s="127"/>
      <c r="D35" s="127"/>
      <c r="E35" s="127"/>
      <c r="F35" s="127"/>
      <c r="G35" s="127"/>
      <c r="H35" s="127"/>
      <c r="I35" s="127"/>
      <c r="J35" s="127"/>
      <c r="K35" s="127"/>
      <c r="L35" s="127"/>
      <c r="M35" s="127"/>
      <c r="N35" s="127"/>
      <c r="O35" s="167"/>
    </row>
    <row r="36" spans="1:15">
      <c r="A36" s="197"/>
      <c r="B36" s="127"/>
      <c r="C36" s="127"/>
      <c r="D36" s="127"/>
      <c r="E36" s="127"/>
      <c r="F36" s="127"/>
      <c r="G36" s="127"/>
      <c r="H36" s="127"/>
      <c r="I36" s="127"/>
      <c r="J36" s="127"/>
      <c r="K36" s="127"/>
      <c r="L36" s="127"/>
      <c r="M36" s="127"/>
      <c r="N36" s="127"/>
      <c r="O36" s="167"/>
    </row>
    <row r="37" spans="1:15">
      <c r="A37" s="197"/>
      <c r="B37" s="127"/>
      <c r="C37" s="127"/>
      <c r="D37" s="127"/>
      <c r="E37" s="127"/>
      <c r="F37" s="127"/>
      <c r="G37" s="127"/>
      <c r="H37" s="127"/>
      <c r="I37" s="127"/>
      <c r="J37" s="127"/>
      <c r="K37" s="127"/>
      <c r="L37" s="127"/>
      <c r="M37" s="127"/>
      <c r="N37" s="127"/>
      <c r="O37" s="167"/>
    </row>
    <row r="38" spans="1:15">
      <c r="A38" s="197"/>
      <c r="B38" s="127"/>
      <c r="C38" s="127"/>
      <c r="D38" s="127"/>
      <c r="E38" s="127"/>
      <c r="F38" s="127"/>
      <c r="G38" s="127"/>
      <c r="H38" s="127"/>
      <c r="I38" s="127"/>
      <c r="J38" s="127"/>
      <c r="K38" s="127"/>
      <c r="L38" s="127"/>
      <c r="M38" s="127"/>
      <c r="N38" s="127"/>
      <c r="O38" s="167"/>
    </row>
    <row r="39" spans="1:15">
      <c r="A39" s="197"/>
      <c r="B39" s="127"/>
      <c r="C39" s="127"/>
      <c r="D39" s="127"/>
      <c r="E39" s="127"/>
      <c r="F39" s="127"/>
      <c r="G39" s="127"/>
      <c r="H39" s="127"/>
      <c r="I39" s="127"/>
      <c r="J39" s="127"/>
      <c r="K39" s="127"/>
      <c r="L39" s="127"/>
      <c r="M39" s="127"/>
      <c r="N39" s="127"/>
      <c r="O39" s="167"/>
    </row>
    <row r="40" spans="1:15">
      <c r="A40" s="197"/>
      <c r="B40" s="127"/>
      <c r="C40" s="127"/>
      <c r="D40" s="127"/>
      <c r="E40" s="127"/>
      <c r="F40" s="127"/>
      <c r="G40" s="127"/>
      <c r="H40" s="127"/>
      <c r="I40" s="127"/>
      <c r="J40" s="127"/>
      <c r="K40" s="127"/>
      <c r="L40" s="127"/>
      <c r="M40" s="127"/>
      <c r="N40" s="127"/>
      <c r="O40" s="167"/>
    </row>
    <row r="41" spans="1:15">
      <c r="A41" s="197"/>
      <c r="B41" s="127"/>
      <c r="C41" s="127"/>
      <c r="D41" s="127"/>
      <c r="E41" s="127"/>
      <c r="F41" s="127"/>
      <c r="G41" s="127"/>
      <c r="H41" s="127"/>
      <c r="I41" s="127"/>
      <c r="J41" s="127"/>
      <c r="K41" s="127"/>
      <c r="L41" s="127"/>
      <c r="M41" s="127"/>
      <c r="N41" s="127"/>
      <c r="O41" s="167"/>
    </row>
    <row r="42" spans="1:15">
      <c r="A42" s="197"/>
      <c r="B42" s="127"/>
      <c r="C42" s="127"/>
      <c r="D42" s="127"/>
      <c r="E42" s="127"/>
      <c r="F42" s="127"/>
      <c r="G42" s="127"/>
      <c r="H42" s="127"/>
      <c r="I42" s="127"/>
      <c r="J42" s="127"/>
      <c r="K42" s="127"/>
      <c r="L42" s="127"/>
      <c r="M42" s="127"/>
      <c r="N42" s="127"/>
      <c r="O42" s="167"/>
    </row>
    <row r="43" spans="1:15" ht="13.8" thickBot="1">
      <c r="A43" s="198"/>
      <c r="B43" s="199"/>
      <c r="C43" s="199"/>
      <c r="D43" s="199"/>
      <c r="E43" s="199"/>
      <c r="F43" s="199"/>
      <c r="G43" s="199"/>
      <c r="H43" s="199"/>
      <c r="I43" s="199"/>
      <c r="J43" s="199"/>
      <c r="K43" s="199"/>
      <c r="L43" s="199"/>
      <c r="M43" s="199"/>
      <c r="N43" s="199"/>
      <c r="O43" s="168"/>
    </row>
  </sheetData>
  <phoneticPr fontId="0" type="noConversion"/>
  <pageMargins left="0.75" right="0.75" top="0.53" bottom="0.66" header="0.5" footer="0.5"/>
  <pageSetup paperSize="9" scale="95" orientation="landscape" r:id="rId1"/>
  <headerFooter alignWithMargins="0">
    <oddFooter>&amp;L&amp;9Page 6&amp;C&amp;9Source: Financial Planning and Analysis&amp;R&amp;9Printed : &amp;D&amp;T</oddFooter>
  </headerFooter>
  <drawing r:id="rId2"/>
  <legacyDrawing r:id="rId3"/>
  <oleObjects>
    <mc:AlternateContent xmlns:mc="http://schemas.openxmlformats.org/markup-compatibility/2006">
      <mc:Choice Requires="x14">
        <oleObject progId="OrgPlusWOPX.4" shapeId="66564" r:id="rId4">
          <objectPr defaultSize="0" autoPict="0" r:id="rId5">
            <anchor moveWithCells="1" sizeWithCells="1">
              <from>
                <xdr:col>0</xdr:col>
                <xdr:colOff>0</xdr:colOff>
                <xdr:row>15</xdr:row>
                <xdr:rowOff>60960</xdr:rowOff>
              </from>
              <to>
                <xdr:col>0</xdr:col>
                <xdr:colOff>45720</xdr:colOff>
                <xdr:row>15</xdr:row>
                <xdr:rowOff>91440</xdr:rowOff>
              </to>
            </anchor>
          </objectPr>
        </oleObject>
      </mc:Choice>
      <mc:Fallback>
        <oleObject progId="OrgPlusWOPX.4" shapeId="6656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61</vt:i4>
      </vt:variant>
    </vt:vector>
  </HeadingPairs>
  <TitlesOfParts>
    <vt:vector size="93" baseType="lpstr">
      <vt:lpstr>Cover</vt:lpstr>
      <vt:lpstr>Index</vt:lpstr>
      <vt:lpstr>Gross Margin Summary </vt:lpstr>
      <vt:lpstr>Cost Summary </vt:lpstr>
      <vt:lpstr> PL Expense Analysis</vt:lpstr>
      <vt:lpstr>Budget 2002 Summary</vt:lpstr>
      <vt:lpstr>Consultancy &amp; Legal</vt:lpstr>
      <vt:lpstr>Headcount Summary</vt:lpstr>
      <vt:lpstr>Org Chart</vt:lpstr>
      <vt:lpstr>Org Chart from Paul</vt:lpstr>
      <vt:lpstr>Org Chart (UK) </vt:lpstr>
      <vt:lpstr>Org Chart (Cont) </vt:lpstr>
      <vt:lpstr>Org Chart (UK)  (2)</vt:lpstr>
      <vt:lpstr>Org Chart (Cont)  (2)</vt:lpstr>
      <vt:lpstr>Allocations </vt:lpstr>
      <vt:lpstr>Allocations %</vt:lpstr>
      <vt:lpstr>Corporate Allocations</vt:lpstr>
      <vt:lpstr>Run Rate Analysis</vt:lpstr>
      <vt:lpstr>Expense Analysis</vt:lpstr>
      <vt:lpstr>Expense Detail</vt:lpstr>
      <vt:lpstr>Expense Detail (2)</vt:lpstr>
      <vt:lpstr>Expense Detail (3)</vt:lpstr>
      <vt:lpstr>Run Rate</vt:lpstr>
      <vt:lpstr>Appendice</vt:lpstr>
      <vt:lpstr>CC Appendices 2002 Plan</vt:lpstr>
      <vt:lpstr>Mnth Appendices 2002 Plan </vt:lpstr>
      <vt:lpstr>Adaytum</vt:lpstr>
      <vt:lpstr>Adaytum  Detail 2002</vt:lpstr>
      <vt:lpstr>Input Data</vt:lpstr>
      <vt:lpstr>Adaytum by CC</vt:lpstr>
      <vt:lpstr>Adaytum by Month</vt:lpstr>
      <vt:lpstr>Adaytum Headcount</vt:lpstr>
      <vt:lpstr>'Adaytum  Detail 2002'!adaytum_col_1</vt:lpstr>
      <vt:lpstr>'Adaytum by CC'!adaytum_col_1</vt:lpstr>
      <vt:lpstr>'Adaytum by Month'!adaytum_col_1</vt:lpstr>
      <vt:lpstr>'Adaytum Headcount'!adaytum_col_1</vt:lpstr>
      <vt:lpstr>'Adaytum by Month'!adaytum_col_2</vt:lpstr>
      <vt:lpstr>'Adaytum Headcount'!adaytum_col_2</vt:lpstr>
      <vt:lpstr>'Adaytum by CC'!adaytum_col_3</vt:lpstr>
      <vt:lpstr>'Adaytum by Month'!adaytum_col_3</vt:lpstr>
      <vt:lpstr>'Adaytum  Detail 2002'!adaytum_data_1</vt:lpstr>
      <vt:lpstr>'Adaytum by Month'!adaytum_data_1</vt:lpstr>
      <vt:lpstr>'Adaytum by CC'!adaytum_data_2</vt:lpstr>
      <vt:lpstr>'Adaytum by Month'!adaytum_data_2</vt:lpstr>
      <vt:lpstr>'Adaytum by CC'!adaytum_data_3</vt:lpstr>
      <vt:lpstr>'Adaytum by Month'!adaytum_data_3</vt:lpstr>
      <vt:lpstr>'Adaytum  Detail 2002'!adaytum_page_1</vt:lpstr>
      <vt:lpstr>'Adaytum by CC'!adaytum_page_1</vt:lpstr>
      <vt:lpstr>'Adaytum by Month'!adaytum_page_1</vt:lpstr>
      <vt:lpstr>'Adaytum Headcount'!adaytum_page_1</vt:lpstr>
      <vt:lpstr>'Adaytum by Month'!adaytum_page_2</vt:lpstr>
      <vt:lpstr>'Adaytum by CC'!adaytum_page_3</vt:lpstr>
      <vt:lpstr>'Adaytum by Month'!adaytum_page_3</vt:lpstr>
      <vt:lpstr>'Adaytum Headcount'!adaytum_page_3</vt:lpstr>
      <vt:lpstr>'Adaytum  Detail 2002'!adaytum_row_1</vt:lpstr>
      <vt:lpstr>'Adaytum by CC'!adaytum_row_1</vt:lpstr>
      <vt:lpstr>'Adaytum by Month'!adaytum_row_1</vt:lpstr>
      <vt:lpstr>'Adaytum Headcount'!adaytum_row_1</vt:lpstr>
      <vt:lpstr>'Adaytum by Month'!adaytum_row_2</vt:lpstr>
      <vt:lpstr>'Adaytum Headcount'!adaytum_row_2</vt:lpstr>
      <vt:lpstr>'Adaytum by CC'!adaytum_row_3</vt:lpstr>
      <vt:lpstr>'Adaytum by Month'!adaytum_row_3</vt:lpstr>
      <vt:lpstr>'Adaytum by Month'!adaytum_view_1</vt:lpstr>
      <vt:lpstr>'Adaytum Headcount'!adaytum_view_1</vt:lpstr>
      <vt:lpstr>'Adaytum  Detail 2002'!adaytum_view_2</vt:lpstr>
      <vt:lpstr>'Adaytum by CC'!adaytum_view_2</vt:lpstr>
      <vt:lpstr>'Adaytum by Month'!adaytum_view_2</vt:lpstr>
      <vt:lpstr>'Adaytum by CC'!adaytum_view_3</vt:lpstr>
      <vt:lpstr>'Adaytum Headcount'!adaytum_view_3</vt:lpstr>
      <vt:lpstr>'Adaytum by Month'!adaytum_view_4</vt:lpstr>
      <vt:lpstr>' PL Expense Analysis'!Print_Area</vt:lpstr>
      <vt:lpstr>'Adaytum  Detail 2002'!Print_Area</vt:lpstr>
      <vt:lpstr>'Adaytum by CC'!Print_Area</vt:lpstr>
      <vt:lpstr>'Adaytum by Month'!Print_Area</vt:lpstr>
      <vt:lpstr>'Adaytum Headcount'!Print_Area</vt:lpstr>
      <vt:lpstr>'Allocations '!Print_Area</vt:lpstr>
      <vt:lpstr>'Allocations %'!Print_Area</vt:lpstr>
      <vt:lpstr>'Budget 2002 Summary'!Print_Area</vt:lpstr>
      <vt:lpstr>'CC Appendices 2002 Plan'!Print_Area</vt:lpstr>
      <vt:lpstr>'Consultancy &amp; Legal'!Print_Area</vt:lpstr>
      <vt:lpstr>'Cost Summary '!Print_Area</vt:lpstr>
      <vt:lpstr>'Expense Detail'!Print_Area</vt:lpstr>
      <vt:lpstr>'Expense Detail (2)'!Print_Area</vt:lpstr>
      <vt:lpstr>'Expense Detail (3)'!Print_Area</vt:lpstr>
      <vt:lpstr>'Gross Margin Summary '!Print_Area</vt:lpstr>
      <vt:lpstr>'Headcount Summary'!Print_Area</vt:lpstr>
      <vt:lpstr>'Mnth Appendices 2002 Plan '!Print_Area</vt:lpstr>
      <vt:lpstr>'Org Chart (Cont) '!Print_Area</vt:lpstr>
      <vt:lpstr>'Org Chart (Cont)  (2)'!Print_Area</vt:lpstr>
      <vt:lpstr>'Org Chart (UK) '!Print_Area</vt:lpstr>
      <vt:lpstr>'Org Chart (UK)  (2)'!Print_Area</vt:lpstr>
      <vt:lpstr>'Run Rate'!Print_Area</vt:lpstr>
      <vt:lpstr>'Budget 2002 Summary'!Print_Titles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devans5</dc:creator>
  <cp:lastModifiedBy>Havlíček Jan</cp:lastModifiedBy>
  <cp:lastPrinted>2001-10-10T19:44:50Z</cp:lastPrinted>
  <dcterms:created xsi:type="dcterms:W3CDTF">2001-06-19T10:34:16Z</dcterms:created>
  <dcterms:modified xsi:type="dcterms:W3CDTF">2023-09-10T15:42:48Z</dcterms:modified>
</cp:coreProperties>
</file>