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<sst xmlns="http://schemas.openxmlformats.org/spreadsheetml/2006/main" count="1537" uniqueCount="567">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</sst>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80" t="s">
        <v>128</v>
      </c>
      <c r="C2" s="280"/>
      <c r="D2" s="280"/>
      <c r="E2" s="280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4"/>
      <c r="D4" s="64"/>
      <c r="E4" s="64"/>
      <c r="F4" s="63"/>
    </row>
    <row r="5" spans="1:6" x14ac:dyDescent="0.3">
      <c r="A5" s="62"/>
      <c r="B5" s="64" t="s">
        <v>15</v>
      </c>
      <c r="C5" s="66">
        <f>+'MRP Raptor'!U3</f>
        <v>36850</v>
      </c>
      <c r="D5" s="67" t="s">
        <v>20</v>
      </c>
      <c r="E5" s="68">
        <f>+C5-1</f>
        <v>36849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Position'!P59</f>
        <v>-186751809.16353804</v>
      </c>
      <c r="D12" s="71">
        <f>+'Daily Position'!O59</f>
        <v>0</v>
      </c>
      <c r="E12" s="71">
        <f>+C12-D12</f>
        <v>-186751809.16353804</v>
      </c>
      <c r="F12" s="63"/>
    </row>
    <row r="13" spans="1:6" x14ac:dyDescent="0.3">
      <c r="A13" s="62"/>
      <c r="B13" s="64" t="s">
        <v>10</v>
      </c>
      <c r="C13" s="56">
        <f>+C15-C12</f>
        <v>-6578628.3400000036</v>
      </c>
      <c r="D13" s="56">
        <f>+D15-D12</f>
        <v>0</v>
      </c>
      <c r="E13" s="56">
        <f>+E15-E12</f>
        <v>-6578628.3400000036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Position'!N59</f>
        <v>-193330437.50353804</v>
      </c>
      <c r="D15" s="57">
        <f>+'Daily Position'!M59</f>
        <v>0</v>
      </c>
      <c r="E15" s="57">
        <f>+C15-D15</f>
        <v>-193330437.50353804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+Financials!I36</f>
        <v>93979176.532411635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6" x14ac:dyDescent="0.3"/>
  <cols>
    <col min="1" max="1" width="23.09765625" customWidth="1"/>
    <col min="2" max="2" width="7.8984375" style="274" customWidth="1"/>
    <col min="3" max="3" width="10.8984375" style="274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66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1" s="79" customFormat="1" x14ac:dyDescent="0.3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5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3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3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1.5840936981110871</v>
      </c>
      <c r="K4" s="266">
        <f>+Summary!$C$5</f>
        <v>36850</v>
      </c>
      <c r="L4" s="4">
        <f>IF(K4&lt;B4,0,ROUND((+J4*H4),2)-I4-M4)</f>
        <v>31621.97</v>
      </c>
      <c r="M4" s="4">
        <v>0</v>
      </c>
      <c r="N4" s="5">
        <f t="shared" ref="N4:N11" si="1">+L4+M4</f>
        <v>31621.97</v>
      </c>
      <c r="O4">
        <v>0</v>
      </c>
      <c r="P4" s="4">
        <f>IF(Summary!$E$5&lt;'Daily Position'!B4,0,ROUND(+Q4*H4,2)-I4)</f>
        <v>38709.47</v>
      </c>
      <c r="Q4" s="2">
        <f>+VLOOKUP(+Summary!$E$5,wtten,2)</f>
        <v>1.6749590795986473</v>
      </c>
      <c r="R4" s="2"/>
      <c r="S4" s="146">
        <f>+J4*H4-'MRP Raptor'!U65</f>
        <v>0</v>
      </c>
    </row>
    <row r="5" spans="1:21" x14ac:dyDescent="0.3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18</v>
      </c>
      <c r="K5" s="266">
        <f>+Summary!$C$5</f>
        <v>36850</v>
      </c>
      <c r="L5" s="4">
        <f t="shared" ref="L5:L11" si="2">IF(K5&lt;B5,0,ROUND((+J5*H5),2)-I5-M5)</f>
        <v>-44673405.25</v>
      </c>
      <c r="M5" s="4">
        <v>0</v>
      </c>
      <c r="N5" s="5">
        <f t="shared" si="1"/>
        <v>-44673405.25</v>
      </c>
      <c r="O5">
        <v>0</v>
      </c>
      <c r="P5" s="4">
        <f>IF(Summary!$E$5&lt;'Daily Position'!B5,0,ROUND(+Q5*H5,2)-I5)</f>
        <v>-43795891.939999998</v>
      </c>
      <c r="Q5" s="2">
        <f>+VLOOKUP(+Summary!$E$5,acpw,2)</f>
        <v>18.6875</v>
      </c>
      <c r="R5" s="2"/>
      <c r="S5" s="146">
        <f>+J5*H5-'MRP Raptor'!U34</f>
        <v>0</v>
      </c>
      <c r="T5" s="219"/>
    </row>
    <row r="6" spans="1:21" x14ac:dyDescent="0.3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24.25</v>
      </c>
      <c r="K6" s="266">
        <f>+Summary!$C$5</f>
        <v>36850</v>
      </c>
      <c r="L6" s="4">
        <f t="shared" si="2"/>
        <v>-151166144.5</v>
      </c>
      <c r="M6" s="4">
        <v>0</v>
      </c>
      <c r="N6" s="5">
        <f>+L6+M6</f>
        <v>-151166144.5</v>
      </c>
      <c r="O6">
        <v>0</v>
      </c>
      <c r="P6" s="4">
        <f>IF(Summary!$E$5&lt;'Daily Position'!B6,0,ROUND(+Q6*H6,2)-I6)</f>
        <v>-146109049.25</v>
      </c>
      <c r="Q6" s="2">
        <f>+VLOOKUP(+Summary!$E$5,avci,2)</f>
        <v>28.875</v>
      </c>
      <c r="R6" s="2"/>
      <c r="S6" s="146">
        <f>+J6*H6-'MRP Raptor'!U10</f>
        <v>0</v>
      </c>
      <c r="T6" s="219"/>
    </row>
    <row r="7" spans="1:21" x14ac:dyDescent="0.3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5.4251303331928877</v>
      </c>
      <c r="K7" s="266">
        <f>+Summary!$C$5</f>
        <v>36850</v>
      </c>
      <c r="L7" s="4">
        <f t="shared" si="2"/>
        <v>192144.96999999997</v>
      </c>
      <c r="M7" s="4">
        <v>0</v>
      </c>
      <c r="N7" s="5">
        <f t="shared" si="1"/>
        <v>192144.96999999997</v>
      </c>
      <c r="O7">
        <v>0</v>
      </c>
      <c r="P7" s="4">
        <f>IF(Summary!$E$5&lt;'Daily Position'!B7,0,ROUND(+Q7*H7,2)-I7)</f>
        <v>341661.6</v>
      </c>
      <c r="Q7" s="2">
        <f>+VLOOKUP(+Summary!$E$5,wcrzo,2)</f>
        <v>6.3820367416989185</v>
      </c>
      <c r="R7" s="2"/>
      <c r="S7" s="146">
        <f>+J7*H7-'MRP Raptor'!U64</f>
        <v>0</v>
      </c>
      <c r="T7" s="219"/>
    </row>
    <row r="8" spans="1:21" x14ac:dyDescent="0.3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5.6875</v>
      </c>
      <c r="K8" s="266">
        <f>+Summary!$C$5</f>
        <v>36850</v>
      </c>
      <c r="L8" s="4">
        <f t="shared" si="2"/>
        <v>-11229.570000000007</v>
      </c>
      <c r="M8" s="4">
        <v>0</v>
      </c>
      <c r="N8" s="5">
        <f t="shared" si="1"/>
        <v>-11229.570000000007</v>
      </c>
      <c r="O8">
        <v>0</v>
      </c>
      <c r="P8" s="4">
        <f>IF(Summary!$E$5&lt;'Daily Position'!B8,0,ROUND(+Q8*H8,2)-I8)</f>
        <v>-11229.570000000007</v>
      </c>
      <c r="Q8" s="2">
        <f>+VLOOKUP(+Summary!$E$5,pgeo,2)</f>
        <v>5.6875</v>
      </c>
      <c r="R8" s="2"/>
      <c r="S8" s="146">
        <f>+J8*H8-'MRP Raptor'!U81</f>
        <v>0</v>
      </c>
      <c r="T8" s="219"/>
    </row>
    <row r="9" spans="1:21" x14ac:dyDescent="0.3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3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7.0625</v>
      </c>
      <c r="K10" s="266">
        <f>+Summary!$C$5</f>
        <v>36850</v>
      </c>
      <c r="L10" s="4">
        <f t="shared" si="2"/>
        <v>311356.94999999995</v>
      </c>
      <c r="M10" s="4">
        <v>0</v>
      </c>
      <c r="N10" s="5">
        <f t="shared" si="1"/>
        <v>311356.94999999995</v>
      </c>
      <c r="O10">
        <v>0</v>
      </c>
      <c r="P10" s="4">
        <f>IF(Summary!$E$5&lt;'Daily Position'!B10,0,ROUND(+Q10*H10,2)-I10)</f>
        <v>311356.94999999995</v>
      </c>
      <c r="Q10" s="2">
        <f>IF(K10=(T10+1),+'Stock Prices'!N65/(229391/12234952),+VLOOKUP(+Summary!$E$5,qsri,2))</f>
        <v>7.0625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3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8.625</v>
      </c>
      <c r="K11" s="266">
        <f>+Summary!$C$5</f>
        <v>36850</v>
      </c>
      <c r="L11" s="4">
        <f t="shared" si="2"/>
        <v>804243</v>
      </c>
      <c r="M11" s="4">
        <v>0</v>
      </c>
      <c r="N11" s="5">
        <f t="shared" si="1"/>
        <v>804243</v>
      </c>
      <c r="O11">
        <v>0</v>
      </c>
      <c r="P11" s="4">
        <f>IF(Summary!$E$5&lt;'Daily Position'!B11,0,ROUND(+Q11*H11,2)-I11)</f>
        <v>1105834.1200000001</v>
      </c>
      <c r="Q11" s="2">
        <f>+VLOOKUP(+Summary!$E$5,kwk,2)</f>
        <v>9</v>
      </c>
      <c r="R11" s="2"/>
      <c r="S11" s="146">
        <f>+J11*H11-'MRP Raptor'!U83</f>
        <v>0</v>
      </c>
      <c r="T11" s="219"/>
    </row>
    <row r="12" spans="1:21" x14ac:dyDescent="0.3">
      <c r="J12" s="2"/>
      <c r="L12" s="4"/>
      <c r="M12" s="4"/>
      <c r="N12" s="5"/>
      <c r="P12" s="4"/>
      <c r="Q12" s="4"/>
      <c r="R12" s="4"/>
    </row>
    <row r="13" spans="1:21" x14ac:dyDescent="0.3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3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36850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3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36850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3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36850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3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36850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3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36850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3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36850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3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36850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3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36850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3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36850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3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23507915.000000112</v>
      </c>
      <c r="K23" s="266">
        <f>+Summary!$C$5</f>
        <v>36850</v>
      </c>
      <c r="L23" s="4">
        <f t="shared" si="4"/>
        <v>1.1175870895385742E-7</v>
      </c>
      <c r="M23" s="4">
        <v>0</v>
      </c>
      <c r="N23" s="5">
        <f t="shared" si="5"/>
        <v>1.1175870895385742E-7</v>
      </c>
      <c r="O23">
        <v>0</v>
      </c>
      <c r="P23" s="4">
        <f t="shared" si="6"/>
        <v>1.0803341865539551E-7</v>
      </c>
      <c r="Q23" s="4">
        <f>VLOOKUP(+Summary!$E$5,Privates,R23)</f>
        <v>23507915.000000108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3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36850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3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36850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3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36850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3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36850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3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36850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3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36850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3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36850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3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36850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3.3469405025243759E-10</v>
      </c>
    </row>
    <row r="32" spans="1:21" x14ac:dyDescent="0.3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36850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3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36850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3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36850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3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36850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3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36850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3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36850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3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36850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3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36850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3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36850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3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36850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3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36850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3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36850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3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36850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3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36850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3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3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3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1.5840936981110871</v>
      </c>
      <c r="K48" s="266">
        <f>+Summary!$C$5</f>
        <v>36850</v>
      </c>
      <c r="L48" s="4">
        <f>IF(K48&lt;B48,0,ROUND((+J48*H48),2)-I48-M48)</f>
        <v>19036.419999999998</v>
      </c>
      <c r="M48" s="4">
        <v>0</v>
      </c>
      <c r="N48" s="5">
        <f t="shared" ref="N48:N53" si="8">+L48+M48</f>
        <v>19036.419999999998</v>
      </c>
      <c r="O48">
        <v>0</v>
      </c>
      <c r="P48" s="4">
        <f>IF(Summary!$E$5&lt;'Daily Position'!B48,0,ROUND(+Q48*H48,2)-I48)</f>
        <v>23303.100000000006</v>
      </c>
      <c r="Q48" s="69">
        <f>+Q4</f>
        <v>1.6749590795986473</v>
      </c>
      <c r="R48" s="2"/>
      <c r="S48" s="146">
        <f>+J48*H48-'MRP Raptor'!U22</f>
        <v>0</v>
      </c>
    </row>
    <row r="49" spans="1:20" x14ac:dyDescent="0.3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36850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3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7.0625</v>
      </c>
      <c r="K50" s="266">
        <f>+Summary!$C$5</f>
        <v>36850</v>
      </c>
      <c r="L50" s="4">
        <f>IF(K50&lt;B50,0,ROUND((+J50*H50),2)-I50-M50)</f>
        <v>187436.88999999996</v>
      </c>
      <c r="M50" s="4">
        <v>0</v>
      </c>
      <c r="N50" s="5">
        <f t="shared" si="8"/>
        <v>187436.88999999996</v>
      </c>
      <c r="O50">
        <v>0</v>
      </c>
      <c r="P50" s="4">
        <f>IF(Summary!$E$5&lt;'Daily Position'!B50,0,ROUND(+Q50*H50,2)-I50)</f>
        <v>187436.88999999996</v>
      </c>
      <c r="Q50" s="69">
        <f>+Q10</f>
        <v>7.0625</v>
      </c>
      <c r="R50" s="2"/>
      <c r="S50" s="146">
        <f>+J50*H50-'MRP Raptor'!U41</f>
        <v>0</v>
      </c>
      <c r="T50" s="219"/>
    </row>
    <row r="51" spans="1:20" x14ac:dyDescent="0.3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8.625</v>
      </c>
      <c r="K51" s="266">
        <f>+Summary!$C$5</f>
        <v>36850</v>
      </c>
      <c r="L51" s="4">
        <f>IF(K51&lt;B51,0,ROUND((+J51*H51),2)-I51-M51)</f>
        <v>484154.29000000004</v>
      </c>
      <c r="M51" s="4">
        <v>0</v>
      </c>
      <c r="N51" s="5">
        <f t="shared" si="8"/>
        <v>484154.29000000004</v>
      </c>
      <c r="O51">
        <v>0</v>
      </c>
      <c r="P51" s="4">
        <f>IF(Summary!$E$5&lt;'Daily Position'!B51,0,ROUND(+Q51*H51,2)-I51)</f>
        <v>665712.14000000013</v>
      </c>
      <c r="Q51" s="69">
        <f>+Q11</f>
        <v>9</v>
      </c>
      <c r="R51" s="2"/>
      <c r="S51" s="146">
        <f>+J51*H51-'MRP Raptor'!U42</f>
        <v>0</v>
      </c>
      <c r="T51" s="219"/>
    </row>
    <row r="52" spans="1:20" x14ac:dyDescent="0.3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36850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3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36850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3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3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3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3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2" thickBot="1" x14ac:dyDescent="0.35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-193330437.50353804</v>
      </c>
      <c r="M59" s="78">
        <f>SUM(M3:M58)</f>
        <v>0</v>
      </c>
      <c r="N59" s="78">
        <f>SUM(N3:N58)</f>
        <v>-193330437.50353804</v>
      </c>
      <c r="O59" s="78">
        <f>SUM(O3:O58)</f>
        <v>0</v>
      </c>
      <c r="P59" s="78">
        <f>SUM(P3:P58)</f>
        <v>-186751809.16353804</v>
      </c>
      <c r="Q59" s="221"/>
      <c r="R59" s="221"/>
      <c r="S59" s="78">
        <f>SUM(S3:S58)</f>
        <v>1.797968838342058</v>
      </c>
    </row>
    <row r="60" spans="1:20" ht="16.2" thickTop="1" x14ac:dyDescent="0.3"/>
    <row r="61" spans="1:20" x14ac:dyDescent="0.3">
      <c r="S61" s="5">
        <f>+I59+L59</f>
        <v>527851291.56646204</v>
      </c>
    </row>
    <row r="62" spans="1:20" x14ac:dyDescent="0.3">
      <c r="S62" s="226">
        <f>+S61-'MRP Raptor'!U92+SUM('Private Cash'!B375:AG375)+(+'Private Cash'!C375+'Private Cash'!P375)/0.6*0.3612-'Private Cash'!F375</f>
        <v>2281918.4064425034</v>
      </c>
    </row>
    <row r="63" spans="1:20" x14ac:dyDescent="0.3">
      <c r="S63" s="233">
        <f>+S62-S59</f>
        <v>2281916.6084736651</v>
      </c>
      <c r="T63" t="s">
        <v>538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82" activePane="bottomLeft" state="frozen"/>
      <selection pane="bottomLeft" activeCell="A83" sqref="A83:B83"/>
    </sheetView>
  </sheetViews>
  <sheetFormatPr defaultRowHeight="15.6" x14ac:dyDescent="0.3"/>
  <cols>
    <col min="1" max="1" width="10" style="1" bestFit="1" customWidth="1"/>
    <col min="2" max="2" width="9.69921875" style="130" bestFit="1" customWidth="1"/>
    <col min="3" max="3" width="9.8984375" style="266" bestFit="1" customWidth="1"/>
    <col min="4" max="4" width="9.09765625" style="135" bestFit="1" customWidth="1"/>
    <col min="5" max="5" width="9.8984375" style="266" bestFit="1" customWidth="1"/>
    <col min="6" max="6" width="9.69921875" style="130" bestFit="1" customWidth="1"/>
    <col min="7" max="7" width="9.8984375" style="266" bestFit="1" customWidth="1"/>
    <col min="8" max="8" width="9.09765625" style="130" bestFit="1" customWidth="1"/>
    <col min="9" max="9" width="9.8984375" style="266" bestFit="1" customWidth="1"/>
    <col min="10" max="10" width="11.19921875" style="130" customWidth="1"/>
    <col min="11" max="11" width="9.8984375" style="266" bestFit="1" customWidth="1"/>
    <col min="12" max="12" width="10.3984375" style="133" bestFit="1" customWidth="1"/>
    <col min="13" max="13" width="9.8984375" style="266" bestFit="1" customWidth="1"/>
    <col min="14" max="14" width="9.09765625" style="130" bestFit="1" customWidth="1"/>
    <col min="15" max="15" width="9.8984375" style="266" bestFit="1" customWidth="1"/>
    <col min="16" max="16" width="9.09765625" style="130" bestFit="1" customWidth="1"/>
    <col min="17" max="17" width="9.8984375" style="266" bestFit="1" customWidth="1"/>
    <col min="18" max="18" width="9.09765625" style="130" bestFit="1" customWidth="1"/>
    <col min="19" max="19" width="9.8984375" style="270" bestFit="1" customWidth="1"/>
    <col min="20" max="20" width="9.69921875" style="130" bestFit="1" customWidth="1"/>
    <col min="21" max="21" width="10" style="266" customWidth="1"/>
    <col min="22" max="22" width="11.3984375" style="131" bestFit="1" customWidth="1"/>
    <col min="23" max="23" width="9.8984375" style="266" bestFit="1" customWidth="1"/>
    <col min="24" max="24" width="9.09765625" style="130" bestFit="1" customWidth="1"/>
    <col min="25" max="25" width="9.8984375" style="266" bestFit="1" customWidth="1"/>
    <col min="26" max="26" width="9.09765625" style="130" bestFit="1" customWidth="1"/>
    <col min="28" max="28" width="9.09765625" style="266" bestFit="1" customWidth="1"/>
    <col min="29" max="29" width="10.09765625" bestFit="1" customWidth="1"/>
    <col min="30" max="30" width="9.09765625" style="266" bestFit="1" customWidth="1"/>
    <col min="31" max="31" width="10.69921875" bestFit="1" customWidth="1"/>
    <col min="32" max="32" width="9.09765625" style="266" bestFit="1" customWidth="1"/>
    <col min="33" max="33" width="10.59765625" customWidth="1"/>
  </cols>
  <sheetData>
    <row r="1" spans="1:36" x14ac:dyDescent="0.3">
      <c r="A1" s="267" t="s">
        <v>162</v>
      </c>
      <c r="B1" s="126"/>
      <c r="E1" s="270"/>
      <c r="F1" s="129"/>
    </row>
    <row r="2" spans="1:36" x14ac:dyDescent="0.3">
      <c r="B2" s="127"/>
      <c r="E2" s="270"/>
      <c r="F2" s="129"/>
    </row>
    <row r="3" spans="1:36" x14ac:dyDescent="0.3">
      <c r="A3" s="287" t="s">
        <v>4</v>
      </c>
      <c r="B3" s="288"/>
      <c r="C3" s="289" t="s">
        <v>184</v>
      </c>
      <c r="D3" s="290"/>
      <c r="E3" s="287" t="s">
        <v>13</v>
      </c>
      <c r="F3" s="288"/>
      <c r="G3" s="287" t="s">
        <v>167</v>
      </c>
      <c r="H3" s="288"/>
      <c r="I3" s="287" t="s">
        <v>485</v>
      </c>
      <c r="J3" s="288"/>
      <c r="K3" s="285" t="s">
        <v>258</v>
      </c>
      <c r="L3" s="286"/>
      <c r="M3" s="287" t="s">
        <v>168</v>
      </c>
      <c r="N3" s="288"/>
      <c r="O3" s="287" t="s">
        <v>169</v>
      </c>
      <c r="P3" s="288"/>
      <c r="Q3" s="287" t="s">
        <v>170</v>
      </c>
      <c r="R3" s="288"/>
      <c r="S3" s="287" t="s">
        <v>518</v>
      </c>
      <c r="T3" s="288"/>
      <c r="U3" s="291" t="s">
        <v>261</v>
      </c>
      <c r="V3" s="292"/>
      <c r="W3" s="287" t="s">
        <v>171</v>
      </c>
      <c r="X3" s="288"/>
      <c r="Y3" s="287" t="s">
        <v>172</v>
      </c>
      <c r="Z3" s="288"/>
      <c r="AB3" s="285" t="s">
        <v>259</v>
      </c>
      <c r="AC3" s="286"/>
      <c r="AD3" s="291" t="s">
        <v>260</v>
      </c>
      <c r="AE3" s="292"/>
      <c r="AF3" s="287" t="s">
        <v>487</v>
      </c>
      <c r="AG3" s="288"/>
    </row>
    <row r="4" spans="1:36" x14ac:dyDescent="0.3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3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3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3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3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3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3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3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3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3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3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3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3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3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3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3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3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3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3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3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3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3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3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3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3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3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3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3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3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3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3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3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3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3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3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3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3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3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3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3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3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3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3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3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3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3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3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3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3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3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3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3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3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3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3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3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3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3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3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3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3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3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3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3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3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3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3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3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3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3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3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3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3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3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3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3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3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3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3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3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258" ht="14.25" customHeight="1" x14ac:dyDescent="0.3"/>
    <row r="375" spans="1:33" x14ac:dyDescent="0.3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3">
      <c r="A377" s="266">
        <f>+E377</f>
        <v>36850</v>
      </c>
      <c r="C377" s="266">
        <f>+E377</f>
        <v>36850</v>
      </c>
      <c r="E377" s="266">
        <f>+'MRP Raptor'!$U$3</f>
        <v>36850</v>
      </c>
      <c r="F377" s="130">
        <f>INDEX([0]!MPRR, MATCH("Avici EBS Raptor I",'MRP Raptor'!$E$3:$E$140,), MATCH("Per Share",'MRP Raptor'!$E$3:$CM$3,))</f>
        <v>24.25</v>
      </c>
      <c r="G377" s="266">
        <f>+'MRP Raptor'!$U$3</f>
        <v>36850</v>
      </c>
      <c r="H377" s="130">
        <f>INDEX([0]!MPRR, MATCH("Active Power Raptor I",'MRP Raptor'!$E$3:$E$140,), MATCH("Per Share",'MRP Raptor'!$E$3:$CM$3,))</f>
        <v>18</v>
      </c>
      <c r="I377" s="266">
        <f>+'MRP Raptor'!$U$3</f>
        <v>36850</v>
      </c>
      <c r="J377" s="130">
        <f>INDEX([0]!MPRR, MATCH("Place Resources Common Raptor I",'MRP Raptor'!$E$3:$E$140,), MATCH("Per Share",'MRP Raptor'!$E$3:$CM$3,))</f>
        <v>1.9069020866773676</v>
      </c>
      <c r="K377" s="266">
        <f>+'MRP Raptor'!$U$3</f>
        <v>36850</v>
      </c>
      <c r="L377" s="130">
        <f>INDEX([0]!MPRR, MATCH("Beau Canada Common Raptor I",'MRP Raptor'!$E$3:$E$140,), MATCH("Per Share",'MRP Raptor'!$E$3:$CM$3,))</f>
        <v>1.3739967897271268</v>
      </c>
      <c r="M377" s="266">
        <f>+'MRP Raptor'!$U$3</f>
        <v>36850</v>
      </c>
      <c r="N377" s="130">
        <f>INDEX([0]!MPRR, MATCH("DevX Energy Common Raptor I",'MRP Raptor'!$E$3:$E$140,), MATCH("Per Share",'MRP Raptor'!$E$3:$CM$3,))</f>
        <v>7.0625</v>
      </c>
      <c r="O377" s="266">
        <f>+'MRP Raptor'!$U$3</f>
        <v>36850</v>
      </c>
      <c r="P377" s="130">
        <f>INDEX([0]!MPRR, MATCH("Carrizo Warrants Raptor I",'MRP Raptor'!$E$3:$E$140,), MATCH("Per Share",'MRP Raptor'!$E$3:$CM$3,))</f>
        <v>5.4251303331928877</v>
      </c>
      <c r="Q377" s="266">
        <f>+'MRP Raptor'!$U$3</f>
        <v>36850</v>
      </c>
      <c r="R377" s="130">
        <f>INDEX([0]!MPRR, MATCH("3TEC Warrants Raptor I",'MRP Raptor'!$E$3:$E$140,), MATCH("Per Share",'MRP Raptor'!$E$3:$CM$3,))</f>
        <v>1.5840936981110871</v>
      </c>
      <c r="S377" s="266">
        <f>+'MRP Raptor'!$U$3</f>
        <v>36850</v>
      </c>
      <c r="T377" s="130">
        <f>INDEX([0]!MPRR, MATCH("3TEC Warrants EGF Raptor I",'MRP Raptor'!$E$3:$E$140,), MATCH("Per Share",'MRP Raptor'!$E$3:$CM$3,))</f>
        <v>1.5840936981110874</v>
      </c>
      <c r="U377" s="266">
        <f>+'MRP Raptor'!$U$3</f>
        <v>36850</v>
      </c>
      <c r="V377" s="130">
        <f>INDEX([0]!MPRR, MATCH("Bonus Resources Common Raptor I",'MRP Raptor'!$E$3:$E$140,), MATCH("Per Share",'MRP Raptor'!$E$3:$CM$3,))</f>
        <v>1.9261637239165328</v>
      </c>
      <c r="W377" s="266">
        <f>+'MRP Raptor'!$U$3</f>
        <v>36850</v>
      </c>
      <c r="X377" s="130">
        <f>INDEX([0]!MPRR, MATCH("Paradigm Common Raptor I",'MRP Raptor'!$E$3:$E$140,), MATCH("Per Share",'MRP Raptor'!$E$3:$CM$3,))</f>
        <v>5.6875</v>
      </c>
      <c r="Y377" s="266">
        <f>+'MRP Raptor'!$U$3</f>
        <v>36850</v>
      </c>
      <c r="Z377" s="130">
        <f>INDEX([0]!MPRR, MATCH("Quicksilver Common Raptor I",'MRP Raptor'!$E$3:$E$140,), MATCH("Per Share",'MRP Raptor'!$E$3:$CM$3,))</f>
        <v>8.625</v>
      </c>
      <c r="AC377" s="135"/>
      <c r="AG377" s="130"/>
    </row>
    <row r="378" spans="1:33" x14ac:dyDescent="0.3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3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3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3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3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  <mergeCell ref="AB3:AC3"/>
    <mergeCell ref="S3:T3"/>
    <mergeCell ref="Y3:Z3"/>
    <mergeCell ref="C3:D3"/>
    <mergeCell ref="Q3:R3"/>
    <mergeCell ref="U3:V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1" workbookViewId="0">
      <selection activeCell="A82" sqref="A82:IV82"/>
    </sheetView>
  </sheetViews>
  <sheetFormatPr defaultRowHeight="15.6" x14ac:dyDescent="0.3"/>
  <cols>
    <col min="1" max="1" width="8.69921875" style="266" customWidth="1"/>
    <col min="2" max="2" width="11.09765625" style="130" bestFit="1" customWidth="1"/>
    <col min="3" max="3" width="11.19921875" bestFit="1" customWidth="1"/>
    <col min="4" max="4" width="11.09765625" style="130" bestFit="1" customWidth="1"/>
    <col min="5" max="5" width="11.69921875" bestFit="1" customWidth="1"/>
    <col min="6" max="6" width="12.19921875" style="130" bestFit="1" customWidth="1"/>
    <col min="7" max="7" width="13.19921875" bestFit="1" customWidth="1"/>
    <col min="8" max="8" width="11.19921875" style="130" bestFit="1" customWidth="1"/>
    <col min="9" max="9" width="12.19921875" bestFit="1" customWidth="1"/>
    <col min="10" max="10" width="11.19921875" style="133" bestFit="1" customWidth="1"/>
    <col min="11" max="11" width="12.19921875" bestFit="1" customWidth="1"/>
    <col min="12" max="12" width="12.19921875" style="130" bestFit="1" customWidth="1"/>
    <col min="13" max="13" width="11.19921875" bestFit="1" customWidth="1"/>
    <col min="14" max="14" width="11.19921875" style="130" bestFit="1" customWidth="1"/>
    <col min="15" max="15" width="11.19921875" bestFit="1" customWidth="1"/>
    <col min="16" max="16" width="9.69921875" style="130" bestFit="1" customWidth="1"/>
    <col min="17" max="17" width="12.19921875" style="130" bestFit="1" customWidth="1"/>
    <col min="18" max="18" width="11.19921875" style="130" bestFit="1" customWidth="1"/>
    <col min="19" max="19" width="11.19921875" bestFit="1" customWidth="1"/>
    <col min="20" max="20" width="12.19921875" style="131" bestFit="1" customWidth="1"/>
    <col min="21" max="21" width="11.19921875" bestFit="1" customWidth="1"/>
    <col min="22" max="22" width="11.69921875" style="130" bestFit="1" customWidth="1"/>
    <col min="23" max="23" width="11.19921875" bestFit="1" customWidth="1"/>
    <col min="24" max="24" width="11.19921875" style="130" bestFit="1" customWidth="1"/>
    <col min="25" max="25" width="11.19921875" bestFit="1" customWidth="1"/>
    <col min="26" max="26" width="11.19921875" style="130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63" t="s">
        <v>162</v>
      </c>
      <c r="B1" s="126"/>
      <c r="C1" s="2"/>
      <c r="D1" s="129"/>
    </row>
    <row r="2" spans="1:35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3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3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3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3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3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3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3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3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3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3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3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3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3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3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3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3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3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3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3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3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3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3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3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3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3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3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3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3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3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3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3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3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257" ht="14.25" customHeight="1" x14ac:dyDescent="0.3"/>
    <row r="374" spans="1:34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3">
      <c r="A376" s="266">
        <f>+'MRP Raptor'!$U$3</f>
        <v>36850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23507915.000000112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8723586.9066635054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1" workbookViewId="0">
      <selection activeCell="A82" sqref="A82"/>
    </sheetView>
  </sheetViews>
  <sheetFormatPr defaultRowHeight="15.6" x14ac:dyDescent="0.3"/>
  <cols>
    <col min="1" max="1" width="8.69921875" style="266" customWidth="1"/>
    <col min="2" max="2" width="11.09765625" style="130" customWidth="1"/>
    <col min="3" max="3" width="12" customWidth="1"/>
    <col min="4" max="4" width="11.09765625" style="130" customWidth="1"/>
    <col min="5" max="5" width="11.09765625" customWidth="1"/>
    <col min="6" max="6" width="12.09765625" style="130" customWidth="1"/>
    <col min="7" max="7" width="14.5" customWidth="1"/>
    <col min="8" max="8" width="11.09765625" style="130" customWidth="1"/>
    <col min="9" max="9" width="12.09765625" customWidth="1"/>
    <col min="10" max="10" width="11.09765625" style="133" customWidth="1"/>
    <col min="11" max="11" width="12.09765625" customWidth="1"/>
    <col min="12" max="12" width="12.09765625" style="130" customWidth="1"/>
    <col min="13" max="13" width="11.09765625" customWidth="1"/>
    <col min="14" max="14" width="11.09765625" style="130" customWidth="1"/>
    <col min="15" max="15" width="11.09765625" customWidth="1"/>
    <col min="16" max="16" width="9.59765625" style="130" customWidth="1"/>
    <col min="17" max="17" width="12.09765625" style="130" customWidth="1"/>
    <col min="18" max="18" width="11.09765625" style="130" customWidth="1"/>
    <col min="19" max="19" width="11.09765625" customWidth="1"/>
    <col min="20" max="20" width="12.09765625" style="131" customWidth="1"/>
    <col min="21" max="21" width="11.09765625" customWidth="1"/>
    <col min="22" max="22" width="11.09765625" style="130" customWidth="1"/>
    <col min="23" max="23" width="11.09765625" customWidth="1"/>
    <col min="24" max="24" width="11.09765625" style="130" customWidth="1"/>
    <col min="25" max="25" width="11.09765625" customWidth="1"/>
    <col min="26" max="26" width="11.09765625" style="130" customWidth="1"/>
    <col min="27" max="28" width="11.09765625" customWidth="1"/>
    <col min="29" max="29" width="12.0976562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63" t="s">
        <v>162</v>
      </c>
      <c r="B1" s="126"/>
      <c r="C1" s="2"/>
      <c r="D1" s="129"/>
    </row>
    <row r="2" spans="1:34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3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3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3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3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3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3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3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3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3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3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3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3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3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3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3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3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257" ht="14.25" customHeight="1" x14ac:dyDescent="0.3"/>
    <row r="374" spans="1:33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3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-187220.63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-1.1548399925231934E-7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-120125.11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450942.51</v>
      </c>
      <c r="AB375" s="5">
        <f t="shared" si="0"/>
        <v>-450943</v>
      </c>
      <c r="AC375" s="5">
        <f t="shared" si="0"/>
        <v>-3238856.2399999998</v>
      </c>
      <c r="AD375" s="5">
        <f t="shared" si="0"/>
        <v>-131253.51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6">
        <f>+A379</f>
        <v>36850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6" t="s">
        <v>553</v>
      </c>
      <c r="C378" s="277">
        <f>SUM(B377:AG377)</f>
        <v>-3.7252902984619141E-9</v>
      </c>
    </row>
    <row r="379" spans="1:33" x14ac:dyDescent="0.3">
      <c r="A379" s="266">
        <f>+'MRP Raptor'!$U$3</f>
        <v>36850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242754.37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5523881.8899999997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7934692.5099999998</v>
      </c>
      <c r="AB379" s="4">
        <f>INDEX([0]!MPRR, MATCH("Texland Exposure Raptor I",'MRP Raptor'!$E$3:$E$140,), MATCH("Per Share",'MRP Raptor'!$E$3:$CM$3,))</f>
        <v>1892807</v>
      </c>
      <c r="AC379" s="4">
        <f>INDEX([0]!MPRR, MATCH("Vastar Raptor I",'MRP Raptor'!$E$3:$E$140,), MATCH("Per Share",'MRP Raptor'!$E$3:$CM$3,))</f>
        <v>13077390.76</v>
      </c>
      <c r="AD379" s="4">
        <f>INDEX([0]!MPRR, MATCH("Vastar Exposure Raptor I",'MRP Raptor'!$E$3:$E$140,), MATCH("Per Share",'MRP Raptor'!$E$3:$CM$3,))</f>
        <v>918746.49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3">
      <c r="A380" s="266">
        <f>+A379-1</f>
        <v>36849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242754.37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5523881.8899999997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7934692.5099999998</v>
      </c>
      <c r="AB380" s="4">
        <f>INDEX([0]!MPRR, MATCH("Texland Exposure Raptor I",'MRP Raptor'!$E$3:$E$140,), MATCH("Value",'MRP Raptor'!$E$3:$CM$3,))</f>
        <v>1892807</v>
      </c>
      <c r="AC380" s="4">
        <f>INDEX([0]!MPRR, MATCH("Vastar Raptor I",'MRP Raptor'!$E$3:$E$140,), MATCH("Value",'MRP Raptor'!$E$3:$CM$3,))</f>
        <v>13077390.76</v>
      </c>
      <c r="AD380" s="4">
        <f>INDEX([0]!MPRR, MATCH("Vastar Exposure Raptor I",'MRP Raptor'!$E$3:$E$140,), MATCH("Value",'MRP Raptor'!$E$3:$CM$3,))</f>
        <v>918746.49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3">
      <c r="A381" s="266">
        <f>+A379</f>
        <v>36850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9" workbookViewId="0">
      <selection activeCell="A6" sqref="A6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294">
        <f>+Summary!C5</f>
        <v>36850</v>
      </c>
      <c r="I2" s="294"/>
      <c r="J2" s="97"/>
      <c r="L2" s="294">
        <f>H2</f>
        <v>36850</v>
      </c>
      <c r="M2" s="294"/>
      <c r="N2" s="294"/>
      <c r="O2" s="294"/>
      <c r="P2" s="294"/>
    </row>
    <row r="3" spans="1:18" ht="16.2" thickBot="1" x14ac:dyDescent="0.35">
      <c r="H3" s="295" t="s">
        <v>101</v>
      </c>
      <c r="I3" s="295"/>
      <c r="J3" s="98"/>
      <c r="L3" s="295" t="s">
        <v>101</v>
      </c>
      <c r="M3" s="295"/>
      <c r="N3" s="295"/>
      <c r="O3" s="295"/>
      <c r="P3" s="295"/>
    </row>
    <row r="4" spans="1:18" x14ac:dyDescent="0.3">
      <c r="A4" s="296" t="s">
        <v>32</v>
      </c>
      <c r="B4" s="296"/>
      <c r="C4" s="296"/>
      <c r="D4" s="296"/>
      <c r="E4" s="296"/>
      <c r="F4" s="296"/>
      <c r="H4" s="120" t="s">
        <v>102</v>
      </c>
      <c r="I4" s="121"/>
      <c r="J4" s="13"/>
    </row>
    <row r="5" spans="1:18" ht="16.2" thickBot="1" x14ac:dyDescent="0.35">
      <c r="A5" s="300" t="s">
        <v>33</v>
      </c>
      <c r="B5" s="300"/>
      <c r="D5" s="300" t="s">
        <v>34</v>
      </c>
      <c r="E5" s="300"/>
      <c r="H5" s="122" t="s">
        <v>103</v>
      </c>
      <c r="I5" s="137">
        <f>+VLOOKUP(+Summary!C5,ene,2)</f>
        <v>80.25</v>
      </c>
      <c r="J5" s="13"/>
      <c r="L5" s="296" t="s">
        <v>123</v>
      </c>
      <c r="M5" s="296"/>
      <c r="N5" s="296"/>
      <c r="O5" s="296"/>
      <c r="P5" s="296"/>
      <c r="Q5" s="98"/>
    </row>
    <row r="6" spans="1:18" x14ac:dyDescent="0.3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36850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7" t="s">
        <v>163</v>
      </c>
      <c r="I7" s="298"/>
      <c r="J7" s="13"/>
      <c r="L7" s="300" t="s">
        <v>33</v>
      </c>
      <c r="M7" s="300"/>
      <c r="O7" s="300" t="s">
        <v>34</v>
      </c>
      <c r="P7" s="300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40135947.816815376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3">
      <c r="D10" s="7" t="s">
        <v>4</v>
      </c>
      <c r="E10" s="7">
        <v>1000</v>
      </c>
      <c r="H10" s="293" t="s">
        <v>105</v>
      </c>
      <c r="I10" s="293"/>
      <c r="J10" s="13"/>
      <c r="L10" s="7" t="s">
        <v>41</v>
      </c>
      <c r="M10" s="7">
        <f>B8+I15</f>
        <v>386873468.49315071</v>
      </c>
      <c r="N10" s="18"/>
      <c r="O10" s="7" t="s">
        <v>121</v>
      </c>
      <c r="P10" s="7">
        <f>IF(I19&gt;0,0,-I19)</f>
        <v>193330437.50353804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36850</v>
      </c>
      <c r="J11" s="13"/>
      <c r="L11" s="7" t="s">
        <v>45</v>
      </c>
      <c r="M11" s="7">
        <f>+Amort!B28</f>
        <v>486111.11111111112</v>
      </c>
      <c r="O11" s="7" t="s">
        <v>39</v>
      </c>
      <c r="P11" s="7">
        <f>E7-I16+'Cash-Int-Trans'!B9+'Cash-Int-Trans'!B12</f>
        <v>384141130.89197677</v>
      </c>
      <c r="R11" s="3"/>
    </row>
    <row r="12" spans="1:18" ht="16.2" thickTop="1" x14ac:dyDescent="0.3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2521058.9279264817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-136042354.97443765</v>
      </c>
    </row>
    <row r="14" spans="1:18" ht="16.2" thickBot="1" x14ac:dyDescent="0.35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2100000</v>
      </c>
      <c r="J14" s="13"/>
      <c r="L14" s="92" t="s">
        <v>7</v>
      </c>
      <c r="M14" s="12">
        <f>SUM(M8:M13)</f>
        <v>477495527.42107719</v>
      </c>
      <c r="N14" s="20"/>
      <c r="O14" s="92" t="s">
        <v>7</v>
      </c>
      <c r="P14" s="12">
        <f>SUM(P8:P13)</f>
        <v>477495527.42107719</v>
      </c>
      <c r="Q14" s="109" t="s">
        <v>156</v>
      </c>
    </row>
    <row r="15" spans="1:18" ht="16.2" thickTop="1" x14ac:dyDescent="0.3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36873468.493150681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-16241592.891976776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3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62287082.529100388</v>
      </c>
      <c r="L17" s="241" t="s">
        <v>52</v>
      </c>
      <c r="M17" s="241"/>
      <c r="P17" s="7">
        <f>M14</f>
        <v>477495527.42107719</v>
      </c>
      <c r="Q17" s="109" t="s">
        <v>156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2" thickTop="1" x14ac:dyDescent="0.3">
      <c r="H19" s="7" t="s">
        <v>119</v>
      </c>
      <c r="I19" s="7">
        <f>+'Daily Position'!L59</f>
        <v>-193330437.50353804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-193330437.50353804</v>
      </c>
      <c r="P19" s="27">
        <f>+M19+O19</f>
        <v>434104701.56646204</v>
      </c>
      <c r="T19" s="242"/>
    </row>
    <row r="20" spans="1:20" ht="16.2" thickBot="1" x14ac:dyDescent="0.35">
      <c r="A20" s="301" t="s">
        <v>62</v>
      </c>
      <c r="B20" s="301"/>
      <c r="C20" s="301"/>
      <c r="D20" s="301"/>
      <c r="E20" s="301"/>
      <c r="H20" s="7" t="s">
        <v>120</v>
      </c>
      <c r="I20" s="27">
        <f>+'Daily Position'!M59</f>
        <v>0</v>
      </c>
      <c r="L20" s="7" t="s">
        <v>154</v>
      </c>
      <c r="P20" s="7">
        <f>+P17+P18+P19</f>
        <v>969280504.98753929</v>
      </c>
    </row>
    <row r="21" spans="1:20" x14ac:dyDescent="0.3">
      <c r="A21" s="299" t="s">
        <v>52</v>
      </c>
      <c r="B21" s="299"/>
      <c r="E21" s="7">
        <f>B11</f>
        <v>471001000</v>
      </c>
      <c r="F21" s="34" t="s">
        <v>46</v>
      </c>
      <c r="H21"/>
      <c r="I21" s="36">
        <f>SUM(I19:I20)</f>
        <v>-193330437.50353804</v>
      </c>
      <c r="J21" s="13"/>
      <c r="K21" s="7"/>
      <c r="L21" s="7" t="s">
        <v>54</v>
      </c>
      <c r="P21" s="30">
        <f>E27</f>
        <v>3.0200000000000001E-2</v>
      </c>
    </row>
    <row r="22" spans="1:20" x14ac:dyDescent="0.3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29272271.250623688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-131043354.97443765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3" t="s">
        <v>106</v>
      </c>
      <c r="I25" s="293"/>
      <c r="J25" s="13"/>
      <c r="L25" s="13" t="s">
        <v>63</v>
      </c>
      <c r="M25" s="13"/>
      <c r="N25" s="13"/>
      <c r="O25" s="13"/>
      <c r="P25" s="13">
        <f>P23-P22</f>
        <v>-29272271.250623688</v>
      </c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3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3">
      <c r="H31" s="13" t="s">
        <v>150</v>
      </c>
      <c r="I31" s="16">
        <f>I23</f>
        <v>-131043354.97443765</v>
      </c>
      <c r="J31" s="39" t="s">
        <v>66</v>
      </c>
      <c r="L31" s="7" t="s">
        <v>75</v>
      </c>
      <c r="M31" s="27">
        <f>E10</f>
        <v>1000</v>
      </c>
    </row>
    <row r="32" spans="1:20" x14ac:dyDescent="0.3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3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-131043354.97443765</v>
      </c>
    </row>
    <row r="34" spans="1:14" x14ac:dyDescent="0.3">
      <c r="A34"/>
      <c r="B34"/>
      <c r="C34"/>
      <c r="D34"/>
      <c r="E34"/>
      <c r="H34" s="13" t="s">
        <v>151</v>
      </c>
      <c r="I34" s="16">
        <f>-I15</f>
        <v>-36873468.493150681</v>
      </c>
      <c r="J34" s="33" t="s">
        <v>59</v>
      </c>
      <c r="L34" s="7" t="s">
        <v>79</v>
      </c>
      <c r="M34" s="27">
        <f>I35</f>
        <v>-41000000</v>
      </c>
    </row>
    <row r="35" spans="1:14" x14ac:dyDescent="0.3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-136042354.97443765</v>
      </c>
    </row>
    <row r="36" spans="1:14" ht="16.2" thickBot="1" x14ac:dyDescent="0.35">
      <c r="A36"/>
      <c r="B36"/>
      <c r="C36"/>
      <c r="D36"/>
      <c r="E36"/>
      <c r="H36" s="37" t="s">
        <v>107</v>
      </c>
      <c r="I36" s="38">
        <f>SUM(I29:I35)</f>
        <v>93979176.532411635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5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-136042354.97443765</v>
      </c>
    </row>
    <row r="38" spans="1:14" ht="15.75" hidden="1" customHeight="1" x14ac:dyDescent="0.3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3">
      <c r="A39"/>
      <c r="B39"/>
      <c r="C39"/>
      <c r="D39"/>
      <c r="E39"/>
      <c r="H39" s="49">
        <f>+Summary!C5</f>
        <v>36850</v>
      </c>
      <c r="I39" s="13" t="s">
        <v>84</v>
      </c>
      <c r="K39" s="7"/>
    </row>
    <row r="40" spans="1:14" ht="16.5" hidden="1" customHeight="1" thickBot="1" x14ac:dyDescent="0.35">
      <c r="A40"/>
      <c r="B40"/>
      <c r="C40"/>
      <c r="D40"/>
      <c r="E40"/>
      <c r="H40" s="50">
        <f>H39-H38</f>
        <v>216</v>
      </c>
      <c r="I40" s="13" t="s">
        <v>85</v>
      </c>
    </row>
    <row r="41" spans="1:14" ht="16.2" thickTop="1" x14ac:dyDescent="0.3">
      <c r="A41"/>
      <c r="B41"/>
      <c r="C41"/>
      <c r="D41"/>
      <c r="E41"/>
      <c r="H41" s="7" t="s">
        <v>565</v>
      </c>
      <c r="I41" s="7"/>
    </row>
    <row r="42" spans="1:14" x14ac:dyDescent="0.3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4" ht="16.2" thickBot="1" x14ac:dyDescent="0.35">
      <c r="A1" s="302" t="s">
        <v>113</v>
      </c>
      <c r="B1" s="302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7"/>
      <c r="B5" s="14"/>
      <c r="C5" s="7"/>
    </row>
    <row r="6" spans="1:4" ht="16.2" thickBot="1" x14ac:dyDescent="0.35">
      <c r="A6" s="7" t="s">
        <v>90</v>
      </c>
      <c r="B6" s="276">
        <f>SUM(B3:B5)</f>
        <v>37034148</v>
      </c>
      <c r="C6" s="29" t="s">
        <v>91</v>
      </c>
    </row>
    <row r="7" spans="1:4" ht="16.2" thickTop="1" x14ac:dyDescent="0.3">
      <c r="A7" s="7"/>
      <c r="B7" s="14"/>
      <c r="C7" s="7"/>
    </row>
    <row r="8" spans="1:4" x14ac:dyDescent="0.3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3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3">
      <c r="A10" s="7"/>
      <c r="B10" s="7"/>
      <c r="C10" s="7"/>
    </row>
    <row r="11" spans="1:4" x14ac:dyDescent="0.3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3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3">
      <c r="A13" s="7"/>
      <c r="B13" s="7"/>
      <c r="C13" s="7"/>
    </row>
    <row r="14" spans="1:4" x14ac:dyDescent="0.3">
      <c r="A14" s="7" t="s">
        <v>100</v>
      </c>
      <c r="B14" s="14"/>
      <c r="C14" s="7"/>
    </row>
    <row r="15" spans="1:4" x14ac:dyDescent="0.3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3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3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3">
      <c r="A20" s="7"/>
      <c r="B20" s="14"/>
      <c r="C20" s="7"/>
    </row>
    <row r="21" spans="1:4" ht="16.2" thickBot="1" x14ac:dyDescent="0.35">
      <c r="A21" s="302" t="s">
        <v>108</v>
      </c>
      <c r="B21" s="302"/>
    </row>
    <row r="23" spans="1:4" x14ac:dyDescent="0.3">
      <c r="A23" t="s">
        <v>27</v>
      </c>
      <c r="B23" s="7">
        <f>+Financials!B6</f>
        <v>71001000</v>
      </c>
      <c r="D23" s="1">
        <v>36634</v>
      </c>
    </row>
    <row r="25" spans="1:4" x14ac:dyDescent="0.3">
      <c r="A25" t="s">
        <v>109</v>
      </c>
      <c r="B25" s="7">
        <f>+Financials!I23</f>
        <v>-131043354.97443765</v>
      </c>
    </row>
    <row r="26" spans="1:4" x14ac:dyDescent="0.3">
      <c r="A26" t="s">
        <v>110</v>
      </c>
      <c r="B26" s="7">
        <f>-Financials!I15</f>
        <v>-36873468.493150681</v>
      </c>
    </row>
    <row r="27" spans="1:4" x14ac:dyDescent="0.3">
      <c r="A27" s="7" t="str">
        <f>+Financials!H19</f>
        <v>Unrealized Gains / (Losses)</v>
      </c>
      <c r="B27" s="7">
        <f>-Financials!I19</f>
        <v>193330437.50353804</v>
      </c>
    </row>
    <row r="29" spans="1:4" x14ac:dyDescent="0.3">
      <c r="A29" t="s">
        <v>112</v>
      </c>
    </row>
    <row r="30" spans="1:4" x14ac:dyDescent="0.3">
      <c r="A30" t="s">
        <v>114</v>
      </c>
      <c r="B30" s="7">
        <f>+Financials!B7-Financials!M9</f>
        <v>0</v>
      </c>
    </row>
    <row r="31" spans="1:4" x14ac:dyDescent="0.3">
      <c r="A31" t="s">
        <v>45</v>
      </c>
      <c r="B31" s="7">
        <f>0-Financials!M11</f>
        <v>-486111.11111111112</v>
      </c>
    </row>
    <row r="32" spans="1:4" x14ac:dyDescent="0.3">
      <c r="A32" t="s">
        <v>115</v>
      </c>
      <c r="B32" s="7">
        <f>-Financials!E7+Financials!P11</f>
        <v>-15858869.108023226</v>
      </c>
    </row>
    <row r="33" spans="1:6" x14ac:dyDescent="0.3">
      <c r="A33" t="s">
        <v>554</v>
      </c>
      <c r="B33" s="7">
        <f>-Financials!E6+Financials!P8+Financials!P9</f>
        <v>-4933686</v>
      </c>
      <c r="E33" s="7"/>
    </row>
    <row r="35" spans="1:6" x14ac:dyDescent="0.3">
      <c r="A35" t="s">
        <v>100</v>
      </c>
      <c r="B35" s="7">
        <f>+B15</f>
        <v>-41000000</v>
      </c>
    </row>
    <row r="36" spans="1:6" x14ac:dyDescent="0.3">
      <c r="A36" t="s">
        <v>124</v>
      </c>
      <c r="B36" s="7">
        <f>+B16</f>
        <v>6000000</v>
      </c>
    </row>
    <row r="38" spans="1:6" ht="16.2" thickBot="1" x14ac:dyDescent="0.35">
      <c r="A38" t="s">
        <v>29</v>
      </c>
      <c r="B38" s="12">
        <f>SUM(B23:B37)</f>
        <v>40135947.816815376</v>
      </c>
      <c r="D38" s="7">
        <f>+B23+B15+B16+B41+B19</f>
        <v>40135947.816815369</v>
      </c>
    </row>
    <row r="39" spans="1:6" ht="16.2" thickTop="1" x14ac:dyDescent="0.3"/>
    <row r="40" spans="1:6" ht="16.2" thickBot="1" x14ac:dyDescent="0.35">
      <c r="A40" s="302" t="s">
        <v>160</v>
      </c>
      <c r="B40" s="302"/>
      <c r="C40" s="302"/>
      <c r="D40" s="302"/>
      <c r="E40" s="302"/>
      <c r="F40" s="302"/>
    </row>
    <row r="41" spans="1:6" x14ac:dyDescent="0.3">
      <c r="A41" s="112" t="s">
        <v>118</v>
      </c>
      <c r="B41" s="113">
        <f>+B47+B53+B59</f>
        <v>2521058.9279264817</v>
      </c>
    </row>
    <row r="42" spans="1:6" x14ac:dyDescent="0.3">
      <c r="A42" s="53"/>
      <c r="E42" s="222" t="s">
        <v>82</v>
      </c>
      <c r="F42" s="223"/>
    </row>
    <row r="43" spans="1:6" x14ac:dyDescent="0.3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3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3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3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3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3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3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3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3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3">
      <c r="A53" t="s">
        <v>28</v>
      </c>
      <c r="B53" s="54">
        <f>+B50*(F52+0.0045)/360*B52</f>
        <v>475216.1948014815</v>
      </c>
    </row>
    <row r="55" spans="1:6" x14ac:dyDescent="0.3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3">
      <c r="A56" t="s">
        <v>27</v>
      </c>
      <c r="B56" s="7">
        <v>39713987</v>
      </c>
      <c r="E56" s="1">
        <v>36814</v>
      </c>
      <c r="F56" s="48"/>
    </row>
    <row r="57" spans="1:6" x14ac:dyDescent="0.3">
      <c r="A57" t="s">
        <v>1</v>
      </c>
      <c r="B57" s="1">
        <f>IF(Summary!$C$5&lt;'Cash-Int-Trans'!B55,+'Cash-Int-Trans'!B55,Summary!$C$5)</f>
        <v>36850</v>
      </c>
      <c r="E57" s="1">
        <v>36845</v>
      </c>
      <c r="F57" s="48"/>
    </row>
    <row r="58" spans="1:6" x14ac:dyDescent="0.3">
      <c r="A58" t="s">
        <v>81</v>
      </c>
      <c r="B58" s="3">
        <f>+B57-B55</f>
        <v>50</v>
      </c>
      <c r="E58" s="51" t="s">
        <v>86</v>
      </c>
      <c r="F58" s="52">
        <f>AVERAGE(F55:F57)</f>
        <v>7.1999999999999995E-2</v>
      </c>
    </row>
    <row r="59" spans="1:6" x14ac:dyDescent="0.3">
      <c r="A59" t="s">
        <v>28</v>
      </c>
      <c r="B59" s="54">
        <f>+B56*(F58+0.0045)/360*B58</f>
        <v>421961.111875</v>
      </c>
    </row>
    <row r="61" spans="1:6" ht="16.2" thickBot="1" x14ac:dyDescent="0.35">
      <c r="A61" s="302" t="s">
        <v>198</v>
      </c>
      <c r="B61" s="302"/>
      <c r="C61" s="302"/>
      <c r="D61" s="302"/>
      <c r="E61" s="302"/>
      <c r="F61" s="302"/>
    </row>
    <row r="62" spans="1:6" x14ac:dyDescent="0.3">
      <c r="A62" s="112" t="s">
        <v>195</v>
      </c>
      <c r="B62" s="113">
        <f>+B64+B71+B77</f>
        <v>16241592.891976776</v>
      </c>
    </row>
    <row r="63" spans="1:6" x14ac:dyDescent="0.3">
      <c r="A63" s="53"/>
    </row>
    <row r="64" spans="1:6" x14ac:dyDescent="0.3">
      <c r="A64" t="s">
        <v>199</v>
      </c>
      <c r="B64" s="3">
        <f>+Amort!B61</f>
        <v>16609856.525476776</v>
      </c>
      <c r="E64" s="303"/>
      <c r="F64" s="304"/>
    </row>
    <row r="65" spans="1:6" x14ac:dyDescent="0.3">
      <c r="B65" s="3"/>
      <c r="E65" s="222"/>
      <c r="F65" s="223"/>
    </row>
    <row r="66" spans="1:6" x14ac:dyDescent="0.3">
      <c r="A66" t="s">
        <v>509</v>
      </c>
      <c r="B66" s="7"/>
      <c r="E66" s="47"/>
      <c r="F66" s="48"/>
    </row>
    <row r="67" spans="1:6" x14ac:dyDescent="0.3">
      <c r="A67" t="s">
        <v>200</v>
      </c>
      <c r="B67" s="1">
        <v>36741</v>
      </c>
      <c r="E67" s="47"/>
      <c r="F67" s="48"/>
    </row>
    <row r="68" spans="1:6" x14ac:dyDescent="0.3">
      <c r="A68" t="s">
        <v>201</v>
      </c>
      <c r="B68" s="3">
        <f>+B9</f>
        <v>3965852</v>
      </c>
      <c r="E68" s="47"/>
      <c r="F68" s="48"/>
    </row>
    <row r="69" spans="1:6" x14ac:dyDescent="0.3">
      <c r="A69" t="s">
        <v>1</v>
      </c>
      <c r="B69" s="1">
        <f>IF(Summary!C5&gt;Amort!A43,Amort!A43,Summary!C5)</f>
        <v>36800</v>
      </c>
    </row>
    <row r="70" spans="1:6" x14ac:dyDescent="0.3">
      <c r="A70" t="s">
        <v>81</v>
      </c>
      <c r="B70" s="3">
        <f>+B69-B67</f>
        <v>59</v>
      </c>
    </row>
    <row r="71" spans="1:6" x14ac:dyDescent="0.3">
      <c r="A71" t="s">
        <v>508</v>
      </c>
      <c r="B71" s="54">
        <f>+B68*0.07/360*B70</f>
        <v>45497.135444444444</v>
      </c>
    </row>
    <row r="73" spans="1:6" x14ac:dyDescent="0.3">
      <c r="A73" t="s">
        <v>200</v>
      </c>
      <c r="B73" s="1">
        <f>+D12</f>
        <v>36741</v>
      </c>
    </row>
    <row r="74" spans="1:6" x14ac:dyDescent="0.3">
      <c r="A74" t="s">
        <v>201</v>
      </c>
      <c r="B74" s="3">
        <f>+B12</f>
        <v>-36066314</v>
      </c>
    </row>
    <row r="75" spans="1:6" x14ac:dyDescent="0.3">
      <c r="A75" t="s">
        <v>1</v>
      </c>
      <c r="B75" s="1">
        <f>IF(Summary!C5&gt;Amort!A43,Amort!A43,Summary!C5)</f>
        <v>36800</v>
      </c>
    </row>
    <row r="76" spans="1:6" x14ac:dyDescent="0.3">
      <c r="A76" t="s">
        <v>81</v>
      </c>
      <c r="B76" s="3">
        <f>+B75-B73</f>
        <v>59</v>
      </c>
    </row>
    <row r="77" spans="1:6" x14ac:dyDescent="0.3">
      <c r="A77" t="s">
        <v>508</v>
      </c>
      <c r="B77" s="54">
        <f>+B74*0.07/360*B76</f>
        <v>-413760.76894444448</v>
      </c>
    </row>
    <row r="79" spans="1:6" ht="16.2" thickBot="1" x14ac:dyDescent="0.35">
      <c r="A79" s="302" t="s">
        <v>513</v>
      </c>
      <c r="B79" s="302"/>
      <c r="C79" s="302"/>
      <c r="D79" s="302"/>
      <c r="E79" s="302"/>
      <c r="F79" s="302"/>
    </row>
    <row r="81" spans="1:4" x14ac:dyDescent="0.3">
      <c r="A81" t="s">
        <v>129</v>
      </c>
      <c r="B81" s="1">
        <f>+Summary!C5</f>
        <v>36850</v>
      </c>
    </row>
    <row r="82" spans="1:4" x14ac:dyDescent="0.3">
      <c r="A82" t="s">
        <v>514</v>
      </c>
      <c r="B82" s="1">
        <v>36634</v>
      </c>
      <c r="D82" s="4">
        <f>IF(B81&gt;(B82-1),30000000,0)</f>
        <v>30000000</v>
      </c>
    </row>
    <row r="83" spans="1:4" x14ac:dyDescent="0.3">
      <c r="A83" t="s">
        <v>515</v>
      </c>
      <c r="B83" s="1">
        <v>36741</v>
      </c>
      <c r="D83" s="4">
        <f>IF(B81&gt;(B83-1),6000000,0)</f>
        <v>6000000</v>
      </c>
    </row>
    <row r="84" spans="1:4" ht="17.399999999999999" x14ac:dyDescent="0.45">
      <c r="A84" t="s">
        <v>516</v>
      </c>
      <c r="B84" s="1">
        <f>+Summary!C5</f>
        <v>36850</v>
      </c>
      <c r="D84" s="225">
        <f>IF(B84&gt;B83,+(+B84-B83)/365*0.12*D83,0)</f>
        <v>215013.69863013699</v>
      </c>
    </row>
    <row r="85" spans="1:4" x14ac:dyDescent="0.3">
      <c r="A85" t="s">
        <v>517</v>
      </c>
      <c r="D85" s="5">
        <f>SUM(D82:D84)</f>
        <v>36215013.698630139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192</v>
      </c>
      <c r="B1" s="6"/>
      <c r="G1" s="8"/>
      <c r="H1" s="8"/>
    </row>
    <row r="2" spans="1:9" x14ac:dyDescent="0.3">
      <c r="B2" s="114" t="s">
        <v>161</v>
      </c>
    </row>
    <row r="3" spans="1:9" x14ac:dyDescent="0.3">
      <c r="A3" s="7" t="s">
        <v>22</v>
      </c>
      <c r="B3" s="115">
        <v>50000000</v>
      </c>
    </row>
    <row r="4" spans="1:9" x14ac:dyDescent="0.3">
      <c r="A4" s="7" t="s">
        <v>23</v>
      </c>
      <c r="B4" s="116">
        <v>7.0000000000000007E-2</v>
      </c>
    </row>
    <row r="5" spans="1:9" x14ac:dyDescent="0.3">
      <c r="A5" s="7" t="s">
        <v>24</v>
      </c>
      <c r="B5" s="117">
        <f>5*12</f>
        <v>60</v>
      </c>
    </row>
    <row r="6" spans="1:9" x14ac:dyDescent="0.3">
      <c r="A6" s="7" t="s">
        <v>25</v>
      </c>
      <c r="B6" s="118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3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9"/>
      <c r="B22" s="119"/>
    </row>
    <row r="23" spans="1:9" s="104" customFormat="1" x14ac:dyDescent="0.3">
      <c r="A23" s="305">
        <f>+Summary!C5</f>
        <v>36850</v>
      </c>
      <c r="B23" s="305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3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3">
      <c r="A27" s="119" t="s">
        <v>98</v>
      </c>
      <c r="B27" s="104">
        <f>A23-F24</f>
        <v>50</v>
      </c>
      <c r="E27" s="119"/>
    </row>
    <row r="28" spans="1:9" s="104" customFormat="1" x14ac:dyDescent="0.3">
      <c r="A28" s="119" t="s">
        <v>30</v>
      </c>
      <c r="B28" s="104">
        <f>F25*B27/(F26-F24)</f>
        <v>486111.11111111112</v>
      </c>
    </row>
    <row r="29" spans="1:9" s="104" customFormat="1" x14ac:dyDescent="0.3">
      <c r="A29" s="119" t="s">
        <v>31</v>
      </c>
      <c r="B29" s="104">
        <f>+B25+B28</f>
        <v>2100000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3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3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3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3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3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3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3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3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2" thickTop="1" x14ac:dyDescent="0.3">
      <c r="A54" s="119"/>
      <c r="B54" s="119"/>
    </row>
    <row r="55" spans="1:9" s="104" customFormat="1" x14ac:dyDescent="0.3">
      <c r="A55" s="305">
        <f>+Summary!C5</f>
        <v>36850</v>
      </c>
      <c r="B55" s="305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3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3">
      <c r="A59" s="119" t="s">
        <v>98</v>
      </c>
      <c r="B59" s="104">
        <f>A55-F56</f>
        <v>50</v>
      </c>
      <c r="C59" s="104"/>
      <c r="D59" s="104"/>
      <c r="E59" s="119"/>
      <c r="F59" s="104"/>
      <c r="G59" s="104"/>
    </row>
    <row r="60" spans="1:9" x14ac:dyDescent="0.3">
      <c r="A60" s="119" t="s">
        <v>194</v>
      </c>
      <c r="B60" s="104">
        <f>F57*B59/(F58-F56)</f>
        <v>3698745.4143656641</v>
      </c>
      <c r="C60" s="104"/>
      <c r="D60" s="104"/>
      <c r="E60" s="104"/>
      <c r="F60" s="104"/>
      <c r="G60" s="104"/>
    </row>
    <row r="61" spans="1:9" x14ac:dyDescent="0.3">
      <c r="A61" s="119" t="s">
        <v>195</v>
      </c>
      <c r="B61" s="104">
        <f>+B57+B60</f>
        <v>16609856.525476776</v>
      </c>
      <c r="C61" s="104"/>
      <c r="D61" s="104"/>
      <c r="E61" s="104"/>
      <c r="F61" s="104"/>
      <c r="G61" s="104"/>
    </row>
    <row r="63" spans="1:9" x14ac:dyDescent="0.3">
      <c r="A63" s="7" t="s">
        <v>510</v>
      </c>
    </row>
    <row r="64" spans="1:9" x14ac:dyDescent="0.3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3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3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3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54" workbookViewId="0">
      <pane xSplit="5" topLeftCell="U1" activePane="topRight" state="frozen"/>
      <selection activeCell="E1" sqref="E1"/>
      <selection pane="topRight" activeCell="E63" sqref="E6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2.59765625" bestFit="1" customWidth="1"/>
    <col min="31" max="31" width="10.59765625" bestFit="1" customWidth="1"/>
    <col min="32" max="32" width="12.6992187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14.8984375" bestFit="1" customWidth="1"/>
    <col min="38" max="38" width="11.09765625" hidden="1" customWidth="1"/>
    <col min="39" max="39" width="14.3984375" bestFit="1" customWidth="1"/>
    <col min="40" max="40" width="4.59765625" customWidth="1"/>
    <col min="41" max="41" width="7.19921875" customWidth="1"/>
    <col min="42" max="42" width="14.3984375" customWidth="1"/>
    <col min="43" max="43" width="12.69921875" customWidth="1"/>
    <col min="44" max="44" width="13.8984375" customWidth="1"/>
    <col min="45" max="45" width="16.59765625" customWidth="1"/>
    <col min="46" max="46" width="14" customWidth="1"/>
    <col min="47" max="47" width="10.59765625" customWidth="1"/>
    <col min="48" max="48" width="14.3984375" bestFit="1" customWidth="1"/>
    <col min="49" max="49" width="14" customWidth="1"/>
    <col min="50" max="50" width="14.8984375" customWidth="1"/>
    <col min="51" max="51" width="10.59765625" customWidth="1"/>
    <col min="52" max="52" width="14.3984375" bestFit="1" customWidth="1"/>
    <col min="53" max="53" width="14.8984375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59" width="13.5" hidden="1" customWidth="1"/>
    <col min="60" max="60" width="14.3984375" hidden="1" customWidth="1"/>
    <col min="61" max="61" width="10.59765625" hidden="1" customWidth="1"/>
    <col min="62" max="62" width="12.69921875" hidden="1" customWidth="1"/>
    <col min="63" max="63" width="14.398437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3.5" hidden="1" customWidth="1"/>
    <col min="79" max="79" width="14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07" t="s">
        <v>267</v>
      </c>
      <c r="S1" s="307"/>
      <c r="T1" s="307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06" t="s">
        <v>269</v>
      </c>
      <c r="AE1" s="306"/>
      <c r="AF1" s="306"/>
      <c r="AG1" s="306"/>
      <c r="AH1" s="306"/>
      <c r="AI1" s="306"/>
      <c r="AJ1" s="306"/>
      <c r="AK1" s="306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6" t="s">
        <v>271</v>
      </c>
      <c r="AU1" s="306"/>
      <c r="AV1" s="306"/>
      <c r="AW1" s="306"/>
      <c r="AX1" s="306"/>
      <c r="AY1" s="306"/>
      <c r="AZ1" s="306"/>
      <c r="BA1" s="306"/>
      <c r="BB1" s="153" t="s">
        <v>262</v>
      </c>
      <c r="BC1" s="153" t="s">
        <v>263</v>
      </c>
      <c r="BD1" s="306" t="s">
        <v>272</v>
      </c>
      <c r="BE1" s="306"/>
      <c r="BF1" s="306"/>
      <c r="BG1" s="306"/>
      <c r="BH1" s="306"/>
      <c r="BI1" s="306"/>
      <c r="BJ1" s="306"/>
      <c r="BK1" s="306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8" t="s">
        <v>279</v>
      </c>
      <c r="CH1" s="308"/>
      <c r="CI1" s="308"/>
      <c r="CJ1" s="308"/>
      <c r="CK1" s="150" t="s">
        <v>280</v>
      </c>
      <c r="CL1" s="150" t="s">
        <v>281</v>
      </c>
    </row>
    <row r="2" spans="1:90" x14ac:dyDescent="0.3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09" t="s">
        <v>290</v>
      </c>
      <c r="AE2" s="309"/>
      <c r="AF2" s="309"/>
      <c r="AG2" s="309"/>
      <c r="AH2" s="310" t="s">
        <v>291</v>
      </c>
      <c r="AI2" s="306"/>
      <c r="AJ2" s="306"/>
      <c r="AK2" s="311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09" t="s">
        <v>297</v>
      </c>
      <c r="AU2" s="309"/>
      <c r="AV2" s="309"/>
      <c r="AW2" s="309"/>
      <c r="AX2" s="309" t="s">
        <v>292</v>
      </c>
      <c r="AY2" s="309"/>
      <c r="AZ2" s="309"/>
      <c r="BA2" s="309"/>
      <c r="BB2" s="158" t="s">
        <v>295</v>
      </c>
      <c r="BC2" s="158" t="s">
        <v>295</v>
      </c>
      <c r="BD2" s="309" t="s">
        <v>297</v>
      </c>
      <c r="BE2" s="309"/>
      <c r="BF2" s="309"/>
      <c r="BG2" s="309"/>
      <c r="BH2" s="309" t="s">
        <v>292</v>
      </c>
      <c r="BI2" s="309"/>
      <c r="BJ2" s="309"/>
      <c r="BK2" s="309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09" t="s">
        <v>305</v>
      </c>
      <c r="CH2" s="309"/>
      <c r="CI2" s="309"/>
      <c r="CJ2" s="309"/>
      <c r="CK2" s="157" t="s">
        <v>306</v>
      </c>
      <c r="CL2" s="157" t="s">
        <v>280</v>
      </c>
    </row>
    <row r="3" spans="1:90" x14ac:dyDescent="0.3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36850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3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5523881.8899999997</v>
      </c>
      <c r="P4" s="174">
        <v>5523881.8899999997</v>
      </c>
      <c r="Q4" s="175">
        <v>0</v>
      </c>
      <c r="R4" s="175" t="s">
        <v>344</v>
      </c>
      <c r="S4" s="175">
        <v>0</v>
      </c>
      <c r="T4" s="175">
        <v>0</v>
      </c>
      <c r="U4" s="251">
        <v>5523881.8899999997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5523881.8899999997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5523881.8899999997</v>
      </c>
      <c r="AS4" s="172">
        <v>5523881.8899999997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69</v>
      </c>
      <c r="BT4" s="173">
        <v>0</v>
      </c>
      <c r="BU4" s="237">
        <v>0</v>
      </c>
      <c r="BV4" s="173">
        <v>156</v>
      </c>
      <c r="BW4" s="180">
        <v>0</v>
      </c>
      <c r="BX4" s="180">
        <v>0</v>
      </c>
      <c r="BY4" s="172">
        <v>0</v>
      </c>
      <c r="BZ4" s="172">
        <v>0</v>
      </c>
      <c r="CA4" s="172">
        <v>-120125.11</v>
      </c>
      <c r="CB4" s="172">
        <v>5523881.8899999997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3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5523881.8899999997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5523881.8899999997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-120125.11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3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1.3739967897271268</v>
      </c>
      <c r="P6" s="174">
        <v>1.37311517484761</v>
      </c>
      <c r="Q6" s="174">
        <v>8.8161487951676776E-4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1.3739967897271268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1.3739967897271268</v>
      </c>
      <c r="BC6" s="172">
        <v>1.37311517484761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70</v>
      </c>
      <c r="BT6" s="173">
        <v>0</v>
      </c>
      <c r="BU6" s="237">
        <v>0</v>
      </c>
      <c r="BV6" s="173">
        <v>146</v>
      </c>
      <c r="BW6" s="180">
        <v>1.3739967897271268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3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1.9069020866773676</v>
      </c>
      <c r="P7" s="174">
        <v>1.9056785370548606</v>
      </c>
      <c r="Q7" s="174">
        <v>1.2235496225070364E-3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1.9069020866773676</v>
      </c>
      <c r="AT7" s="172">
        <v>-33630.025308973389</v>
      </c>
      <c r="AU7" s="172">
        <v>0</v>
      </c>
      <c r="AV7" s="172">
        <v>-185338.80739603125</v>
      </c>
      <c r="AW7" s="172">
        <v>-218968.83270500464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1.9069020866773676</v>
      </c>
      <c r="BC7" s="172">
        <v>1.9056785370548606</v>
      </c>
      <c r="BD7" s="172">
        <v>-33630.025308973389</v>
      </c>
      <c r="BE7" s="172">
        <v>0</v>
      </c>
      <c r="BF7" s="172">
        <v>-185338.80739603125</v>
      </c>
      <c r="BG7" s="172">
        <v>-218968.83270500464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70</v>
      </c>
      <c r="BT7" s="173">
        <v>0</v>
      </c>
      <c r="BU7" s="237">
        <v>0</v>
      </c>
      <c r="BV7" s="173">
        <v>148</v>
      </c>
      <c r="BW7" s="180">
        <v>1.9069020866773676</v>
      </c>
      <c r="BX7" s="180">
        <v>0</v>
      </c>
      <c r="BY7" s="172">
        <v>0</v>
      </c>
      <c r="BZ7" s="172">
        <v>-1424418.6046511629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3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-33630.025308973389</v>
      </c>
      <c r="AU8" s="186">
        <v>0</v>
      </c>
      <c r="AV8" s="186">
        <v>-185338.80739603125</v>
      </c>
      <c r="AW8" s="186">
        <v>-218968.83270500464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3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5523881.8899999997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5523881.8899999997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-33630.025308973389</v>
      </c>
      <c r="AU9" s="197">
        <v>0</v>
      </c>
      <c r="AV9" s="197">
        <v>-185338.80739603125</v>
      </c>
      <c r="AW9" s="197">
        <v>-218968.83270500464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-1544543.714651163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3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24.25</v>
      </c>
      <c r="P10" s="174">
        <v>28.875</v>
      </c>
      <c r="Q10" s="174">
        <v>-4.625</v>
      </c>
      <c r="R10" s="175">
        <v>0</v>
      </c>
      <c r="S10" s="175">
        <v>0</v>
      </c>
      <c r="T10" s="175">
        <v>0</v>
      </c>
      <c r="U10" s="251">
        <v>26515580.5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31572675.75</v>
      </c>
      <c r="AD10" s="172">
        <v>-5057095.25</v>
      </c>
      <c r="AE10" s="172">
        <v>0</v>
      </c>
      <c r="AF10" s="172">
        <v>5057095.25</v>
      </c>
      <c r="AG10" s="172">
        <v>0</v>
      </c>
      <c r="AH10" s="252">
        <v>-77496567.75</v>
      </c>
      <c r="AI10" s="172">
        <v>0</v>
      </c>
      <c r="AJ10" s="172">
        <v>151166144.5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26515580.5</v>
      </c>
      <c r="AS10" s="172">
        <v>24.25</v>
      </c>
      <c r="AT10" s="172">
        <v>-20911772.25</v>
      </c>
      <c r="AU10" s="172">
        <v>0</v>
      </c>
      <c r="AV10" s="172">
        <v>151166144.5</v>
      </c>
      <c r="AW10" s="172">
        <v>130254372.25</v>
      </c>
      <c r="AX10" s="172">
        <v>-151166144.5</v>
      </c>
      <c r="AY10" s="172">
        <v>0</v>
      </c>
      <c r="AZ10" s="172">
        <v>151166144.5</v>
      </c>
      <c r="BA10" s="172">
        <v>0</v>
      </c>
      <c r="BB10" s="172">
        <v>24.25</v>
      </c>
      <c r="BC10" s="172">
        <v>28.875</v>
      </c>
      <c r="BD10" s="172">
        <v>-15854677</v>
      </c>
      <c r="BE10" s="172">
        <v>0</v>
      </c>
      <c r="BF10" s="172">
        <v>146109049.25</v>
      </c>
      <c r="BG10" s="172">
        <v>130254372.25</v>
      </c>
      <c r="BH10" s="172">
        <v>-146109049.25</v>
      </c>
      <c r="BI10" s="172">
        <v>0</v>
      </c>
      <c r="BJ10" s="172">
        <v>146109049.25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146109049.25</v>
      </c>
      <c r="BQ10" s="174">
        <v>3</v>
      </c>
      <c r="BR10" s="173">
        <v>3280278</v>
      </c>
      <c r="BS10" s="179">
        <v>57</v>
      </c>
      <c r="BT10" s="173">
        <v>-5057095.25</v>
      </c>
      <c r="BU10" s="237">
        <v>0</v>
      </c>
      <c r="BV10" s="173">
        <v>71</v>
      </c>
      <c r="BW10" s="180">
        <v>24.25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-72439472.5</v>
      </c>
      <c r="CH10" s="172">
        <v>0</v>
      </c>
      <c r="CI10" s="172">
        <v>146109049.25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3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26515580.5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31572675.75</v>
      </c>
      <c r="AD11" s="186">
        <v>-5057095.25</v>
      </c>
      <c r="AE11" s="186">
        <v>0</v>
      </c>
      <c r="AF11" s="186">
        <v>5057095.25</v>
      </c>
      <c r="AG11" s="186">
        <v>0</v>
      </c>
      <c r="AH11" s="255">
        <v>-77496567.75</v>
      </c>
      <c r="AI11" s="186">
        <v>0</v>
      </c>
      <c r="AJ11" s="186">
        <v>151166144.5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-20911772.25</v>
      </c>
      <c r="AU11" s="186">
        <v>0</v>
      </c>
      <c r="AV11" s="186">
        <v>151166144.5</v>
      </c>
      <c r="AW11" s="186">
        <v>130254372.25</v>
      </c>
      <c r="AX11" s="186">
        <v>-151166144.5</v>
      </c>
      <c r="AY11" s="186">
        <v>0</v>
      </c>
      <c r="AZ11" s="186">
        <v>151166144.5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3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26515580.5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31572675.75</v>
      </c>
      <c r="AD12" s="197">
        <v>-5057095.25</v>
      </c>
      <c r="AE12" s="197">
        <v>0</v>
      </c>
      <c r="AF12" s="197">
        <v>5057095.25</v>
      </c>
      <c r="AG12" s="197">
        <v>0</v>
      </c>
      <c r="AH12" s="258">
        <v>-77496567.75</v>
      </c>
      <c r="AI12" s="197">
        <v>0</v>
      </c>
      <c r="AJ12" s="197">
        <v>151166144.5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-20911772.25</v>
      </c>
      <c r="AU12" s="197">
        <v>0</v>
      </c>
      <c r="AV12" s="197">
        <v>151166144.5</v>
      </c>
      <c r="AW12" s="197">
        <v>130254372.25</v>
      </c>
      <c r="AX12" s="197">
        <v>-151166144.5</v>
      </c>
      <c r="AY12" s="197">
        <v>0</v>
      </c>
      <c r="AZ12" s="197">
        <v>151166144.5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3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71</v>
      </c>
      <c r="BT13" s="173">
        <v>0</v>
      </c>
      <c r="BU13" s="237">
        <v>0</v>
      </c>
      <c r="BV13" s="173">
        <v>189</v>
      </c>
      <c r="BW13" s="180">
        <v>0</v>
      </c>
      <c r="BX13" s="180">
        <v>0</v>
      </c>
      <c r="BY13" s="172">
        <v>0</v>
      </c>
      <c r="BZ13" s="172">
        <v>61189.74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3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71</v>
      </c>
      <c r="BT14" s="173">
        <v>0</v>
      </c>
      <c r="BU14" s="237">
        <v>0</v>
      </c>
      <c r="BV14" s="173">
        <v>222</v>
      </c>
      <c r="BW14" s="180">
        <v>0</v>
      </c>
      <c r="BX14" s="180">
        <v>0</v>
      </c>
      <c r="BY14" s="172">
        <v>0</v>
      </c>
      <c r="BZ14" s="172">
        <v>219340.73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3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71</v>
      </c>
      <c r="BT15" s="173">
        <v>0</v>
      </c>
      <c r="BU15" s="237">
        <v>0</v>
      </c>
      <c r="BV15" s="173">
        <v>223</v>
      </c>
      <c r="BW15" s="180">
        <v>0</v>
      </c>
      <c r="BX15" s="180">
        <v>0</v>
      </c>
      <c r="BY15" s="172">
        <v>0</v>
      </c>
      <c r="BZ15" s="172">
        <v>-219340.73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3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7934692.5099999998</v>
      </c>
      <c r="P16" s="173">
        <v>7934692.5099999998</v>
      </c>
      <c r="Q16" s="173">
        <v>0</v>
      </c>
      <c r="R16" s="175" t="s">
        <v>367</v>
      </c>
      <c r="S16" s="175">
        <v>0</v>
      </c>
      <c r="T16" s="175">
        <v>0</v>
      </c>
      <c r="U16" s="251">
        <v>7934692.5099999998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7934692.5099999998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7934692.5099999998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71</v>
      </c>
      <c r="BT16" s="173">
        <v>0</v>
      </c>
      <c r="BU16" s="237">
        <v>0</v>
      </c>
      <c r="BV16" s="173">
        <v>244</v>
      </c>
      <c r="BW16" s="180">
        <v>0</v>
      </c>
      <c r="BX16" s="180">
        <v>0</v>
      </c>
      <c r="BY16" s="172">
        <v>0</v>
      </c>
      <c r="BZ16" s="172">
        <v>0</v>
      </c>
      <c r="CA16" s="172">
        <v>450942.51</v>
      </c>
      <c r="CB16" s="172">
        <v>7934692.5099999998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3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1892807</v>
      </c>
      <c r="P17" s="173">
        <v>1892807</v>
      </c>
      <c r="Q17" s="173">
        <v>0</v>
      </c>
      <c r="R17" s="175" t="s">
        <v>367</v>
      </c>
      <c r="S17" s="175">
        <v>0</v>
      </c>
      <c r="T17" s="175">
        <v>0</v>
      </c>
      <c r="U17" s="251">
        <v>1892807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1892807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1892807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71</v>
      </c>
      <c r="BT17" s="173">
        <v>0</v>
      </c>
      <c r="BU17" s="237">
        <v>0</v>
      </c>
      <c r="BV17" s="173">
        <v>245</v>
      </c>
      <c r="BW17" s="180">
        <v>0</v>
      </c>
      <c r="BX17" s="180">
        <v>0</v>
      </c>
      <c r="BY17" s="172">
        <v>0</v>
      </c>
      <c r="BZ17" s="172">
        <v>0</v>
      </c>
      <c r="CA17" s="172">
        <v>-450943</v>
      </c>
      <c r="CB17" s="172">
        <v>1892807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3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13077390.76</v>
      </c>
      <c r="P18" s="173">
        <v>13077390.76</v>
      </c>
      <c r="Q18" s="173">
        <v>0</v>
      </c>
      <c r="R18" s="175" t="s">
        <v>368</v>
      </c>
      <c r="S18" s="175">
        <v>0</v>
      </c>
      <c r="T18" s="175">
        <v>0</v>
      </c>
      <c r="U18" s="251">
        <v>13077390.76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13077390.76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13077390.76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71</v>
      </c>
      <c r="BT18" s="173">
        <v>0</v>
      </c>
      <c r="BU18" s="237">
        <v>0</v>
      </c>
      <c r="BV18" s="173">
        <v>248</v>
      </c>
      <c r="BW18" s="180">
        <v>0</v>
      </c>
      <c r="BX18" s="180">
        <v>0</v>
      </c>
      <c r="BY18" s="172">
        <v>0</v>
      </c>
      <c r="BZ18" s="172">
        <v>-237846.42</v>
      </c>
      <c r="CA18" s="172">
        <v>-1334365</v>
      </c>
      <c r="CB18" s="172">
        <v>13077390.76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3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918746.49</v>
      </c>
      <c r="P19" s="173">
        <v>918746.49</v>
      </c>
      <c r="Q19" s="173">
        <v>0</v>
      </c>
      <c r="R19" s="175" t="s">
        <v>368</v>
      </c>
      <c r="S19" s="175">
        <v>0</v>
      </c>
      <c r="T19" s="175">
        <v>0</v>
      </c>
      <c r="U19" s="251">
        <v>918746.49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918746.49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918746.49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71</v>
      </c>
      <c r="BT19" s="173">
        <v>0</v>
      </c>
      <c r="BU19" s="237">
        <v>0</v>
      </c>
      <c r="BV19" s="173">
        <v>249</v>
      </c>
      <c r="BW19" s="180">
        <v>0</v>
      </c>
      <c r="BX19" s="180">
        <v>0</v>
      </c>
      <c r="BY19" s="172">
        <v>0</v>
      </c>
      <c r="BZ19" s="172">
        <v>-131253.51</v>
      </c>
      <c r="CA19" s="172">
        <v>-131253.51</v>
      </c>
      <c r="CB19" s="172">
        <v>918746.49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3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51962447.229999997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51962447.229999997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-1376908.6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3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51962447.229999997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51962447.229999997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-1376908.6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3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3.5622124655923404E-2</v>
      </c>
      <c r="M22" s="173">
        <v>0</v>
      </c>
      <c r="N22" s="173">
        <v>0.33221667066522531</v>
      </c>
      <c r="O22" s="172">
        <v>1.5840936981110874</v>
      </c>
      <c r="P22" s="173">
        <v>1.6749590795986473</v>
      </c>
      <c r="Q22" s="173">
        <v>-9.086538148755996E-2</v>
      </c>
      <c r="R22" s="175">
        <v>0</v>
      </c>
      <c r="S22" s="175">
        <v>0</v>
      </c>
      <c r="T22" s="175">
        <v>0</v>
      </c>
      <c r="U22" s="251">
        <v>74382.703688504218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78649.378541634083</v>
      </c>
      <c r="AD22" s="172">
        <v>-4266.6748531298654</v>
      </c>
      <c r="AE22" s="172">
        <v>0</v>
      </c>
      <c r="AF22" s="172">
        <v>4266.6748531298654</v>
      </c>
      <c r="AG22" s="172">
        <v>0</v>
      </c>
      <c r="AH22" s="252">
        <v>-10487.682338536048</v>
      </c>
      <c r="AI22" s="172">
        <v>0</v>
      </c>
      <c r="AJ22" s="172">
        <v>-19036.62968850413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23835.582916145435</v>
      </c>
      <c r="AP22" s="172">
        <v>84870.386027040266</v>
      </c>
      <c r="AQ22" s="177">
        <v>1</v>
      </c>
      <c r="AR22" s="172">
        <v>222293.81532552757</v>
      </c>
      <c r="AS22" s="172">
        <v>14.25</v>
      </c>
      <c r="AT22" s="172">
        <v>-10471.556457790124</v>
      </c>
      <c r="AU22" s="172">
        <v>0</v>
      </c>
      <c r="AV22" s="172">
        <v>-19036.62968850413</v>
      </c>
      <c r="AW22" s="172">
        <v>-29508.186146294254</v>
      </c>
      <c r="AX22" s="172">
        <v>19036.629688504225</v>
      </c>
      <c r="AY22" s="172">
        <v>0</v>
      </c>
      <c r="AZ22" s="172">
        <v>-19036.62968850413</v>
      </c>
      <c r="BA22" s="172">
        <v>9.4587448984384537E-11</v>
      </c>
      <c r="BB22" s="172">
        <v>14.25</v>
      </c>
      <c r="BC22" s="172">
        <v>14.5</v>
      </c>
      <c r="BD22" s="172">
        <v>-6204.8816046602587</v>
      </c>
      <c r="BE22" s="172">
        <v>0</v>
      </c>
      <c r="BF22" s="172">
        <v>-23303.304541633996</v>
      </c>
      <c r="BG22" s="172">
        <v>-29508.186146294254</v>
      </c>
      <c r="BH22" s="172">
        <v>23303.30454163409</v>
      </c>
      <c r="BI22" s="172">
        <v>0</v>
      </c>
      <c r="BJ22" s="172">
        <v>-23303.304541633996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-23303.304541633996</v>
      </c>
      <c r="BQ22" s="173">
        <v>0</v>
      </c>
      <c r="BR22" s="173">
        <v>0</v>
      </c>
      <c r="BS22" s="179">
        <v>41</v>
      </c>
      <c r="BT22" s="173">
        <v>0</v>
      </c>
      <c r="BU22" s="237">
        <v>15599.565987756319</v>
      </c>
      <c r="BV22" s="173">
        <v>360</v>
      </c>
      <c r="BW22" s="180">
        <v>14.25</v>
      </c>
      <c r="BX22" s="180">
        <v>14.25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-6221.0074854061822</v>
      </c>
      <c r="CH22" s="172">
        <v>0</v>
      </c>
      <c r="CI22" s="172">
        <v>-23303.304541633996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3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74382.703688504218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78649.378541634083</v>
      </c>
      <c r="AD23" s="186">
        <v>-4266.6748531298654</v>
      </c>
      <c r="AE23" s="186">
        <v>0</v>
      </c>
      <c r="AF23" s="186">
        <v>4266.6748531298654</v>
      </c>
      <c r="AG23" s="186">
        <v>0</v>
      </c>
      <c r="AH23" s="255">
        <v>-10487.682338536048</v>
      </c>
      <c r="AI23" s="186">
        <v>0</v>
      </c>
      <c r="AJ23" s="186">
        <v>-19036.62968850413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-10471.556457790124</v>
      </c>
      <c r="AU23" s="186">
        <v>0</v>
      </c>
      <c r="AV23" s="186">
        <v>-19036.62968850413</v>
      </c>
      <c r="AW23" s="186">
        <v>-29508.186146294254</v>
      </c>
      <c r="AX23" s="186">
        <v>19036.629688504225</v>
      </c>
      <c r="AY23" s="186">
        <v>0</v>
      </c>
      <c r="AZ23" s="186">
        <v>-19036.62968850413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3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74382.703688504218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78649.378541634083</v>
      </c>
      <c r="AD24" s="197">
        <v>-4266.6748531298654</v>
      </c>
      <c r="AE24" s="197">
        <v>0</v>
      </c>
      <c r="AF24" s="197">
        <v>4266.6748531298654</v>
      </c>
      <c r="AG24" s="197">
        <v>0</v>
      </c>
      <c r="AH24" s="258">
        <v>-10487.682338536048</v>
      </c>
      <c r="AI24" s="197">
        <v>0</v>
      </c>
      <c r="AJ24" s="197">
        <v>-19036.62968850413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-10471.556457790124</v>
      </c>
      <c r="AU24" s="197">
        <v>0</v>
      </c>
      <c r="AV24" s="197">
        <v>-19036.62968850413</v>
      </c>
      <c r="AW24" s="197">
        <v>-29508.186146294254</v>
      </c>
      <c r="AX24" s="197">
        <v>19036.629688504225</v>
      </c>
      <c r="AY24" s="197">
        <v>0</v>
      </c>
      <c r="AZ24" s="197">
        <v>-19036.62968850413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3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71</v>
      </c>
      <c r="BT25" s="173">
        <v>0</v>
      </c>
      <c r="BU25" s="237">
        <v>0</v>
      </c>
      <c r="BV25" s="173">
        <v>236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3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71</v>
      </c>
      <c r="BT26" s="173">
        <v>0</v>
      </c>
      <c r="BU26" s="237">
        <v>0</v>
      </c>
      <c r="BV26" s="173">
        <v>238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3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3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3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72</v>
      </c>
      <c r="BT29" s="173">
        <v>0</v>
      </c>
      <c r="BU29" s="237">
        <v>0</v>
      </c>
      <c r="BV29" s="173">
        <v>255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3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72</v>
      </c>
      <c r="BT30" s="173">
        <v>0</v>
      </c>
      <c r="BU30" s="237">
        <v>0</v>
      </c>
      <c r="BV30" s="173">
        <v>294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3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3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3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18</v>
      </c>
      <c r="P33" s="174">
        <v>18.6875</v>
      </c>
      <c r="Q33" s="174">
        <v>-0.6875</v>
      </c>
      <c r="R33" s="175" t="s">
        <v>401</v>
      </c>
      <c r="S33" s="175">
        <v>0</v>
      </c>
      <c r="T33" s="175">
        <v>0</v>
      </c>
      <c r="U33" s="251">
        <v>22974894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23852407.3125</v>
      </c>
      <c r="AD33" s="172">
        <v>-877513.3125</v>
      </c>
      <c r="AE33" s="172">
        <v>0</v>
      </c>
      <c r="AF33" s="172">
        <v>877513.3125</v>
      </c>
      <c r="AG33" s="172">
        <v>0</v>
      </c>
      <c r="AH33" s="252">
        <v>-56160852</v>
      </c>
      <c r="AI33" s="172">
        <v>0</v>
      </c>
      <c r="AJ33" s="172">
        <v>44673405.25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22974894</v>
      </c>
      <c r="AS33" s="172">
        <v>18</v>
      </c>
      <c r="AT33" s="172">
        <v>-25687207.875</v>
      </c>
      <c r="AU33" s="172">
        <v>0</v>
      </c>
      <c r="AV33" s="172">
        <v>44673405.25</v>
      </c>
      <c r="AW33" s="172">
        <v>18986197.375</v>
      </c>
      <c r="AX33" s="172">
        <v>-44673405.25</v>
      </c>
      <c r="AY33" s="172">
        <v>0</v>
      </c>
      <c r="AZ33" s="172">
        <v>44673405.25</v>
      </c>
      <c r="BA33" s="172">
        <v>0</v>
      </c>
      <c r="BB33" s="172">
        <v>18</v>
      </c>
      <c r="BC33" s="172">
        <v>18.6875</v>
      </c>
      <c r="BD33" s="172">
        <v>-24809694.5625</v>
      </c>
      <c r="BE33" s="172">
        <v>0</v>
      </c>
      <c r="BF33" s="172">
        <v>43795891.9375</v>
      </c>
      <c r="BG33" s="172">
        <v>18986197.375</v>
      </c>
      <c r="BH33" s="172">
        <v>-43795891.9375</v>
      </c>
      <c r="BI33" s="172">
        <v>0</v>
      </c>
      <c r="BJ33" s="172">
        <v>43795891.9375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43795891.9375</v>
      </c>
      <c r="BQ33" s="174">
        <v>0</v>
      </c>
      <c r="BR33" s="173">
        <v>0</v>
      </c>
      <c r="BS33" s="179">
        <v>64</v>
      </c>
      <c r="BT33" s="173">
        <v>-877513.3125</v>
      </c>
      <c r="BU33" s="237">
        <v>0</v>
      </c>
      <c r="BV33" s="173">
        <v>41</v>
      </c>
      <c r="BW33" s="180">
        <v>18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-55283338.6875</v>
      </c>
      <c r="CH33" s="172">
        <v>0</v>
      </c>
      <c r="CI33" s="172">
        <v>43795891.9375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3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22974894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23852407.3125</v>
      </c>
      <c r="AD34" s="186">
        <v>-877513.3125</v>
      </c>
      <c r="AE34" s="186">
        <v>0</v>
      </c>
      <c r="AF34" s="186">
        <v>877513.3125</v>
      </c>
      <c r="AG34" s="186">
        <v>0</v>
      </c>
      <c r="AH34" s="255">
        <v>-56160852</v>
      </c>
      <c r="AI34" s="186">
        <v>0</v>
      </c>
      <c r="AJ34" s="186">
        <v>44673405.25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-25687207.875</v>
      </c>
      <c r="AU34" s="186">
        <v>0</v>
      </c>
      <c r="AV34" s="186">
        <v>44673405.25</v>
      </c>
      <c r="AW34" s="186">
        <v>18986197.375</v>
      </c>
      <c r="AX34" s="186">
        <v>-44673405.25</v>
      </c>
      <c r="AY34" s="186">
        <v>0</v>
      </c>
      <c r="AZ34" s="186">
        <v>44673405.25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3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22974894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23852407.3125</v>
      </c>
      <c r="AD35" s="197">
        <v>-877513.3125</v>
      </c>
      <c r="AE35" s="197">
        <v>0</v>
      </c>
      <c r="AF35" s="197">
        <v>877513.3125</v>
      </c>
      <c r="AG35" s="197">
        <v>0</v>
      </c>
      <c r="AH35" s="258">
        <v>-56160852</v>
      </c>
      <c r="AI35" s="197">
        <v>0</v>
      </c>
      <c r="AJ35" s="197">
        <v>44673405.25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-25687207.875</v>
      </c>
      <c r="AU35" s="197">
        <v>0</v>
      </c>
      <c r="AV35" s="197">
        <v>44673405.25</v>
      </c>
      <c r="AW35" s="197">
        <v>18986197.375</v>
      </c>
      <c r="AX35" s="197">
        <v>-44673405.25</v>
      </c>
      <c r="AY35" s="197">
        <v>0</v>
      </c>
      <c r="AZ35" s="197">
        <v>44673405.25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3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1.3739967897271268</v>
      </c>
      <c r="P36" s="174">
        <v>1.37311517484761</v>
      </c>
      <c r="Q36" s="174">
        <v>8.8161487951676776E-4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1.3739967897271268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1.3739967897271268</v>
      </c>
      <c r="BC36" s="172">
        <v>1.37311517484761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342</v>
      </c>
      <c r="BW36" s="180">
        <v>1.3739967897271268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3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1.9069020866773676</v>
      </c>
      <c r="P37" s="174">
        <v>1.9056785370548606</v>
      </c>
      <c r="Q37" s="174">
        <v>1.2235496225070364E-3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1.9069020866773676</v>
      </c>
      <c r="AT37" s="172">
        <v>-20245.275236002053</v>
      </c>
      <c r="AU37" s="172">
        <v>0</v>
      </c>
      <c r="AV37" s="172">
        <v>-112400.30984777</v>
      </c>
      <c r="AW37" s="172">
        <v>-132645.58508377205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1.9069020866773676</v>
      </c>
      <c r="BC37" s="172">
        <v>1.9056785370548606</v>
      </c>
      <c r="BD37" s="172">
        <v>-20245.275236002053</v>
      </c>
      <c r="BE37" s="172">
        <v>0</v>
      </c>
      <c r="BF37" s="172">
        <v>-112400.30984777</v>
      </c>
      <c r="BG37" s="172">
        <v>-132645.58508377205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344</v>
      </c>
      <c r="BW37" s="180">
        <v>1.9069020866773676</v>
      </c>
      <c r="BX37" s="180">
        <v>0</v>
      </c>
      <c r="BY37" s="172">
        <v>0</v>
      </c>
      <c r="BZ37" s="172">
        <v>-857500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3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-20245.275236002053</v>
      </c>
      <c r="AU38" s="186">
        <v>0</v>
      </c>
      <c r="AV38" s="186">
        <v>-112400.30984777</v>
      </c>
      <c r="AW38" s="186">
        <v>-132645.58508377205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3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320</v>
      </c>
      <c r="BW39" s="180">
        <v>0</v>
      </c>
      <c r="BX39" s="180">
        <v>0</v>
      </c>
      <c r="BY39" s="172">
        <v>0</v>
      </c>
      <c r="BZ39" s="172">
        <v>36836.22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3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3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7.0625</v>
      </c>
      <c r="P41" s="174">
        <v>7.0625</v>
      </c>
      <c r="Q41" s="174">
        <v>0</v>
      </c>
      <c r="R41" s="175">
        <v>0</v>
      </c>
      <c r="S41" s="175">
        <v>0</v>
      </c>
      <c r="T41" s="175">
        <v>0</v>
      </c>
      <c r="U41" s="251">
        <v>585170.70622500009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585170.70622500009</v>
      </c>
      <c r="AD41" s="172">
        <v>0</v>
      </c>
      <c r="AE41" s="172">
        <v>0</v>
      </c>
      <c r="AF41" s="172">
        <v>0</v>
      </c>
      <c r="AG41" s="172">
        <v>0</v>
      </c>
      <c r="AH41" s="252">
        <v>342111.14979300014</v>
      </c>
      <c r="AI41" s="172">
        <v>0</v>
      </c>
      <c r="AJ41" s="172">
        <v>-187436.706225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585170.70622500009</v>
      </c>
      <c r="AS41" s="172">
        <v>7.0625</v>
      </c>
      <c r="AT41" s="172">
        <v>5178.501825000043</v>
      </c>
      <c r="AU41" s="172">
        <v>0</v>
      </c>
      <c r="AV41" s="172">
        <v>-187436.706225</v>
      </c>
      <c r="AW41" s="172">
        <v>-182258.20439999996</v>
      </c>
      <c r="AX41" s="172">
        <v>187436.70622500012</v>
      </c>
      <c r="AY41" s="172">
        <v>0</v>
      </c>
      <c r="AZ41" s="172">
        <v>-187436.706225</v>
      </c>
      <c r="BA41" s="172">
        <v>0</v>
      </c>
      <c r="BB41" s="172">
        <v>7.0625</v>
      </c>
      <c r="BC41" s="172">
        <v>7.0625</v>
      </c>
      <c r="BD41" s="172">
        <v>5178.501825000043</v>
      </c>
      <c r="BE41" s="172">
        <v>0</v>
      </c>
      <c r="BF41" s="172">
        <v>-187436.706225</v>
      </c>
      <c r="BG41" s="172">
        <v>-182258.20439999996</v>
      </c>
      <c r="BH41" s="172">
        <v>187436.70622500012</v>
      </c>
      <c r="BI41" s="172">
        <v>0</v>
      </c>
      <c r="BJ41" s="172">
        <v>-187436.706225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-187436.706225</v>
      </c>
      <c r="BQ41" s="173">
        <v>0</v>
      </c>
      <c r="BR41" s="173">
        <v>0</v>
      </c>
      <c r="BS41" s="179">
        <v>40</v>
      </c>
      <c r="BT41" s="173">
        <v>0</v>
      </c>
      <c r="BU41" s="237">
        <v>82856.029200000004</v>
      </c>
      <c r="BV41" s="173">
        <v>347</v>
      </c>
      <c r="BW41" s="180">
        <v>7.0625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342111.14979300014</v>
      </c>
      <c r="CH41" s="172">
        <v>0</v>
      </c>
      <c r="CI41" s="172">
        <v>-187436.706225</v>
      </c>
      <c r="CJ41" s="172">
        <v>154674.44356800013</v>
      </c>
      <c r="CK41" s="173">
        <v>0</v>
      </c>
      <c r="CL41" s="173">
        <v>0</v>
      </c>
    </row>
    <row r="42" spans="1:90" outlineLevel="3" x14ac:dyDescent="0.3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8.625</v>
      </c>
      <c r="P42" s="174">
        <v>9</v>
      </c>
      <c r="Q42" s="174">
        <v>-0.375</v>
      </c>
      <c r="R42" s="175">
        <v>0</v>
      </c>
      <c r="S42" s="175">
        <v>0</v>
      </c>
      <c r="T42" s="175">
        <v>0</v>
      </c>
      <c r="U42" s="251">
        <v>4175830.7167500001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4357388.574</v>
      </c>
      <c r="AD42" s="172">
        <v>-181557.85724999988</v>
      </c>
      <c r="AE42" s="172">
        <v>0</v>
      </c>
      <c r="AF42" s="172">
        <v>181557.85724999988</v>
      </c>
      <c r="AG42" s="172">
        <v>0</v>
      </c>
      <c r="AH42" s="252">
        <v>-544673.57174999965</v>
      </c>
      <c r="AI42" s="172">
        <v>0</v>
      </c>
      <c r="AJ42" s="172">
        <v>-484154.71674999979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4175830.7167500001</v>
      </c>
      <c r="AS42" s="172">
        <v>8.625</v>
      </c>
      <c r="AT42" s="172">
        <v>423635.00025000004</v>
      </c>
      <c r="AU42" s="172">
        <v>0</v>
      </c>
      <c r="AV42" s="172">
        <v>-484154.71674999979</v>
      </c>
      <c r="AW42" s="172">
        <v>-60519.716499999748</v>
      </c>
      <c r="AX42" s="172">
        <v>484154.71675000014</v>
      </c>
      <c r="AY42" s="172">
        <v>0</v>
      </c>
      <c r="AZ42" s="172">
        <v>-484154.71674999979</v>
      </c>
      <c r="BA42" s="172">
        <v>0</v>
      </c>
      <c r="BB42" s="172">
        <v>8.625</v>
      </c>
      <c r="BC42" s="172">
        <v>9</v>
      </c>
      <c r="BD42" s="172">
        <v>605192.85749999993</v>
      </c>
      <c r="BE42" s="172">
        <v>0</v>
      </c>
      <c r="BF42" s="172">
        <v>-665712.57399999967</v>
      </c>
      <c r="BG42" s="172">
        <v>-60519.716499999748</v>
      </c>
      <c r="BH42" s="172">
        <v>665712.57400000002</v>
      </c>
      <c r="BI42" s="172">
        <v>0</v>
      </c>
      <c r="BJ42" s="172">
        <v>-665712.57399999967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-665712.57399999967</v>
      </c>
      <c r="BQ42" s="173">
        <v>0</v>
      </c>
      <c r="BR42" s="173">
        <v>0</v>
      </c>
      <c r="BS42" s="179">
        <v>40</v>
      </c>
      <c r="BT42" s="173">
        <v>-181557.85724999988</v>
      </c>
      <c r="BU42" s="237">
        <v>484154.28600000002</v>
      </c>
      <c r="BV42" s="173">
        <v>354</v>
      </c>
      <c r="BW42" s="180">
        <v>8.625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-363115.71449999977</v>
      </c>
      <c r="CH42" s="172">
        <v>0</v>
      </c>
      <c r="CI42" s="172">
        <v>-665712.57399999967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3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4761001.422975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4942559.2802250003</v>
      </c>
      <c r="AD43" s="186">
        <v>-181557.85724999988</v>
      </c>
      <c r="AE43" s="186">
        <v>0</v>
      </c>
      <c r="AF43" s="186">
        <v>181557.85724999988</v>
      </c>
      <c r="AG43" s="186">
        <v>0</v>
      </c>
      <c r="AH43" s="255">
        <v>-202562.42195699952</v>
      </c>
      <c r="AI43" s="186">
        <v>0</v>
      </c>
      <c r="AJ43" s="186">
        <v>-671591.42297499976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428813.50207500008</v>
      </c>
      <c r="AU43" s="186">
        <v>0</v>
      </c>
      <c r="AV43" s="186">
        <v>-671591.42297499976</v>
      </c>
      <c r="AW43" s="186">
        <v>-242777.92089999971</v>
      </c>
      <c r="AX43" s="186">
        <v>671591.42297500023</v>
      </c>
      <c r="AY43" s="186">
        <v>0</v>
      </c>
      <c r="AZ43" s="186">
        <v>-671591.42297499976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3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324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3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3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7850586.0529750008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8032143.9102250002</v>
      </c>
      <c r="AD46" s="197">
        <v>-181557.85724999988</v>
      </c>
      <c r="AE46" s="197">
        <v>0</v>
      </c>
      <c r="AF46" s="197">
        <v>181557.85724999988</v>
      </c>
      <c r="AG46" s="197">
        <v>0</v>
      </c>
      <c r="AH46" s="258">
        <v>-14930.205566204153</v>
      </c>
      <c r="AI46" s="197">
        <v>0</v>
      </c>
      <c r="AJ46" s="197">
        <v>-783991.73282276979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408568.22683899803</v>
      </c>
      <c r="AU46" s="197">
        <v>0</v>
      </c>
      <c r="AV46" s="197">
        <v>-783991.73282276979</v>
      </c>
      <c r="AW46" s="197">
        <v>-375423.50598377176</v>
      </c>
      <c r="AX46" s="197">
        <v>783991.7328227706</v>
      </c>
      <c r="AY46" s="197">
        <v>0</v>
      </c>
      <c r="AZ46" s="197">
        <v>-783991.73282276979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3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66</v>
      </c>
      <c r="BT47" s="173">
        <v>0</v>
      </c>
      <c r="BU47" s="237">
        <v>0</v>
      </c>
      <c r="BV47" s="173">
        <v>312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3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3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65</v>
      </c>
      <c r="BT49" s="173">
        <v>0</v>
      </c>
      <c r="BU49" s="237">
        <v>0</v>
      </c>
      <c r="BV49" s="173">
        <v>60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3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65</v>
      </c>
      <c r="BT50" s="173">
        <v>0</v>
      </c>
      <c r="BU50" s="237">
        <v>0</v>
      </c>
      <c r="BV50" s="173">
        <v>62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3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3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3.25</v>
      </c>
      <c r="P52" s="174">
        <v>3.53125</v>
      </c>
      <c r="Q52" s="174">
        <v>-0.28125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3.25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3.25</v>
      </c>
      <c r="BC52" s="172">
        <v>3.53125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64</v>
      </c>
      <c r="BT52" s="173">
        <v>0</v>
      </c>
      <c r="BU52" s="237">
        <v>0</v>
      </c>
      <c r="BV52" s="173">
        <v>1</v>
      </c>
      <c r="BW52" s="180">
        <v>3.25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3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1.75</v>
      </c>
      <c r="P53" s="174">
        <v>1.75</v>
      </c>
      <c r="Q53" s="174">
        <v>0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1.75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1.75</v>
      </c>
      <c r="BC53" s="172">
        <v>1.75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64</v>
      </c>
      <c r="BT53" s="173">
        <v>0</v>
      </c>
      <c r="BU53" s="237">
        <v>0</v>
      </c>
      <c r="BV53" s="173">
        <v>10</v>
      </c>
      <c r="BW53" s="180">
        <v>1.75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3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7.0625</v>
      </c>
      <c r="P54" s="174">
        <v>7.0625</v>
      </c>
      <c r="Q54" s="174">
        <v>0</v>
      </c>
      <c r="R54" s="175" t="s">
        <v>434</v>
      </c>
      <c r="S54" s="175">
        <v>0</v>
      </c>
      <c r="T54" s="175">
        <v>0</v>
      </c>
      <c r="U54" s="251">
        <v>972044.36250000005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972044.36250000005</v>
      </c>
      <c r="AD54" s="172">
        <v>0</v>
      </c>
      <c r="AE54" s="172">
        <v>0</v>
      </c>
      <c r="AF54" s="172">
        <v>0</v>
      </c>
      <c r="AG54" s="172">
        <v>0</v>
      </c>
      <c r="AH54" s="252">
        <v>568290.94650000101</v>
      </c>
      <c r="AI54" s="172">
        <v>0</v>
      </c>
      <c r="AJ54" s="172">
        <v>-311356.52250000014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972044.36250000005</v>
      </c>
      <c r="AS54" s="172">
        <v>7.0625</v>
      </c>
      <c r="AT54" s="172">
        <v>8602.1625000005588</v>
      </c>
      <c r="AU54" s="172">
        <v>0</v>
      </c>
      <c r="AV54" s="172">
        <v>-311356.52250000014</v>
      </c>
      <c r="AW54" s="172">
        <v>-302754.36</v>
      </c>
      <c r="AX54" s="172">
        <v>311356.52250000008</v>
      </c>
      <c r="AY54" s="172">
        <v>0</v>
      </c>
      <c r="AZ54" s="172">
        <v>-311356.52250000014</v>
      </c>
      <c r="BA54" s="172">
        <v>0</v>
      </c>
      <c r="BB54" s="172">
        <v>7.0625</v>
      </c>
      <c r="BC54" s="172">
        <v>7.0625</v>
      </c>
      <c r="BD54" s="172">
        <v>8602.1625000005588</v>
      </c>
      <c r="BE54" s="172">
        <v>0</v>
      </c>
      <c r="BF54" s="172">
        <v>-311356.52250000014</v>
      </c>
      <c r="BG54" s="172">
        <v>-302754.36</v>
      </c>
      <c r="BH54" s="172">
        <v>311356.52250000008</v>
      </c>
      <c r="BI54" s="172">
        <v>0</v>
      </c>
      <c r="BJ54" s="172">
        <v>-311356.52250000014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-311356.52250000014</v>
      </c>
      <c r="BQ54" s="174">
        <v>1.1200000000000001</v>
      </c>
      <c r="BR54" s="173">
        <v>154150.75200000001</v>
      </c>
      <c r="BS54" s="179">
        <v>64</v>
      </c>
      <c r="BT54" s="173">
        <v>0</v>
      </c>
      <c r="BU54" s="237">
        <v>137634.6</v>
      </c>
      <c r="BV54" s="173">
        <v>14</v>
      </c>
      <c r="BW54" s="180">
        <v>7.0625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568290.94650000101</v>
      </c>
      <c r="CH54" s="172">
        <v>0</v>
      </c>
      <c r="CI54" s="172">
        <v>-311356.52250000014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3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972044.36250000005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972044.36250000005</v>
      </c>
      <c r="AD55" s="186">
        <v>0</v>
      </c>
      <c r="AE55" s="186">
        <v>0</v>
      </c>
      <c r="AF55" s="186">
        <v>0</v>
      </c>
      <c r="AG55" s="186">
        <v>0</v>
      </c>
      <c r="AH55" s="255">
        <v>568290.94650000101</v>
      </c>
      <c r="AI55" s="186">
        <v>0</v>
      </c>
      <c r="AJ55" s="186">
        <v>-311356.52250000014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8602.1625000005588</v>
      </c>
      <c r="AU55" s="186">
        <v>0</v>
      </c>
      <c r="AV55" s="186">
        <v>-311356.52250000014</v>
      </c>
      <c r="AW55" s="186">
        <v>-302754.36</v>
      </c>
      <c r="AX55" s="186">
        <v>311356.52250000008</v>
      </c>
      <c r="AY55" s="186">
        <v>0</v>
      </c>
      <c r="AZ55" s="186">
        <v>-311356.52250000014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3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65507.429999999702</v>
      </c>
      <c r="AU56" s="172">
        <v>0</v>
      </c>
      <c r="AV56" s="172">
        <v>-65507.429999999702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65507.429999999702</v>
      </c>
      <c r="BE56" s="172">
        <v>0</v>
      </c>
      <c r="BF56" s="172">
        <v>-65507.429999999702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74</v>
      </c>
      <c r="BT56" s="173">
        <v>0</v>
      </c>
      <c r="BU56" s="237">
        <v>0</v>
      </c>
      <c r="BV56" s="173">
        <v>283</v>
      </c>
      <c r="BW56" s="180">
        <v>0</v>
      </c>
      <c r="BX56" s="180">
        <v>0</v>
      </c>
      <c r="BY56" s="172">
        <v>0</v>
      </c>
      <c r="BZ56" s="172">
        <v>-12500000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3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74</v>
      </c>
      <c r="BT57" s="173">
        <v>0</v>
      </c>
      <c r="BU57" s="237">
        <v>0</v>
      </c>
      <c r="BV57" s="173">
        <v>285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3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74</v>
      </c>
      <c r="BT58" s="173">
        <v>0</v>
      </c>
      <c r="BU58" s="237">
        <v>0</v>
      </c>
      <c r="BV58" s="173">
        <v>301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3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74</v>
      </c>
      <c r="BT59" s="173">
        <v>0</v>
      </c>
      <c r="BU59" s="237">
        <v>0</v>
      </c>
      <c r="BV59" s="173">
        <v>303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3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74</v>
      </c>
      <c r="BT60" s="173">
        <v>0</v>
      </c>
      <c r="BU60" s="237">
        <v>0</v>
      </c>
      <c r="BV60" s="173">
        <v>305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3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65507.429999999702</v>
      </c>
      <c r="AU61" s="186">
        <v>0</v>
      </c>
      <c r="AV61" s="186">
        <v>-65507.429999999702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3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67</v>
      </c>
      <c r="BT62" s="173">
        <v>0</v>
      </c>
      <c r="BU62" s="237">
        <v>0</v>
      </c>
      <c r="BV62" s="173">
        <v>127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3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3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1.6236235873997331E-2</v>
      </c>
      <c r="M64" s="173">
        <v>0</v>
      </c>
      <c r="N64" s="173">
        <v>0.94591984729664402</v>
      </c>
      <c r="O64" s="172">
        <v>5.4251303331928877</v>
      </c>
      <c r="P64" s="173">
        <v>6.3820367416989185</v>
      </c>
      <c r="Q64" s="173">
        <v>-0.95690640850603081</v>
      </c>
      <c r="R64" s="175" t="s">
        <v>448</v>
      </c>
      <c r="S64" s="175">
        <v>0</v>
      </c>
      <c r="T64" s="175">
        <v>0</v>
      </c>
      <c r="U64" s="251">
        <v>847676.61456138873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997193.24089045601</v>
      </c>
      <c r="AD64" s="172">
        <v>-149516.62632906728</v>
      </c>
      <c r="AE64" s="172">
        <v>0</v>
      </c>
      <c r="AF64" s="172">
        <v>149516.62632906728</v>
      </c>
      <c r="AG64" s="172">
        <v>0</v>
      </c>
      <c r="AH64" s="252">
        <v>-864191.77362275892</v>
      </c>
      <c r="AI64" s="172">
        <v>0</v>
      </c>
      <c r="AJ64" s="172">
        <v>-192145.04801590892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21246.636788238695</v>
      </c>
      <c r="AP64" s="172">
        <v>1711868.3881841477</v>
      </c>
      <c r="AQ64" s="177">
        <v>1</v>
      </c>
      <c r="AR64" s="172">
        <v>1237824.8001733427</v>
      </c>
      <c r="AS64" s="172">
        <v>8.375</v>
      </c>
      <c r="AT64" s="172">
        <v>-171457.25318433449</v>
      </c>
      <c r="AU64" s="172">
        <v>0</v>
      </c>
      <c r="AV64" s="172">
        <v>-192145.04801590892</v>
      </c>
      <c r="AW64" s="172">
        <v>-363602.30120024341</v>
      </c>
      <c r="AX64" s="172">
        <v>192145.04801590857</v>
      </c>
      <c r="AY64" s="172">
        <v>0</v>
      </c>
      <c r="AZ64" s="172">
        <v>-192145.04801590892</v>
      </c>
      <c r="BA64" s="172">
        <v>0</v>
      </c>
      <c r="BB64" s="172">
        <v>8.375</v>
      </c>
      <c r="BC64" s="172">
        <v>9.375</v>
      </c>
      <c r="BD64" s="172">
        <v>-21940.626855267212</v>
      </c>
      <c r="BE64" s="172">
        <v>0</v>
      </c>
      <c r="BF64" s="172">
        <v>-341661.6743449762</v>
      </c>
      <c r="BG64" s="172">
        <v>-363602.30120024341</v>
      </c>
      <c r="BH64" s="172">
        <v>341661.67434497585</v>
      </c>
      <c r="BI64" s="172">
        <v>0</v>
      </c>
      <c r="BJ64" s="172">
        <v>-341661.6743449762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-341661.6743449762</v>
      </c>
      <c r="BQ64" s="173">
        <v>0</v>
      </c>
      <c r="BR64" s="173">
        <v>0</v>
      </c>
      <c r="BS64" s="179">
        <v>68</v>
      </c>
      <c r="BT64" s="173">
        <v>0</v>
      </c>
      <c r="BU64" s="237">
        <v>147799.97614010063</v>
      </c>
      <c r="BV64" s="173">
        <v>135</v>
      </c>
      <c r="BW64" s="180">
        <v>8.375</v>
      </c>
      <c r="BX64" s="180">
        <v>8.375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-714675.14729369164</v>
      </c>
      <c r="CH64" s="172">
        <v>0</v>
      </c>
      <c r="CI64" s="172">
        <v>-341661.6743449762</v>
      </c>
      <c r="CJ64" s="172">
        <v>-1056336.821638668</v>
      </c>
      <c r="CK64" s="173">
        <v>0</v>
      </c>
      <c r="CL64" s="173">
        <v>0</v>
      </c>
    </row>
    <row r="65" spans="1:90" outlineLevel="3" x14ac:dyDescent="0.3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3.5613869376217452E-2</v>
      </c>
      <c r="M65" s="173">
        <v>0.5</v>
      </c>
      <c r="N65" s="173">
        <v>0.33142583503270495</v>
      </c>
      <c r="O65" s="172">
        <v>1.5840936981110871</v>
      </c>
      <c r="P65" s="173">
        <v>1.6749590795986473</v>
      </c>
      <c r="Q65" s="173">
        <v>-9.0865381487560182E-2</v>
      </c>
      <c r="R65" s="175" t="s">
        <v>449</v>
      </c>
      <c r="S65" s="175">
        <v>0</v>
      </c>
      <c r="T65" s="175">
        <v>0</v>
      </c>
      <c r="U65" s="251">
        <v>123559.3084526648</v>
      </c>
      <c r="V65" s="172" t="s">
        <v>345</v>
      </c>
      <c r="W65" s="172">
        <v>368379.81563885155</v>
      </c>
      <c r="X65" s="172">
        <v>0</v>
      </c>
      <c r="Y65" s="172">
        <v>368379.81563885155</v>
      </c>
      <c r="Z65" s="172">
        <v>184189.90781942577</v>
      </c>
      <c r="AA65" s="172">
        <v>0</v>
      </c>
      <c r="AB65" s="172">
        <v>184189.90781942577</v>
      </c>
      <c r="AC65" s="251">
        <v>130646.80820869449</v>
      </c>
      <c r="AD65" s="172">
        <v>-7087.4997560296906</v>
      </c>
      <c r="AE65" s="172">
        <v>0</v>
      </c>
      <c r="AF65" s="172">
        <v>7087.4997560296906</v>
      </c>
      <c r="AG65" s="172">
        <v>0</v>
      </c>
      <c r="AH65" s="252">
        <v>-17421.399233448596</v>
      </c>
      <c r="AI65" s="172">
        <v>0</v>
      </c>
      <c r="AJ65" s="172">
        <v>-31622.250251832731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39584.8158116657</v>
      </c>
      <c r="AP65" s="172">
        <v>140980.7076861134</v>
      </c>
      <c r="AQ65" s="177">
        <v>1</v>
      </c>
      <c r="AR65" s="172">
        <v>368379.81563885155</v>
      </c>
      <c r="AS65" s="172">
        <v>14.25</v>
      </c>
      <c r="AT65" s="172">
        <v>-17394.612056129772</v>
      </c>
      <c r="AU65" s="172">
        <v>0</v>
      </c>
      <c r="AV65" s="172">
        <v>-31622.250251832731</v>
      </c>
      <c r="AW65" s="172">
        <v>-49016.862307962503</v>
      </c>
      <c r="AX65" s="172">
        <v>31622.250251832695</v>
      </c>
      <c r="AY65" s="172">
        <v>0</v>
      </c>
      <c r="AZ65" s="172">
        <v>-31622.250251832731</v>
      </c>
      <c r="BA65" s="172">
        <v>0</v>
      </c>
      <c r="BB65" s="172">
        <v>14.25</v>
      </c>
      <c r="BC65" s="172">
        <v>14.5</v>
      </c>
      <c r="BD65" s="172">
        <v>-10307.112300100081</v>
      </c>
      <c r="BE65" s="172">
        <v>0</v>
      </c>
      <c r="BF65" s="172">
        <v>-38709.750007862422</v>
      </c>
      <c r="BG65" s="172">
        <v>-49016.862307962503</v>
      </c>
      <c r="BH65" s="172">
        <v>38709.750007862385</v>
      </c>
      <c r="BI65" s="172">
        <v>0</v>
      </c>
      <c r="BJ65" s="172">
        <v>-38709.750007862422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-38709.750007862422</v>
      </c>
      <c r="BQ65" s="173">
        <v>0</v>
      </c>
      <c r="BR65" s="173">
        <v>0</v>
      </c>
      <c r="BS65" s="179">
        <v>68</v>
      </c>
      <c r="BT65" s="173">
        <v>0</v>
      </c>
      <c r="BU65" s="237">
        <v>25851.215132550988</v>
      </c>
      <c r="BV65" s="173">
        <v>139</v>
      </c>
      <c r="BW65" s="180">
        <v>14.25</v>
      </c>
      <c r="BX65" s="180">
        <v>14.25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-10333.899477418905</v>
      </c>
      <c r="CH65" s="172">
        <v>0</v>
      </c>
      <c r="CI65" s="172">
        <v>-38709.750007862422</v>
      </c>
      <c r="CJ65" s="172">
        <v>-49043.649485281327</v>
      </c>
      <c r="CK65" s="173">
        <v>1</v>
      </c>
      <c r="CL65" s="173">
        <v>0</v>
      </c>
    </row>
    <row r="66" spans="1:90" outlineLevel="3" x14ac:dyDescent="0.3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3.25</v>
      </c>
      <c r="BC66" s="172">
        <v>3.53125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68</v>
      </c>
      <c r="BT66" s="173">
        <v>0</v>
      </c>
      <c r="BU66" s="237">
        <v>447400.14111727913</v>
      </c>
      <c r="BV66" s="173">
        <v>141</v>
      </c>
      <c r="BW66" s="180">
        <v>3.25</v>
      </c>
      <c r="BX66" s="180">
        <v>3.25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3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971235.92301405349</v>
      </c>
      <c r="V67" s="186"/>
      <c r="W67" s="186">
        <v>1347067.6243328997</v>
      </c>
      <c r="X67" s="186">
        <v>0</v>
      </c>
      <c r="Y67" s="186">
        <v>1347067.6243328997</v>
      </c>
      <c r="Z67" s="186">
        <v>673533.81216644985</v>
      </c>
      <c r="AA67" s="186">
        <v>0</v>
      </c>
      <c r="AB67" s="186">
        <v>673533.81216644985</v>
      </c>
      <c r="AC67" s="254">
        <v>1127840.0490991506</v>
      </c>
      <c r="AD67" s="186">
        <v>-156604.12608509697</v>
      </c>
      <c r="AE67" s="186">
        <v>0</v>
      </c>
      <c r="AF67" s="186">
        <v>156604.12608509697</v>
      </c>
      <c r="AG67" s="186">
        <v>0</v>
      </c>
      <c r="AH67" s="255">
        <v>-881613.17285620747</v>
      </c>
      <c r="AI67" s="186">
        <v>0</v>
      </c>
      <c r="AJ67" s="186">
        <v>-223767.29826774166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-188851.86524046428</v>
      </c>
      <c r="AU67" s="186">
        <v>0</v>
      </c>
      <c r="AV67" s="186">
        <v>-223767.29826774166</v>
      </c>
      <c r="AW67" s="186">
        <v>-412619.16350820591</v>
      </c>
      <c r="AX67" s="186">
        <v>223767.29826774128</v>
      </c>
      <c r="AY67" s="186">
        <v>0</v>
      </c>
      <c r="AZ67" s="186">
        <v>-223767.29826774166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3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50855696.445514046</v>
      </c>
      <c r="V68" s="197"/>
      <c r="W68" s="197">
        <v>13101025.124332897</v>
      </c>
      <c r="X68" s="197">
        <v>0</v>
      </c>
      <c r="Y68" s="197">
        <v>13101025.124332897</v>
      </c>
      <c r="Z68" s="197">
        <v>673533.81216644985</v>
      </c>
      <c r="AA68" s="197">
        <v>0</v>
      </c>
      <c r="AB68" s="197">
        <v>673533.81216644985</v>
      </c>
      <c r="AC68" s="257">
        <v>51012300.571599148</v>
      </c>
      <c r="AD68" s="197">
        <v>-156604.12608509697</v>
      </c>
      <c r="AE68" s="197">
        <v>0</v>
      </c>
      <c r="AF68" s="197">
        <v>156604.12608509697</v>
      </c>
      <c r="AG68" s="197">
        <v>0</v>
      </c>
      <c r="AH68" s="258">
        <v>-247814.79635620682</v>
      </c>
      <c r="AI68" s="197">
        <v>0</v>
      </c>
      <c r="AJ68" s="197">
        <v>-600631.25076774147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-114742.272740464</v>
      </c>
      <c r="AU68" s="197">
        <v>0</v>
      </c>
      <c r="AV68" s="197">
        <v>-600631.25076774147</v>
      </c>
      <c r="AW68" s="197">
        <v>-715373.52350820589</v>
      </c>
      <c r="AX68" s="197">
        <v>600631.250767741</v>
      </c>
      <c r="AY68" s="197">
        <v>0</v>
      </c>
      <c r="AZ68" s="197">
        <v>-600631.25076774147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3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66</v>
      </c>
      <c r="BT69" s="173">
        <v>0</v>
      </c>
      <c r="BU69" s="237">
        <v>0</v>
      </c>
      <c r="BV69" s="173">
        <v>117</v>
      </c>
      <c r="BW69" s="180">
        <v>0</v>
      </c>
      <c r="BX69" s="180">
        <v>0</v>
      </c>
      <c r="BY69" s="172">
        <v>0</v>
      </c>
      <c r="BZ69" s="172">
        <v>1008138.52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3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3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71</v>
      </c>
      <c r="BT71" s="173">
        <v>0</v>
      </c>
      <c r="BU71" s="237">
        <v>0</v>
      </c>
      <c r="BV71" s="173">
        <v>187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3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242754.37</v>
      </c>
      <c r="P72" s="173">
        <v>242754.37</v>
      </c>
      <c r="Q72" s="173">
        <v>0</v>
      </c>
      <c r="R72" s="175" t="s">
        <v>460</v>
      </c>
      <c r="S72" s="175">
        <v>0</v>
      </c>
      <c r="T72" s="175">
        <v>0</v>
      </c>
      <c r="U72" s="251">
        <v>242754.37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242754.37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242754.37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71</v>
      </c>
      <c r="BT72" s="173">
        <v>0</v>
      </c>
      <c r="BU72" s="237">
        <v>0</v>
      </c>
      <c r="BV72" s="173">
        <v>192</v>
      </c>
      <c r="BW72" s="180">
        <v>0</v>
      </c>
      <c r="BX72" s="180">
        <v>0</v>
      </c>
      <c r="BY72" s="172">
        <v>0</v>
      </c>
      <c r="BZ72" s="172">
        <v>-4970.63</v>
      </c>
      <c r="CA72" s="172">
        <v>-4970.63</v>
      </c>
      <c r="CB72" s="172">
        <v>242754.37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3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71</v>
      </c>
      <c r="BT73" s="173">
        <v>0</v>
      </c>
      <c r="BU73" s="237">
        <v>0</v>
      </c>
      <c r="BV73" s="173">
        <v>197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3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71</v>
      </c>
      <c r="BT74" s="173">
        <v>0</v>
      </c>
      <c r="BU74" s="237">
        <v>0</v>
      </c>
      <c r="BV74" s="173">
        <v>216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3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71</v>
      </c>
      <c r="BT75" s="173">
        <v>0</v>
      </c>
      <c r="BU75" s="237">
        <v>0</v>
      </c>
      <c r="BV75" s="173">
        <v>229</v>
      </c>
      <c r="BW75" s="180">
        <v>0</v>
      </c>
      <c r="BX75" s="180">
        <v>0</v>
      </c>
      <c r="BY75" s="172">
        <v>0</v>
      </c>
      <c r="BZ75" s="172">
        <v>-19348.88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3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8620105.4900000002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8620105.4900000002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-24319.51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3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65</v>
      </c>
      <c r="BT77" s="173">
        <v>0</v>
      </c>
      <c r="BU77" s="237">
        <v>0</v>
      </c>
      <c r="BV77" s="173">
        <v>54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3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65</v>
      </c>
      <c r="BT78" s="173">
        <v>0</v>
      </c>
      <c r="BU78" s="237">
        <v>0</v>
      </c>
      <c r="BV78" s="173">
        <v>67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3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3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1.9261637239165328</v>
      </c>
      <c r="P80" s="174">
        <v>1.8607635547000321</v>
      </c>
      <c r="Q80" s="174">
        <v>6.5400169216500714E-2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1.9261637239165328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1.9261637239165328</v>
      </c>
      <c r="BC80" s="172">
        <v>1.8607635547000321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64</v>
      </c>
      <c r="BT80" s="173">
        <v>0</v>
      </c>
      <c r="BU80" s="237">
        <v>0</v>
      </c>
      <c r="BV80" s="173">
        <v>4</v>
      </c>
      <c r="BW80" s="180">
        <v>1.9261637239165328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3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5.6875</v>
      </c>
      <c r="P81" s="174">
        <v>5.6875</v>
      </c>
      <c r="Q81" s="174">
        <v>0</v>
      </c>
      <c r="R81" s="175" t="s">
        <v>470</v>
      </c>
      <c r="S81" s="175">
        <v>0</v>
      </c>
      <c r="T81" s="175">
        <v>0</v>
      </c>
      <c r="U81" s="251">
        <v>340630.0625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340630.0625</v>
      </c>
      <c r="AD81" s="172">
        <v>0</v>
      </c>
      <c r="AE81" s="172">
        <v>0</v>
      </c>
      <c r="AF81" s="172">
        <v>0</v>
      </c>
      <c r="AG81" s="172">
        <v>0</v>
      </c>
      <c r="AH81" s="252">
        <v>-44918.25</v>
      </c>
      <c r="AI81" s="172">
        <v>0</v>
      </c>
      <c r="AJ81" s="172">
        <v>11230.1875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340630.0625</v>
      </c>
      <c r="AS81" s="172">
        <v>5.6875</v>
      </c>
      <c r="AT81" s="172">
        <v>18715.9375</v>
      </c>
      <c r="AU81" s="172">
        <v>0</v>
      </c>
      <c r="AV81" s="172">
        <v>11230.1875</v>
      </c>
      <c r="AW81" s="172">
        <v>29946.125</v>
      </c>
      <c r="AX81" s="172">
        <v>-11230.1875</v>
      </c>
      <c r="AY81" s="172">
        <v>0</v>
      </c>
      <c r="AZ81" s="172">
        <v>11230.1875</v>
      </c>
      <c r="BA81" s="172">
        <v>0</v>
      </c>
      <c r="BB81" s="172">
        <v>5.6875</v>
      </c>
      <c r="BC81" s="172">
        <v>5.6875</v>
      </c>
      <c r="BD81" s="172">
        <v>18715.9375</v>
      </c>
      <c r="BE81" s="172">
        <v>0</v>
      </c>
      <c r="BF81" s="172">
        <v>11230.1875</v>
      </c>
      <c r="BG81" s="172">
        <v>29946.125</v>
      </c>
      <c r="BH81" s="172">
        <v>-11230.1875</v>
      </c>
      <c r="BI81" s="172">
        <v>0</v>
      </c>
      <c r="BJ81" s="172">
        <v>11230.1875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11230.1875</v>
      </c>
      <c r="BQ81" s="174">
        <v>1.1200000000000001</v>
      </c>
      <c r="BR81" s="173">
        <v>67077.919999999998</v>
      </c>
      <c r="BS81" s="179">
        <v>64</v>
      </c>
      <c r="BT81" s="173">
        <v>0</v>
      </c>
      <c r="BU81" s="237">
        <v>59891</v>
      </c>
      <c r="BV81" s="173">
        <v>12</v>
      </c>
      <c r="BW81" s="180">
        <v>5.6875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-44918.25</v>
      </c>
      <c r="CH81" s="172">
        <v>0</v>
      </c>
      <c r="CI81" s="172">
        <v>11230.1875</v>
      </c>
      <c r="CJ81" s="172">
        <v>-33688.0625</v>
      </c>
      <c r="CK81" s="173">
        <v>0</v>
      </c>
      <c r="CL81" s="173">
        <v>0</v>
      </c>
    </row>
    <row r="82" spans="1:90" outlineLevel="3" x14ac:dyDescent="0.3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3.1460674157303372</v>
      </c>
      <c r="P82" s="174">
        <v>3.1440487648379856</v>
      </c>
      <c r="Q82" s="174">
        <v>2.0186508923516477E-3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3.1460674157303372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3.1460674157303372</v>
      </c>
      <c r="BC82" s="172">
        <v>3.1440487648379856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64</v>
      </c>
      <c r="BT82" s="173">
        <v>0</v>
      </c>
      <c r="BU82" s="237">
        <v>0</v>
      </c>
      <c r="BV82" s="173">
        <v>17</v>
      </c>
      <c r="BW82" s="180">
        <v>3.1460674157303372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3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8.625</v>
      </c>
      <c r="P83" s="174">
        <v>9</v>
      </c>
      <c r="Q83" s="174">
        <v>-0.375</v>
      </c>
      <c r="R83" s="175" t="s">
        <v>473</v>
      </c>
      <c r="S83" s="175">
        <v>0</v>
      </c>
      <c r="T83" s="175">
        <v>0</v>
      </c>
      <c r="U83" s="251">
        <v>6936595.875</v>
      </c>
      <c r="V83" s="172" t="s">
        <v>345</v>
      </c>
      <c r="W83" s="172">
        <v>2913370.2675000001</v>
      </c>
      <c r="X83" s="172">
        <v>0</v>
      </c>
      <c r="Y83" s="172">
        <v>2913370.2675000001</v>
      </c>
      <c r="Z83" s="172">
        <v>2705272.3912499999</v>
      </c>
      <c r="AA83" s="172">
        <v>0</v>
      </c>
      <c r="AB83" s="172">
        <v>2705272.3912499999</v>
      </c>
      <c r="AC83" s="251">
        <v>7238187</v>
      </c>
      <c r="AD83" s="172">
        <v>-301591.125</v>
      </c>
      <c r="AE83" s="172">
        <v>0</v>
      </c>
      <c r="AF83" s="172">
        <v>301591.125</v>
      </c>
      <c r="AG83" s="172">
        <v>0</v>
      </c>
      <c r="AH83" s="252">
        <v>-904773.375</v>
      </c>
      <c r="AI83" s="172">
        <v>0</v>
      </c>
      <c r="AJ83" s="172">
        <v>-804242.8125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6936595.875</v>
      </c>
      <c r="AS83" s="172">
        <v>8.625</v>
      </c>
      <c r="AT83" s="172">
        <v>703712.625</v>
      </c>
      <c r="AU83" s="172">
        <v>0</v>
      </c>
      <c r="AV83" s="172">
        <v>-804242.8125</v>
      </c>
      <c r="AW83" s="172">
        <v>-100530.1875</v>
      </c>
      <c r="AX83" s="172">
        <v>804242.8125</v>
      </c>
      <c r="AY83" s="172">
        <v>0</v>
      </c>
      <c r="AZ83" s="172">
        <v>-804242.8125</v>
      </c>
      <c r="BA83" s="172">
        <v>0</v>
      </c>
      <c r="BB83" s="172">
        <v>8.625</v>
      </c>
      <c r="BC83" s="172">
        <v>9</v>
      </c>
      <c r="BD83" s="172">
        <v>1005303.75</v>
      </c>
      <c r="BE83" s="172">
        <v>0</v>
      </c>
      <c r="BF83" s="172">
        <v>-1105833.9375</v>
      </c>
      <c r="BG83" s="172">
        <v>-100530.1875</v>
      </c>
      <c r="BH83" s="172">
        <v>1105833.9375</v>
      </c>
      <c r="BI83" s="172">
        <v>0</v>
      </c>
      <c r="BJ83" s="172">
        <v>-1105833.9375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-1105833.9375</v>
      </c>
      <c r="BQ83" s="174">
        <v>7.5</v>
      </c>
      <c r="BR83" s="173">
        <v>6031822.5</v>
      </c>
      <c r="BS83" s="179">
        <v>64</v>
      </c>
      <c r="BT83" s="173">
        <v>-301591.125</v>
      </c>
      <c r="BU83" s="237">
        <v>804243</v>
      </c>
      <c r="BV83" s="173">
        <v>38</v>
      </c>
      <c r="BW83" s="180">
        <v>8.625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-603182.25</v>
      </c>
      <c r="CH83" s="172">
        <v>0</v>
      </c>
      <c r="CI83" s="172">
        <v>-1105833.9375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3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7277225.9375</v>
      </c>
      <c r="V84" s="186"/>
      <c r="W84" s="186">
        <v>2913370.2675000001</v>
      </c>
      <c r="X84" s="186">
        <v>0</v>
      </c>
      <c r="Y84" s="186">
        <v>2913370.2675000001</v>
      </c>
      <c r="Z84" s="186">
        <v>2705272.3912499999</v>
      </c>
      <c r="AA84" s="186">
        <v>0</v>
      </c>
      <c r="AB84" s="186">
        <v>2705272.3912499999</v>
      </c>
      <c r="AC84" s="254">
        <v>7578817.0625</v>
      </c>
      <c r="AD84" s="186">
        <v>-301591.125</v>
      </c>
      <c r="AE84" s="186">
        <v>0</v>
      </c>
      <c r="AF84" s="186">
        <v>301591.125</v>
      </c>
      <c r="AG84" s="186">
        <v>0</v>
      </c>
      <c r="AH84" s="255">
        <v>-949691.625</v>
      </c>
      <c r="AI84" s="186">
        <v>0</v>
      </c>
      <c r="AJ84" s="186">
        <v>-793012.625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722428.5625</v>
      </c>
      <c r="AU84" s="186">
        <v>0</v>
      </c>
      <c r="AV84" s="186">
        <v>-793012.625</v>
      </c>
      <c r="AW84" s="186">
        <v>-70584.0625</v>
      </c>
      <c r="AX84" s="186">
        <v>793012.625</v>
      </c>
      <c r="AY84" s="186">
        <v>0</v>
      </c>
      <c r="AZ84" s="186">
        <v>-793012.625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3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-191227.664359366</v>
      </c>
      <c r="AW85" s="172">
        <v>-191227.664359366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-191227.664359366</v>
      </c>
      <c r="BG85" s="172">
        <v>-191227.664359366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72</v>
      </c>
      <c r="BT85" s="173">
        <v>0</v>
      </c>
      <c r="BU85" s="237">
        <v>0</v>
      </c>
      <c r="BV85" s="173">
        <v>269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3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-191227.664359366</v>
      </c>
      <c r="AW86" s="186">
        <v>-191227.664359366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3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67</v>
      </c>
      <c r="BT87" s="173">
        <v>0</v>
      </c>
      <c r="BU87" s="237">
        <v>0</v>
      </c>
      <c r="BV87" s="173">
        <v>125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3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67</v>
      </c>
      <c r="BT88" s="173">
        <v>0</v>
      </c>
      <c r="BU88" s="237">
        <v>0</v>
      </c>
      <c r="BV88" s="173">
        <v>129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3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3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246331311.60748389</v>
      </c>
      <c r="V90" s="197"/>
      <c r="W90" s="197">
        <v>2913370.2675000001</v>
      </c>
      <c r="X90" s="197">
        <v>0</v>
      </c>
      <c r="Y90" s="197">
        <v>2913370.2675000001</v>
      </c>
      <c r="Z90" s="197">
        <v>2705272.3912499999</v>
      </c>
      <c r="AA90" s="197">
        <v>0</v>
      </c>
      <c r="AB90" s="197">
        <v>2705272.3912499999</v>
      </c>
      <c r="AC90" s="257">
        <v>246632902.73248389</v>
      </c>
      <c r="AD90" s="197">
        <v>-301591.125</v>
      </c>
      <c r="AE90" s="197">
        <v>0</v>
      </c>
      <c r="AF90" s="197">
        <v>301591.125</v>
      </c>
      <c r="AG90" s="197">
        <v>0</v>
      </c>
      <c r="AH90" s="258">
        <v>-938798.77653911314</v>
      </c>
      <c r="AI90" s="197">
        <v>0</v>
      </c>
      <c r="AJ90" s="197">
        <v>-984240.28935936606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722428.5625</v>
      </c>
      <c r="AU90" s="197">
        <v>0</v>
      </c>
      <c r="AV90" s="197">
        <v>-984240.28935936606</v>
      </c>
      <c r="AW90" s="197">
        <v>-261811.726859366</v>
      </c>
      <c r="AX90" s="197">
        <v>984240.28935936629</v>
      </c>
      <c r="AY90" s="197">
        <v>0</v>
      </c>
      <c r="AZ90" s="197">
        <v>-984240.28935936606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983819.01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3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523168062.10613942</v>
      </c>
      <c r="V91" s="186"/>
      <c r="W91" s="186">
        <v>16014395.391832897</v>
      </c>
      <c r="X91" s="186">
        <v>0</v>
      </c>
      <c r="Y91" s="186">
        <v>16014395.391832897</v>
      </c>
      <c r="Z91" s="186">
        <v>3378806.2034164499</v>
      </c>
      <c r="AA91" s="186">
        <v>0</v>
      </c>
      <c r="AB91" s="186">
        <v>3378806.2034164499</v>
      </c>
      <c r="AC91" s="254">
        <v>529746690.45182765</v>
      </c>
      <c r="AD91" s="186">
        <v>-6578628.3456882276</v>
      </c>
      <c r="AE91" s="186">
        <v>0</v>
      </c>
      <c r="AF91" s="186">
        <v>6578628.3456882276</v>
      </c>
      <c r="AG91" s="186">
        <v>0</v>
      </c>
      <c r="AH91" s="255">
        <v>-134557769.78822401</v>
      </c>
      <c r="AI91" s="186">
        <v>0</v>
      </c>
      <c r="AJ91" s="186">
        <v>193266311.03996557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-45626827.190168239</v>
      </c>
      <c r="AU91" s="186">
        <v>0</v>
      </c>
      <c r="AV91" s="186">
        <v>193266311.03996557</v>
      </c>
      <c r="AW91" s="186">
        <v>147639483.84979734</v>
      </c>
      <c r="AX91" s="186">
        <v>-193264938.36920914</v>
      </c>
      <c r="AY91" s="186">
        <v>-1372.6707564118635</v>
      </c>
      <c r="AZ91" s="186">
        <v>193266311.03996557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-19657986.604651161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5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523168062.10613942</v>
      </c>
      <c r="V92" s="213"/>
      <c r="W92" s="213">
        <v>16014395.391832897</v>
      </c>
      <c r="X92" s="213">
        <v>0</v>
      </c>
      <c r="Y92" s="213">
        <v>16014395.391832897</v>
      </c>
      <c r="Z92" s="213">
        <v>3378806.2034164499</v>
      </c>
      <c r="AA92" s="213">
        <v>0</v>
      </c>
      <c r="AB92" s="213">
        <v>3378806.2034164499</v>
      </c>
      <c r="AC92" s="260">
        <v>529746690.45182765</v>
      </c>
      <c r="AD92" s="213">
        <v>-6578628.3456882276</v>
      </c>
      <c r="AE92" s="213">
        <v>0</v>
      </c>
      <c r="AF92" s="213">
        <v>6578628.3456882276</v>
      </c>
      <c r="AG92" s="213">
        <v>0</v>
      </c>
      <c r="AH92" s="261">
        <v>-134557769.78822401</v>
      </c>
      <c r="AI92" s="213">
        <v>0</v>
      </c>
      <c r="AJ92" s="213">
        <v>193266311.03996557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-45626827.190168239</v>
      </c>
      <c r="AU92" s="213">
        <v>0</v>
      </c>
      <c r="AV92" s="213">
        <v>193266311.03996557</v>
      </c>
      <c r="AW92" s="213">
        <v>147639483.84979734</v>
      </c>
      <c r="AX92" s="213">
        <v>-193264938.36920914</v>
      </c>
      <c r="AY92" s="213">
        <v>-1372.6707564118635</v>
      </c>
      <c r="AZ92" s="213">
        <v>193266311.03996557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-19657986.604651161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2023-09-10T15:43:10Z</dcterms:modified>
</cp:coreProperties>
</file>