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0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<sst xmlns="http://schemas.openxmlformats.org/spreadsheetml/2006/main" count="373" uniqueCount="159">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</sst>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36851</v>
      </c>
      <c r="D5" s="82" t="s">
        <v>148</v>
      </c>
      <c r="E5" s="83">
        <f>+C5-1</f>
        <v>36850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-204576849</v>
      </c>
      <c r="D12" s="59">
        <v>0</v>
      </c>
      <c r="E12" s="59">
        <f>+C12-D12</f>
        <v>-204576849</v>
      </c>
      <c r="F12" s="70"/>
    </row>
    <row r="13" spans="1:6" x14ac:dyDescent="0.25">
      <c r="A13" s="68"/>
      <c r="B13" s="69" t="s">
        <v>155</v>
      </c>
      <c r="C13" s="86">
        <f>+C15-C12</f>
        <v>-7872817.1999999881</v>
      </c>
      <c r="D13" s="86">
        <f>+D15-D12</f>
        <v>0</v>
      </c>
      <c r="E13" s="86">
        <f>+E15-E12</f>
        <v>-7872817.1999999881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-212449666.19999999</v>
      </c>
      <c r="D15" s="87">
        <v>0</v>
      </c>
      <c r="E15" s="87">
        <f>+C15-D15</f>
        <v>-212449666.19999999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388748022.9143641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-6907814.6229733229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87407690.251311108</v>
      </c>
      <c r="E4" s="28">
        <f>'Hawaii Summary'!H6</f>
        <v>3954146</v>
      </c>
      <c r="F4" s="45">
        <f>'Hawaii Summary'!I6</f>
        <v>0.15</v>
      </c>
      <c r="G4" s="27">
        <f>'Hawaii Summary'!J6</f>
        <v>53</v>
      </c>
      <c r="H4" s="41">
        <f>'Hawaii Summary'!K6</f>
        <v>3992039.8991666669</v>
      </c>
      <c r="I4" s="41"/>
    </row>
    <row r="6" spans="1:9" x14ac:dyDescent="0.25">
      <c r="A6" t="s">
        <v>75</v>
      </c>
      <c r="B6" s="48">
        <f>'Hawaii Summary'!B11</f>
        <v>8.9380000000000006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75599391.600000009</v>
      </c>
      <c r="C10" s="28">
        <f>B4*B7*'Notional Analysis'!C8</f>
        <v>177622200</v>
      </c>
      <c r="E10" t="s">
        <v>122</v>
      </c>
      <c r="G10" s="20">
        <f>B4*B6*'Notional Analysis'!C8</f>
        <v>75599391.600000009</v>
      </c>
    </row>
    <row r="11" spans="1:9" x14ac:dyDescent="0.25">
      <c r="A11" t="s">
        <v>108</v>
      </c>
      <c r="B11" s="20">
        <f>D4+H4</f>
        <v>91399730.150477782</v>
      </c>
      <c r="C11" s="28">
        <f>B11</f>
        <v>91399730.150477782</v>
      </c>
      <c r="E11" t="s">
        <v>123</v>
      </c>
      <c r="G11" s="54">
        <f>D4+H4</f>
        <v>91399730.150477782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-15800338.550477773</v>
      </c>
    </row>
    <row r="13" spans="1:9" x14ac:dyDescent="0.25">
      <c r="C13" s="28"/>
      <c r="E13" t="s">
        <v>75</v>
      </c>
      <c r="F13" s="20">
        <f>B4*B6*'Notional Analysis'!C8</f>
        <v>75599391.600000009</v>
      </c>
    </row>
    <row r="14" spans="1:9" x14ac:dyDescent="0.25">
      <c r="A14" t="s">
        <v>109</v>
      </c>
      <c r="B14" s="20">
        <f>D4</f>
        <v>87407690.251311108</v>
      </c>
      <c r="C14" s="28">
        <f>B14</f>
        <v>87407690.251311108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75599391.600000009</v>
      </c>
      <c r="C15" s="59">
        <f>C10-E4+C12</f>
        <v>173668054</v>
      </c>
      <c r="F15" s="20"/>
      <c r="G15" s="20">
        <f>-F14+F13</f>
        <v>-102022808.39999999</v>
      </c>
    </row>
    <row r="16" spans="1:9" ht="13.8" thickBot="1" x14ac:dyDescent="0.3">
      <c r="A16" t="s">
        <v>117</v>
      </c>
      <c r="B16" s="20">
        <f>B15-B14</f>
        <v>-11808298.6513111</v>
      </c>
      <c r="C16" s="60">
        <f>C15-C14</f>
        <v>86260363.748688892</v>
      </c>
      <c r="D16" s="61" t="s">
        <v>115</v>
      </c>
      <c r="F16" s="20"/>
      <c r="G16" s="17">
        <f>G12-G15</f>
        <v>86222469.849522218</v>
      </c>
      <c r="H16" s="20">
        <f>C16-G16</f>
        <v>37893.899166673422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98068662.399999991</v>
      </c>
      <c r="C20" s="28"/>
    </row>
    <row r="21" spans="1:3" x14ac:dyDescent="0.25">
      <c r="A21" t="s">
        <v>116</v>
      </c>
      <c r="B21" s="20">
        <f>-B14+B15-B19+B20</f>
        <v>86260363.748688892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36851</v>
      </c>
      <c r="J1" s="1" t="s">
        <v>86</v>
      </c>
    </row>
    <row r="2" spans="1:15" x14ac:dyDescent="0.25">
      <c r="D2" t="s">
        <v>87</v>
      </c>
      <c r="E2" s="27">
        <f>H1-H2</f>
        <v>24</v>
      </c>
      <c r="F2"/>
      <c r="G2" s="41" t="s">
        <v>99</v>
      </c>
      <c r="H2" s="25">
        <f>VLOOKUP(H1,C_Debt,1)</f>
        <v>36827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152350.1571666667</v>
      </c>
      <c r="F4" s="41">
        <f>VLOOKUP($H$1+30,C_Debt,5)</f>
        <v>190437.69645833338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9003.5499999999993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29263845.157166667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909358.55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29263845.157166667</v>
      </c>
      <c r="E4" s="28">
        <f>'Hawaii Summary'!H7</f>
        <v>900355</v>
      </c>
      <c r="F4" s="45">
        <f>'Hawaii Summary'!I7</f>
        <v>0.15</v>
      </c>
      <c r="G4" s="27">
        <f>'Hawaii Summary'!J7</f>
        <v>85</v>
      </c>
      <c r="H4" s="28">
        <f>'Hawaii Summary'!K7</f>
        <v>909358.55</v>
      </c>
      <c r="I4" s="41"/>
    </row>
    <row r="6" spans="1:9" x14ac:dyDescent="0.25">
      <c r="A6" t="s">
        <v>75</v>
      </c>
      <c r="B6" s="48">
        <f>'Hawaii Summary'!B11</f>
        <v>8.9380000000000006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24945958</v>
      </c>
      <c r="C10" s="28">
        <f>B4*B7*'Notional Analysis'!C8</f>
        <v>58611000</v>
      </c>
      <c r="E10" t="s">
        <v>122</v>
      </c>
      <c r="G10" s="20">
        <f>B4*B6*'Notional Analysis'!C8</f>
        <v>24945958</v>
      </c>
    </row>
    <row r="11" spans="1:9" x14ac:dyDescent="0.25">
      <c r="A11" t="s">
        <v>108</v>
      </c>
      <c r="B11" s="20">
        <f>D4+H4</f>
        <v>30173203.707166668</v>
      </c>
      <c r="C11" s="28">
        <f>B11</f>
        <v>30173203.707166668</v>
      </c>
      <c r="E11" t="s">
        <v>123</v>
      </c>
      <c r="G11" s="54">
        <f>D4+H4</f>
        <v>30173203.707166668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-5227245.707166668</v>
      </c>
    </row>
    <row r="13" spans="1:9" x14ac:dyDescent="0.25">
      <c r="C13" s="28"/>
      <c r="E13" t="s">
        <v>75</v>
      </c>
      <c r="F13" s="20">
        <f>B4*B6*'Notional Analysis'!C8</f>
        <v>24945958</v>
      </c>
    </row>
    <row r="14" spans="1:9" x14ac:dyDescent="0.25">
      <c r="A14" t="s">
        <v>109</v>
      </c>
      <c r="B14" s="20">
        <f>D4</f>
        <v>29263845.157166667</v>
      </c>
      <c r="C14" s="28">
        <f>B14</f>
        <v>29263845.157166667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24945958</v>
      </c>
      <c r="C15" s="59">
        <f>C10-E4+C12</f>
        <v>57710645</v>
      </c>
      <c r="F15" s="20"/>
      <c r="G15" s="20">
        <f>-F14+F13</f>
        <v>-33665042</v>
      </c>
    </row>
    <row r="16" spans="1:9" ht="13.8" thickBot="1" x14ac:dyDescent="0.3">
      <c r="A16" t="s">
        <v>117</v>
      </c>
      <c r="B16" s="20">
        <f>B15-B14</f>
        <v>-4317887.1571666673</v>
      </c>
      <c r="C16" s="60">
        <f>C15-C14</f>
        <v>28446799.842833333</v>
      </c>
      <c r="D16" s="61" t="s">
        <v>115</v>
      </c>
      <c r="F16" s="20"/>
      <c r="G16" s="17">
        <f>G12-G15</f>
        <v>28437796.292833332</v>
      </c>
      <c r="H16" s="20">
        <f>C16-G16</f>
        <v>9003.5500000007451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32764687</v>
      </c>
      <c r="C20" s="28"/>
      <c r="F20" s="20"/>
    </row>
    <row r="21" spans="1:6" x14ac:dyDescent="0.25">
      <c r="A21" t="s">
        <v>116</v>
      </c>
      <c r="B21" s="20">
        <f>-B14+B15-B19+B20</f>
        <v>28446799.842833333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9" sqref="B9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36851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8.9380000000000006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36851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215564896.40000001</v>
      </c>
      <c r="D14" t="s">
        <v>6</v>
      </c>
      <c r="E14" s="27">
        <f>'50 NP'!J3</f>
        <v>50625000</v>
      </c>
    </row>
    <row r="15" spans="1:6" x14ac:dyDescent="0.25">
      <c r="A15" s="2" t="s">
        <v>8</v>
      </c>
      <c r="B15" s="27">
        <f>'50 NR'!K3</f>
        <v>10623511.666666666</v>
      </c>
      <c r="D15" t="s">
        <v>69</v>
      </c>
      <c r="E15" s="27">
        <f>'Hawaii Summary'!C18</f>
        <v>212449666.19999999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21556.489640000003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-36907814.622973323</v>
      </c>
    </row>
    <row r="19" spans="1:6" ht="13.8" thickBot="1" x14ac:dyDescent="0.3">
      <c r="B19" s="13">
        <f>SUM(B13:B18)</f>
        <v>256188408.06666666</v>
      </c>
      <c r="E19" s="35">
        <f>SUM(E13:E18)</f>
        <v>256188408.06666666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-290908903.59999996</v>
      </c>
    </row>
    <row r="27" spans="1:6" x14ac:dyDescent="0.25">
      <c r="A27" t="s">
        <v>71</v>
      </c>
      <c r="C27" s="27">
        <f>IF(B16&lt;&gt;0,B16,-E15)</f>
        <v>-212449666.19999999</v>
      </c>
    </row>
    <row r="28" spans="1:6" x14ac:dyDescent="0.25">
      <c r="A28" t="s">
        <v>56</v>
      </c>
      <c r="C28" s="36">
        <f>'50 NR'!K4-'258 NP'!J4-'50 NP'!J4</f>
        <v>-502488.33333333331</v>
      </c>
    </row>
    <row r="29" spans="1:6" x14ac:dyDescent="0.25">
      <c r="A29" t="s">
        <v>59</v>
      </c>
      <c r="C29" s="27">
        <f>C25+C26+C27+C28</f>
        <v>-6886258.1333332853</v>
      </c>
    </row>
    <row r="30" spans="1:6" x14ac:dyDescent="0.25">
      <c r="A30" t="s">
        <v>57</v>
      </c>
      <c r="C30" s="27">
        <f>E18</f>
        <v>-36907814.622973323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21556.489640000003</v>
      </c>
    </row>
    <row r="33" spans="1:4" x14ac:dyDescent="0.25">
      <c r="A33" t="s">
        <v>62</v>
      </c>
      <c r="C33" s="27">
        <f>C29-C30-C31-C32</f>
        <v>3.8457073969766498E-8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256188408.06666666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50625000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21556.489640000003</v>
      </c>
    </row>
    <row r="41" spans="1:4" x14ac:dyDescent="0.25">
      <c r="A41" t="s">
        <v>140</v>
      </c>
      <c r="C41" s="36">
        <f>E15-B16</f>
        <v>212449666.19999999</v>
      </c>
    </row>
    <row r="42" spans="1:4" ht="13.8" thickBot="1" x14ac:dyDescent="0.3">
      <c r="C42" s="35">
        <f>C36-SUM(C38:C41)</f>
        <v>-6907814.6229733229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256188408.06666666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30021556.489640001</v>
      </c>
    </row>
    <row r="48" spans="1:4" x14ac:dyDescent="0.25">
      <c r="A48" t="s">
        <v>16</v>
      </c>
      <c r="C48" s="5">
        <f>C45+C46-C47</f>
        <v>227166851.57702667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6860438.9176262058</v>
      </c>
    </row>
    <row r="51" spans="1:3" x14ac:dyDescent="0.25">
      <c r="A51" t="s">
        <v>19</v>
      </c>
      <c r="C51" s="14">
        <f>+C47</f>
        <v>30021556.489640001</v>
      </c>
    </row>
    <row r="52" spans="1:3" x14ac:dyDescent="0.25">
      <c r="A52" t="s">
        <v>20</v>
      </c>
      <c r="C52" s="12">
        <f>C51-C50</f>
        <v>23161117.572013795</v>
      </c>
    </row>
    <row r="53" spans="1:3" x14ac:dyDescent="0.25">
      <c r="A53" s="9" t="s">
        <v>21</v>
      </c>
      <c r="B53" s="10"/>
      <c r="C53" s="11">
        <f>C52/C49</f>
        <v>766924422.9143641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388748022.9143641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36851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122511.66666666669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60</v>
      </c>
      <c r="K3" s="17">
        <f>K1+K2</f>
        <v>10623511.666666666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122511.66666666669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36851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60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36851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625000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60</v>
      </c>
      <c r="J3" s="17">
        <f>J1+J2</f>
        <v>50625000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625000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36851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18106283.755208332</v>
      </c>
      <c r="H5" s="28">
        <v>1976250</v>
      </c>
      <c r="I5" s="45">
        <v>0.15</v>
      </c>
      <c r="J5" s="27">
        <f>B2-B5</f>
        <v>235</v>
      </c>
      <c r="K5">
        <f>'A Amort'!N5</f>
        <v>1993542.1875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87407690.251311108</v>
      </c>
      <c r="H6" s="28">
        <v>3954146</v>
      </c>
      <c r="I6" s="45">
        <v>0.15</v>
      </c>
      <c r="J6" s="27">
        <f>B2-B6</f>
        <v>53</v>
      </c>
      <c r="K6" s="41">
        <f>'B_D Amort'!N5</f>
        <v>3992039.8991666669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29263845.157166667</v>
      </c>
      <c r="H7" s="28">
        <v>900355</v>
      </c>
      <c r="I7" s="45">
        <v>0.15</v>
      </c>
      <c r="J7" s="27">
        <f>B2-B7</f>
        <v>85</v>
      </c>
      <c r="K7" s="41">
        <f>'C Amort'!N5</f>
        <v>909358.55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134777819.1636861</v>
      </c>
      <c r="H8" s="35">
        <f>SUM(H5:H7)</f>
        <v>6830751</v>
      </c>
      <c r="K8" s="35">
        <f>SUM(K5:K7)</f>
        <v>6894940.6366666667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8.9380000000000006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81616316.799999997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98068662.399999991</v>
      </c>
    </row>
    <row r="17" spans="1:3" x14ac:dyDescent="0.25">
      <c r="A17" t="s">
        <v>80</v>
      </c>
      <c r="B17" s="28">
        <f>'C TRS'!B19</f>
        <v>0</v>
      </c>
      <c r="C17" s="28">
        <f>'C TRS'!B20</f>
        <v>32764687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212449666.19999999</v>
      </c>
    </row>
    <row r="19" spans="1:3" ht="13.8" thickTop="1" x14ac:dyDescent="0.25"/>
  </sheetData>
  <sheetProtection sheet="1" objects="1" scenarios="1"/>
  <mergeCells count="1">
    <mergeCell ref="A13:D13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36851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21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82533.755208333343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17292.1875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18106283.755208332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1993542.1875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18106283.755208332</v>
      </c>
      <c r="E4" s="28">
        <f>'Hawaii Summary'!H5</f>
        <v>1976250</v>
      </c>
      <c r="F4" s="45">
        <f>'Hawaii Summary'!I5</f>
        <v>0.15</v>
      </c>
      <c r="G4" s="28">
        <f>'Hawaii Summary'!J5</f>
        <v>235</v>
      </c>
      <c r="H4" s="28">
        <f>'Hawaii Summary'!K5</f>
        <v>1993542.1875</v>
      </c>
      <c r="I4" s="41"/>
    </row>
    <row r="6" spans="1:9" x14ac:dyDescent="0.25">
      <c r="A6" t="s">
        <v>75</v>
      </c>
      <c r="B6" s="48">
        <f>'Hawaii Summary'!B11</f>
        <v>8.9380000000000006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60478083.200000003</v>
      </c>
      <c r="C10" s="28">
        <f>B4*B7*'Notional Analysis'!C8</f>
        <v>142094400</v>
      </c>
      <c r="E10" t="s">
        <v>122</v>
      </c>
      <c r="G10" s="20">
        <f>B4*B6*'Notional Analysis'!C8</f>
        <v>60478083.200000003</v>
      </c>
    </row>
    <row r="11" spans="1:9" x14ac:dyDescent="0.25">
      <c r="A11" t="s">
        <v>108</v>
      </c>
      <c r="B11" s="20">
        <f>D4+H4</f>
        <v>20099825.942708332</v>
      </c>
      <c r="C11" s="28">
        <f>B11</f>
        <v>20099825.942708332</v>
      </c>
      <c r="E11" t="s">
        <v>123</v>
      </c>
      <c r="G11" s="54">
        <f>D4+H4</f>
        <v>20099825.942708332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40378257.257291675</v>
      </c>
    </row>
    <row r="13" spans="1:9" x14ac:dyDescent="0.25">
      <c r="C13" s="28"/>
      <c r="E13" t="s">
        <v>75</v>
      </c>
      <c r="F13" s="20">
        <f>B4*B6*'Notional Analysis'!C8</f>
        <v>60478083.200000003</v>
      </c>
    </row>
    <row r="14" spans="1:9" x14ac:dyDescent="0.25">
      <c r="A14" t="s">
        <v>109</v>
      </c>
      <c r="B14" s="20">
        <f>D4</f>
        <v>18106283.755208332</v>
      </c>
      <c r="C14" s="28">
        <f>B14</f>
        <v>18106283.755208332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58501833.200000003</v>
      </c>
      <c r="C15" s="59">
        <f>C10-E4+C12</f>
        <v>140118150</v>
      </c>
      <c r="F15" s="20"/>
      <c r="G15" s="20">
        <f>-F14+F13</f>
        <v>-81616316.799999997</v>
      </c>
    </row>
    <row r="16" spans="1:9" ht="13.8" thickBot="1" x14ac:dyDescent="0.3">
      <c r="A16" t="s">
        <v>117</v>
      </c>
      <c r="B16" s="20">
        <f>B15-B14</f>
        <v>40395549.444791675</v>
      </c>
      <c r="C16" s="60">
        <f>C15-C14</f>
        <v>122011866.24479167</v>
      </c>
      <c r="D16" s="61" t="s">
        <v>115</v>
      </c>
      <c r="F16" s="20"/>
      <c r="G16" s="17">
        <f>G12-G15</f>
        <v>121994574.05729167</v>
      </c>
      <c r="H16" s="20">
        <f>C16-G16</f>
        <v>17292.1875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81616316.799999997</v>
      </c>
      <c r="C20" s="28"/>
    </row>
    <row r="21" spans="1:3" x14ac:dyDescent="0.25">
      <c r="A21" t="s">
        <v>116</v>
      </c>
      <c r="B21" s="20">
        <f>B16-B19+B20</f>
        <v>122011866.24479167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36851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23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436186.25131111121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37893.89916666667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87407690.251311108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3992039.8991666669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2023-09-10T15:43:13Z</dcterms:modified>
</cp:coreProperties>
</file>