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externalReferences>
    <externalReference r:id="rId7"/>
  </externalReference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B54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<sst xmlns="http://schemas.openxmlformats.org/spreadsheetml/2006/main" count="281" uniqueCount="207">
  <si>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</si>
  <si>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</si>
  <si>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</si>
  <si>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</si>
  <si>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</si>
  <si>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</si>
  <si>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</si>
  <si>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</si>
  <si>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</si>
  <si>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</si>
  <si>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</si>
  <si>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</si>
  <si>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</si>
  <si>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</si>
  <si>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</si>
  <si>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</si>
  <si>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</si>
  <si>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</si>
  <si>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</si>
  <si>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</si>
  <si>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</si>
  <si>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</si>
  <si>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</si>
  <si>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</si>
  <si>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</si>
  <si>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</si>
  <si>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</si>
  <si>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</si>
  <si>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</si>
  <si>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</si>
  <si>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</si>
  <si>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</si>
  <si>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</si>
  <si>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</si>
  <si>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</si>
  <si>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</si>
  <si>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</si>
  <si>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</si>
  <si>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</si>
  <si>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</si>
  <si>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</si>
  <si>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</si>
  <si>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</si>
  <si>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</si>
  <si>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</si>
  <si>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</si>
  <si>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</si>
  <si>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</si>
  <si>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</si>
  <si>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</si>
  <si>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</si>
  <si>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</si>
  <si>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</si>
  <si>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</si>
  <si>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</si>
  <si>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</si>
  <si>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</si>
  <si>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</si>
  <si>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</si>
  <si>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</si>
  <si>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</si>
  <si>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</si>
  <si>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</si>
  <si>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</si>
  <si>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</si>
  <si>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</si>
  <si>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</si>
  <si>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</si>
  <si>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</si>
  <si>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</si>
  <si>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</si>
  <si>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</si>
  <si>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</si>
  <si>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</si>
  <si>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</si>
  <si>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</si>
  <si>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</si>
  <si>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</si>
  <si>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</si>
  <si>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</si>
  <si>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</si>
  <si>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</si>
  <si>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</si>
  <si>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</si>
  <si>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</si>
  <si>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</si>
  <si>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</si>
  <si>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</si>
  <si>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</si>
  <si>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</si>
  <si>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</si>
  <si>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</si>
  <si>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</si>
  <si>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</si>
  <si>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</si>
  <si>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</si>
  <si>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</si>
  <si>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</si>
  <si>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</si>
  <si>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</si>
  <si>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</si>
  <si>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</si>
  <si>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</si>
  <si>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</si>
  <si>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</si>
  <si>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</si>
  <si>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</si>
  <si>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</si>
  <si>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</si>
  <si>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</si>
  <si>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</si>
  <si>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</si>
  <si>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</si>
  <si>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</si>
  <si>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</si>
  <si>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</si>
  <si>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</si>
  <si>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</si>
  <si>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</si>
  <si>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</si>
  <si>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</si>
  <si>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</si>
  <si>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</si>
  <si>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</si>
  <si>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</si>
  <si>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</si>
  <si>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</si>
  <si>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</si>
  <si>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</si>
  <si>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</si>
  <si>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</si>
  <si>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</si>
  <si>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</si>
  <si>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</si>
  <si>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</si>
  <si>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</si>
  <si>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</si>
  <si>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</si>
  <si>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</si>
  <si>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</si>
  <si>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</si>
  <si>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</si>
  <si>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</si>
  <si>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</si>
  <si>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</si>
  <si>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</si>
  <si>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</si>
  <si>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</si>
  <si>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</si>
  <si>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</si>
  <si>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</si>
  <si>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</si>
  <si>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</si>
  <si>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</si>
  <si>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</si>
  <si>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</si>
  <si>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</si>
  <si>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</si>
  <si>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</si>
  <si>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</si>
  <si>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</si>
  <si>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</si>
  <si>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</si>
  <si>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</si>
  <si>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</si>
  <si>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</si>
  <si>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</si>
  <si>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</si>
  <si>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</si>
  <si>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</si>
  <si>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</si>
  <si>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</si>
  <si>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</si>
  <si>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</si>
  <si>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</si>
  <si>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</si>
  <si>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</si>
  <si>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</si>
  <si>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</si>
  <si>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</si>
  <si>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</si>
  <si>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</si>
  <si>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</si>
  <si>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</si>
  <si>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</si>
  <si>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</si>
  <si>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</si>
  <si>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</si>
  <si>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</si>
  <si>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</si>
  <si>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</si>
  <si>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</si>
  <si>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</si>
  <si>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</si>
  <si>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</si>
  <si>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</si>
  <si>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</si>
  <si>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</si>
  <si>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</si>
  <si>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</si>
  <si>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 xml:space="preserve">          ENE share gain (loss) from $68.75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</si>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</sst>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E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"/>
    </sheetNames>
    <sheetDataSet>
      <sheetData sheetId="0">
        <row r="8">
          <cell r="D8">
            <v>70.25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6" t="s">
        <v>201</v>
      </c>
      <c r="C2" s="156"/>
      <c r="D2" s="156"/>
      <c r="E2" s="156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36859</v>
      </c>
      <c r="D5" s="67" t="s">
        <v>18</v>
      </c>
      <c r="E5" s="68">
        <f>+C5-1</f>
        <v>36858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IF(+Financials!P26=0,"No Capacity Available",+Financials!P26)</f>
        <v>109557502.50321572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214854227.91613889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2" customWidth="1"/>
    <col min="3" max="3" width="10.8984375" style="152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7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3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3">
      <c r="A4" s="132" t="s">
        <v>204</v>
      </c>
      <c r="J4" s="4"/>
      <c r="L4" s="4"/>
      <c r="M4" s="4"/>
      <c r="N4" s="5"/>
      <c r="P4" s="4"/>
      <c r="Q4" s="4"/>
      <c r="R4" s="140"/>
      <c r="S4" s="133"/>
    </row>
    <row r="5" spans="1:19" x14ac:dyDescent="0.3">
      <c r="A5" s="132" t="s">
        <v>206</v>
      </c>
      <c r="J5" s="4"/>
      <c r="L5" s="4"/>
      <c r="M5" s="4"/>
      <c r="N5" s="5"/>
      <c r="P5" s="4"/>
      <c r="Q5" s="4"/>
      <c r="R5" s="140"/>
      <c r="S5" s="133"/>
    </row>
    <row r="6" spans="1:19" x14ac:dyDescent="0.3">
      <c r="A6" s="132" t="s">
        <v>205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36859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3">
      <c r="A7" t="s">
        <v>199</v>
      </c>
    </row>
    <row r="8" spans="1:19" ht="16.2" thickBot="1" x14ac:dyDescent="0.35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8"/>
    </row>
    <row r="12" spans="1:19" x14ac:dyDescent="0.3">
      <c r="S12" s="139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A54" sqref="A54:B54"/>
    </sheetView>
  </sheetViews>
  <sheetFormatPr defaultRowHeight="15.6" x14ac:dyDescent="0.3"/>
  <cols>
    <col min="1" max="1" width="10" style="1" bestFit="1" customWidth="1"/>
    <col min="2" max="2" width="9.69921875" style="128" bestFit="1" customWidth="1"/>
  </cols>
  <sheetData>
    <row r="1" spans="1:2" x14ac:dyDescent="0.3">
      <c r="A1" s="148" t="s">
        <v>157</v>
      </c>
      <c r="B1" s="125"/>
    </row>
    <row r="2" spans="1:2" x14ac:dyDescent="0.3">
      <c r="B2" s="126"/>
    </row>
    <row r="3" spans="1:2" x14ac:dyDescent="0.3">
      <c r="A3" s="161" t="s">
        <v>4</v>
      </c>
      <c r="B3" s="162"/>
    </row>
    <row r="4" spans="1:2" x14ac:dyDescent="0.3">
      <c r="A4" s="149" t="s">
        <v>1</v>
      </c>
      <c r="B4" s="127" t="s">
        <v>12</v>
      </c>
    </row>
    <row r="5" spans="1:2" x14ac:dyDescent="0.3">
      <c r="A5" s="1">
        <v>36789</v>
      </c>
      <c r="B5" s="128">
        <v>82.171999999999997</v>
      </c>
    </row>
    <row r="6" spans="1:2" x14ac:dyDescent="0.3">
      <c r="A6" s="1">
        <v>36790</v>
      </c>
      <c r="B6" s="128">
        <v>80.75</v>
      </c>
    </row>
    <row r="7" spans="1:2" x14ac:dyDescent="0.3">
      <c r="A7" s="1">
        <v>36791</v>
      </c>
      <c r="B7" s="128">
        <v>83</v>
      </c>
    </row>
    <row r="8" spans="1:2" x14ac:dyDescent="0.3">
      <c r="A8" s="1">
        <v>36794</v>
      </c>
      <c r="B8" s="128">
        <v>84.438000000000002</v>
      </c>
    </row>
    <row r="9" spans="1:2" x14ac:dyDescent="0.3">
      <c r="A9" s="1">
        <v>36795</v>
      </c>
      <c r="B9" s="128">
        <v>85.5</v>
      </c>
    </row>
    <row r="10" spans="1:2" x14ac:dyDescent="0.3">
      <c r="A10" s="1">
        <v>36796</v>
      </c>
      <c r="B10" s="128">
        <v>87.453000000000003</v>
      </c>
    </row>
    <row r="11" spans="1:2" x14ac:dyDescent="0.3">
      <c r="A11" s="1">
        <v>36797</v>
      </c>
      <c r="B11" s="128">
        <v>89.25</v>
      </c>
    </row>
    <row r="12" spans="1:2" x14ac:dyDescent="0.3">
      <c r="A12" s="1">
        <v>36798</v>
      </c>
      <c r="B12" s="128">
        <v>87.641000000000005</v>
      </c>
    </row>
    <row r="13" spans="1:2" x14ac:dyDescent="0.3">
      <c r="A13" s="1">
        <v>36801</v>
      </c>
      <c r="B13" s="128">
        <v>86.438000000000002</v>
      </c>
    </row>
    <row r="14" spans="1:2" x14ac:dyDescent="0.3">
      <c r="A14" s="1">
        <v>36802</v>
      </c>
      <c r="B14" s="128">
        <v>85.563000000000002</v>
      </c>
    </row>
    <row r="15" spans="1:2" x14ac:dyDescent="0.3">
      <c r="A15" s="1">
        <v>36803</v>
      </c>
      <c r="B15" s="128">
        <v>83.063000000000002</v>
      </c>
    </row>
    <row r="16" spans="1:2" x14ac:dyDescent="0.3">
      <c r="A16" s="1">
        <v>36804</v>
      </c>
      <c r="B16" s="128">
        <v>83</v>
      </c>
    </row>
    <row r="17" spans="1:2" x14ac:dyDescent="0.3">
      <c r="A17" s="1">
        <v>36805</v>
      </c>
      <c r="B17" s="128">
        <v>81.625</v>
      </c>
    </row>
    <row r="18" spans="1:2" x14ac:dyDescent="0.3">
      <c r="A18" s="1">
        <v>36808</v>
      </c>
      <c r="B18" s="128">
        <v>83</v>
      </c>
    </row>
    <row r="19" spans="1:2" x14ac:dyDescent="0.3">
      <c r="A19" s="1">
        <v>36809</v>
      </c>
      <c r="B19" s="128">
        <v>81.688000000000002</v>
      </c>
    </row>
    <row r="20" spans="1:2" x14ac:dyDescent="0.3">
      <c r="A20" s="1">
        <v>36810</v>
      </c>
      <c r="B20" s="128">
        <v>82.813000000000002</v>
      </c>
    </row>
    <row r="21" spans="1:2" x14ac:dyDescent="0.3">
      <c r="A21" s="1">
        <v>36811</v>
      </c>
      <c r="B21" s="128">
        <v>79.875</v>
      </c>
    </row>
    <row r="22" spans="1:2" x14ac:dyDescent="0.3">
      <c r="A22" s="1">
        <v>36812</v>
      </c>
      <c r="B22" s="128">
        <v>79.5</v>
      </c>
    </row>
    <row r="23" spans="1:2" x14ac:dyDescent="0.3">
      <c r="A23" s="147">
        <v>36815</v>
      </c>
      <c r="B23" s="128">
        <v>80</v>
      </c>
    </row>
    <row r="24" spans="1:2" x14ac:dyDescent="0.3">
      <c r="A24" s="147">
        <v>36816</v>
      </c>
      <c r="B24" s="128">
        <v>79.188000000000002</v>
      </c>
    </row>
    <row r="25" spans="1:2" x14ac:dyDescent="0.3">
      <c r="A25" s="147">
        <v>36817</v>
      </c>
      <c r="B25" s="128">
        <v>78.75</v>
      </c>
    </row>
    <row r="26" spans="1:2" x14ac:dyDescent="0.3">
      <c r="A26" s="147">
        <v>36818</v>
      </c>
      <c r="B26" s="128">
        <v>79</v>
      </c>
    </row>
    <row r="27" spans="1:2" x14ac:dyDescent="0.3">
      <c r="A27" s="147">
        <v>36819</v>
      </c>
      <c r="B27" s="128">
        <v>80.5</v>
      </c>
    </row>
    <row r="28" spans="1:2" x14ac:dyDescent="0.3">
      <c r="A28" s="147">
        <v>36822</v>
      </c>
      <c r="B28" s="128">
        <v>82</v>
      </c>
    </row>
    <row r="29" spans="1:2" x14ac:dyDescent="0.3">
      <c r="A29" s="147">
        <v>36823</v>
      </c>
      <c r="B29" s="128">
        <v>80.1875</v>
      </c>
    </row>
    <row r="30" spans="1:2" x14ac:dyDescent="0.3">
      <c r="A30" s="147">
        <v>36824</v>
      </c>
      <c r="B30" s="128">
        <v>76.125</v>
      </c>
    </row>
    <row r="31" spans="1:2" x14ac:dyDescent="0.3">
      <c r="A31" s="147">
        <v>36825</v>
      </c>
      <c r="B31" s="128">
        <v>77.5</v>
      </c>
    </row>
    <row r="32" spans="1:2" x14ac:dyDescent="0.3">
      <c r="A32" s="147">
        <v>36826</v>
      </c>
      <c r="B32" s="128">
        <v>78.875</v>
      </c>
    </row>
    <row r="33" spans="1:2" x14ac:dyDescent="0.3">
      <c r="A33" s="147">
        <v>36829</v>
      </c>
      <c r="B33" s="128">
        <v>80.688000000000002</v>
      </c>
    </row>
    <row r="34" spans="1:2" x14ac:dyDescent="0.3">
      <c r="A34" s="147">
        <v>36830</v>
      </c>
      <c r="B34" s="128">
        <v>82.063000000000002</v>
      </c>
    </row>
    <row r="35" spans="1:2" x14ac:dyDescent="0.3">
      <c r="A35" s="147">
        <v>36831</v>
      </c>
      <c r="B35" s="128">
        <v>83.25</v>
      </c>
    </row>
    <row r="36" spans="1:2" x14ac:dyDescent="0.3">
      <c r="A36" s="147">
        <v>36832</v>
      </c>
      <c r="B36" s="128">
        <v>81.75</v>
      </c>
    </row>
    <row r="37" spans="1:2" x14ac:dyDescent="0.3">
      <c r="A37" s="147">
        <v>36833</v>
      </c>
      <c r="B37" s="128">
        <v>77.375</v>
      </c>
    </row>
    <row r="38" spans="1:2" x14ac:dyDescent="0.3">
      <c r="A38" s="147">
        <v>36836</v>
      </c>
      <c r="B38" s="128">
        <v>81.563000000000002</v>
      </c>
    </row>
    <row r="39" spans="1:2" x14ac:dyDescent="0.3">
      <c r="A39" s="147">
        <v>36837</v>
      </c>
      <c r="B39" s="128">
        <v>81.813000000000002</v>
      </c>
    </row>
    <row r="40" spans="1:2" x14ac:dyDescent="0.3">
      <c r="A40" s="147">
        <v>36838</v>
      </c>
      <c r="B40" s="128">
        <v>82.125</v>
      </c>
    </row>
    <row r="41" spans="1:2" x14ac:dyDescent="0.3">
      <c r="A41" s="147">
        <v>36839</v>
      </c>
      <c r="B41" s="128">
        <v>82.938000000000002</v>
      </c>
    </row>
    <row r="42" spans="1:2" x14ac:dyDescent="0.3">
      <c r="A42" s="147">
        <v>36840</v>
      </c>
      <c r="B42" s="128">
        <f>82+0.9375</f>
        <v>82.9375</v>
      </c>
    </row>
    <row r="43" spans="1:2" x14ac:dyDescent="0.3">
      <c r="A43" s="147">
        <v>36843</v>
      </c>
      <c r="B43" s="128">
        <v>79.438000000000002</v>
      </c>
    </row>
    <row r="44" spans="1:2" x14ac:dyDescent="0.3">
      <c r="A44" s="147">
        <v>36844</v>
      </c>
      <c r="B44" s="128">
        <v>79.563000000000002</v>
      </c>
    </row>
    <row r="45" spans="1:2" x14ac:dyDescent="0.3">
      <c r="A45" s="147">
        <v>36845</v>
      </c>
      <c r="B45" s="128">
        <v>80.375</v>
      </c>
    </row>
    <row r="46" spans="1:2" x14ac:dyDescent="0.3">
      <c r="A46" s="147">
        <v>36846</v>
      </c>
      <c r="B46" s="128">
        <v>81.25</v>
      </c>
    </row>
    <row r="47" spans="1:2" x14ac:dyDescent="0.3">
      <c r="A47" s="147">
        <v>36847</v>
      </c>
      <c r="B47" s="128">
        <v>81.5</v>
      </c>
    </row>
    <row r="48" spans="1:2" x14ac:dyDescent="0.3">
      <c r="A48" s="147">
        <v>36850</v>
      </c>
      <c r="B48" s="128">
        <v>80.25</v>
      </c>
    </row>
    <row r="49" spans="1:2" x14ac:dyDescent="0.3">
      <c r="A49" s="147">
        <v>36851</v>
      </c>
      <c r="B49" s="128">
        <v>80.375</v>
      </c>
    </row>
    <row r="50" spans="1:2" x14ac:dyDescent="0.3">
      <c r="A50" s="147">
        <v>36852</v>
      </c>
      <c r="B50" s="128">
        <v>75.563000000000002</v>
      </c>
    </row>
    <row r="51" spans="1:2" x14ac:dyDescent="0.3">
      <c r="A51" s="147">
        <v>36854</v>
      </c>
      <c r="B51" s="128">
        <v>77.75</v>
      </c>
    </row>
    <row r="52" spans="1:2" x14ac:dyDescent="0.3">
      <c r="A52" s="147">
        <v>36857</v>
      </c>
      <c r="B52" s="128">
        <v>78.875</v>
      </c>
    </row>
    <row r="53" spans="1:2" x14ac:dyDescent="0.3">
      <c r="A53" s="147">
        <v>36858</v>
      </c>
      <c r="B53" s="128">
        <v>78.438000000000002</v>
      </c>
    </row>
    <row r="54" spans="1:2" x14ac:dyDescent="0.3">
      <c r="A54" s="147">
        <v>36859</v>
      </c>
      <c r="B54" s="128">
        <f>+[1]ENE!$D$8</f>
        <v>70.25</v>
      </c>
    </row>
    <row r="223" ht="14.25" customHeight="1" x14ac:dyDescent="0.3"/>
    <row r="340" spans="1:2" x14ac:dyDescent="0.3">
      <c r="A340" s="1" t="s">
        <v>163</v>
      </c>
    </row>
    <row r="342" spans="1:2" x14ac:dyDescent="0.3">
      <c r="A342" s="147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7" workbookViewId="0">
      <selection activeCell="B17" sqref="B17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202</v>
      </c>
      <c r="H2" s="164">
        <f>+Summary!C5</f>
        <v>36859</v>
      </c>
      <c r="I2" s="164"/>
      <c r="J2" s="96"/>
      <c r="L2" s="164">
        <f>H2</f>
        <v>36859</v>
      </c>
      <c r="M2" s="164"/>
      <c r="N2" s="164"/>
      <c r="O2" s="164"/>
      <c r="P2" s="164"/>
    </row>
    <row r="3" spans="1:18" ht="16.2" thickBot="1" x14ac:dyDescent="0.35">
      <c r="H3" s="165" t="s">
        <v>97</v>
      </c>
      <c r="I3" s="165"/>
      <c r="J3" s="97"/>
      <c r="L3" s="165" t="s">
        <v>97</v>
      </c>
      <c r="M3" s="165"/>
      <c r="N3" s="165"/>
      <c r="O3" s="165"/>
      <c r="P3" s="165"/>
    </row>
    <row r="4" spans="1:18" x14ac:dyDescent="0.3">
      <c r="A4" s="166" t="s">
        <v>203</v>
      </c>
      <c r="B4" s="166"/>
      <c r="C4" s="166"/>
      <c r="D4" s="166"/>
      <c r="E4" s="166"/>
      <c r="F4" s="166"/>
      <c r="H4" s="119" t="s">
        <v>98</v>
      </c>
      <c r="I4" s="120"/>
      <c r="J4" s="13"/>
    </row>
    <row r="5" spans="1:18" ht="16.2" thickBot="1" x14ac:dyDescent="0.35">
      <c r="A5" s="170" t="s">
        <v>30</v>
      </c>
      <c r="B5" s="170"/>
      <c r="D5" s="170" t="s">
        <v>31</v>
      </c>
      <c r="E5" s="170"/>
      <c r="H5" s="121" t="s">
        <v>99</v>
      </c>
      <c r="I5" s="129">
        <f>+VLOOKUP(+Summary!C5,ene,2)</f>
        <v>70.25</v>
      </c>
      <c r="J5" s="13"/>
      <c r="L5" s="166" t="s">
        <v>119</v>
      </c>
      <c r="M5" s="166"/>
      <c r="N5" s="166"/>
      <c r="O5" s="166"/>
      <c r="P5" s="166"/>
      <c r="Q5" s="97"/>
    </row>
    <row r="6" spans="1:18" x14ac:dyDescent="0.3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36859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7" t="s">
        <v>158</v>
      </c>
      <c r="I7" s="168"/>
      <c r="J7" s="13"/>
      <c r="L7" s="170" t="s">
        <v>30</v>
      </c>
      <c r="M7" s="170"/>
      <c r="O7" s="170" t="s">
        <v>31</v>
      </c>
      <c r="P7" s="170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33452602.426249981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3" t="s">
        <v>101</v>
      </c>
      <c r="I10" s="163"/>
      <c r="J10" s="13"/>
      <c r="L10" s="7" t="s">
        <v>38</v>
      </c>
      <c r="M10" s="7">
        <f>B8+I15</f>
        <v>376118016.9520548</v>
      </c>
      <c r="N10" s="18"/>
      <c r="O10" s="7" t="s">
        <v>117</v>
      </c>
      <c r="P10" s="7">
        <f>IF(I19&gt;0,0,-I19)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36859</v>
      </c>
      <c r="J11" s="13"/>
      <c r="L11" s="7" t="s">
        <v>42</v>
      </c>
      <c r="M11" s="7">
        <f>+Amort!B28</f>
        <v>1487500</v>
      </c>
      <c r="O11" s="7" t="s">
        <v>36</v>
      </c>
      <c r="P11" s="7">
        <f>E7-I16+'Cash-Int-Trans'!B9</f>
        <v>418722622.01011109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31124591.780821919</v>
      </c>
      <c r="Q12" s="109" t="s">
        <v>152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2351602.4262500005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11210905.587371767</v>
      </c>
    </row>
    <row r="14" spans="1:18" ht="16.2" thickBot="1" x14ac:dyDescent="0.3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1487500</v>
      </c>
      <c r="J14" s="13"/>
      <c r="L14" s="91" t="s">
        <v>7</v>
      </c>
      <c r="M14" s="12">
        <f>SUM(M8:M13)</f>
        <v>461058119.37830478</v>
      </c>
      <c r="N14" s="20"/>
      <c r="O14" s="91" t="s">
        <v>7</v>
      </c>
      <c r="P14" s="12">
        <f>SUM(P8:P13)</f>
        <v>461058119.37830478</v>
      </c>
      <c r="Q14" s="108" t="s">
        <v>151</v>
      </c>
    </row>
    <row r="15" spans="1:18" ht="16.2" thickTop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26118016.952054795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-11989033.01011111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52234497.368193686</v>
      </c>
      <c r="L17" s="143" t="s">
        <v>49</v>
      </c>
      <c r="M17" s="143"/>
      <c r="P17" s="7">
        <f>M14</f>
        <v>461058119.37830478</v>
      </c>
      <c r="Q17" s="108" t="s">
        <v>151</v>
      </c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2" thickTop="1" x14ac:dyDescent="0.3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2" thickBot="1" x14ac:dyDescent="0.35">
      <c r="A20" s="171" t="s">
        <v>59</v>
      </c>
      <c r="B20" s="171"/>
      <c r="C20" s="171"/>
      <c r="D20" s="171"/>
      <c r="E20" s="171"/>
      <c r="H20" s="7" t="s">
        <v>116</v>
      </c>
      <c r="I20" s="27">
        <f>+'Daily Position'!M8</f>
        <v>0</v>
      </c>
      <c r="L20" s="7" t="s">
        <v>149</v>
      </c>
      <c r="P20" s="7">
        <f>+P17+P18+P19</f>
        <v>921058119.37830472</v>
      </c>
    </row>
    <row r="21" spans="1:20" x14ac:dyDescent="0.3">
      <c r="A21" s="169" t="s">
        <v>49</v>
      </c>
      <c r="B21" s="169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3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27815955.205224805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52234497.368193686</v>
      </c>
      <c r="J23" s="39" t="s">
        <v>63</v>
      </c>
      <c r="L23" s="7" t="s">
        <v>57</v>
      </c>
      <c r="P23" s="7">
        <f>P12</f>
        <v>31124591.780821919</v>
      </c>
      <c r="Q23" s="109" t="s">
        <v>152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63" t="s">
        <v>102</v>
      </c>
      <c r="I25" s="163"/>
      <c r="J25" s="13"/>
      <c r="L25" s="13" t="s">
        <v>60</v>
      </c>
      <c r="M25" s="13"/>
      <c r="N25" s="13"/>
      <c r="O25" s="13"/>
      <c r="P25" s="13">
        <f>P23-P22</f>
        <v>3308636.5755971149</v>
      </c>
    </row>
    <row r="26" spans="1:20" x14ac:dyDescent="0.3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109557502.50321572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3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3">
      <c r="H31" s="13" t="s">
        <v>145</v>
      </c>
      <c r="I31" s="16">
        <f>I23</f>
        <v>52234497.368193686</v>
      </c>
      <c r="J31" s="39" t="s">
        <v>63</v>
      </c>
      <c r="L31" s="7" t="s">
        <v>72</v>
      </c>
      <c r="M31" s="27">
        <f>E10</f>
        <v>1000</v>
      </c>
    </row>
    <row r="32" spans="1:20" x14ac:dyDescent="0.3">
      <c r="H32" s="13" t="s">
        <v>200</v>
      </c>
      <c r="I32" s="16">
        <f>(+D15)*(I5-E15)</f>
        <v>11714685</v>
      </c>
      <c r="J32" s="39"/>
      <c r="M32" s="7">
        <f>SUM(M30:M31)</f>
        <v>31101000</v>
      </c>
    </row>
    <row r="33" spans="1:14" x14ac:dyDescent="0.3">
      <c r="A33"/>
      <c r="B33"/>
      <c r="C33"/>
      <c r="D33"/>
      <c r="E33"/>
      <c r="H33" s="7" t="s">
        <v>160</v>
      </c>
      <c r="I33" s="14">
        <f>+'Cash-Int-Trans'!B13</f>
        <v>1100000</v>
      </c>
      <c r="L33" s="7" t="s">
        <v>75</v>
      </c>
      <c r="M33" s="7">
        <f>I23</f>
        <v>52234497.368193686</v>
      </c>
    </row>
    <row r="34" spans="1:14" x14ac:dyDescent="0.3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-26118016.952054795</v>
      </c>
      <c r="J34" s="33" t="s">
        <v>56</v>
      </c>
      <c r="L34" s="7" t="s">
        <v>76</v>
      </c>
      <c r="M34" s="27">
        <f>I35</f>
        <v>-41000000</v>
      </c>
    </row>
    <row r="35" spans="1:14" x14ac:dyDescent="0.3">
      <c r="A35"/>
      <c r="B35"/>
      <c r="C35"/>
      <c r="D35" s="49">
        <f>+Summary!C5</f>
        <v>36859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42335497.368193686</v>
      </c>
    </row>
    <row r="36" spans="1:14" ht="16.2" thickBot="1" x14ac:dyDescent="0.35">
      <c r="A36"/>
      <c r="B36"/>
      <c r="C36"/>
      <c r="D36" s="50">
        <f>D35-D34</f>
        <v>153</v>
      </c>
      <c r="E36" s="13" t="s">
        <v>82</v>
      </c>
      <c r="H36" s="37" t="s">
        <v>103</v>
      </c>
      <c r="I36" s="38">
        <f>SUM(I29:I35)</f>
        <v>214854227.91613889</v>
      </c>
      <c r="J36" s="13"/>
      <c r="L36" s="7" t="s">
        <v>153</v>
      </c>
      <c r="M36" s="7">
        <f>P12</f>
        <v>31124591.780821919</v>
      </c>
    </row>
    <row r="37" spans="1:14" ht="16.5" customHeight="1" thickBot="1" x14ac:dyDescent="0.35">
      <c r="A37"/>
      <c r="B37"/>
      <c r="C37"/>
      <c r="D37"/>
      <c r="E37"/>
      <c r="H37" s="44" t="s">
        <v>144</v>
      </c>
      <c r="I37" s="45"/>
      <c r="K37" s="7"/>
      <c r="L37" s="7" t="s">
        <v>154</v>
      </c>
      <c r="M37" s="27">
        <f>P13</f>
        <v>11210905.587371767</v>
      </c>
    </row>
    <row r="38" spans="1:14" ht="15.75" customHeight="1" x14ac:dyDescent="0.3">
      <c r="A38"/>
      <c r="B38"/>
      <c r="C38"/>
      <c r="D38"/>
      <c r="E38"/>
      <c r="K38" s="7"/>
      <c r="M38" s="7">
        <f>M35-M36-M37</f>
        <v>0</v>
      </c>
      <c r="N38" s="43" t="str">
        <f>IF(ROUND(M38,0)=0,"OK","Not OK")</f>
        <v>OK</v>
      </c>
    </row>
    <row r="39" spans="1:14" ht="15.75" customHeight="1" x14ac:dyDescent="0.3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3">
      <c r="A40"/>
      <c r="B40"/>
      <c r="C40"/>
      <c r="D40"/>
      <c r="E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2" t="s">
        <v>109</v>
      </c>
      <c r="B1" s="172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4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195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3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3">
      <c r="A17" s="7"/>
      <c r="B17" s="14"/>
      <c r="C17" s="7"/>
    </row>
    <row r="18" spans="1:5" ht="16.2" thickBot="1" x14ac:dyDescent="0.35">
      <c r="A18" s="172" t="s">
        <v>104</v>
      </c>
      <c r="B18" s="172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52234497.368193686</v>
      </c>
    </row>
    <row r="23" spans="1:5" x14ac:dyDescent="0.3">
      <c r="A23" t="s">
        <v>106</v>
      </c>
      <c r="B23" s="7">
        <f>-Financials!I15</f>
        <v>-26118016.952054795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-1487500</v>
      </c>
    </row>
    <row r="29" spans="1:5" x14ac:dyDescent="0.3">
      <c r="A29" t="s">
        <v>111</v>
      </c>
      <c r="B29" s="7">
        <f>-Financials!E7+Financials!P11</f>
        <v>18722622.010111094</v>
      </c>
    </row>
    <row r="30" spans="1:5" x14ac:dyDescent="0.3">
      <c r="A30" t="s">
        <v>196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33452602.426249981</v>
      </c>
      <c r="D35" s="7">
        <f>+B20+B12+B13+B38+B16</f>
        <v>35231769.092916667</v>
      </c>
    </row>
    <row r="36" spans="1:6" ht="16.2" thickTop="1" x14ac:dyDescent="0.3"/>
    <row r="37" spans="1:6" ht="16.2" thickBot="1" x14ac:dyDescent="0.35">
      <c r="A37" s="172" t="s">
        <v>155</v>
      </c>
      <c r="B37" s="172"/>
      <c r="C37" s="172"/>
      <c r="D37" s="172"/>
      <c r="E37" s="172"/>
      <c r="F37" s="172"/>
    </row>
    <row r="38" spans="1:6" x14ac:dyDescent="0.3">
      <c r="A38" s="111" t="s">
        <v>114</v>
      </c>
      <c r="B38" s="112">
        <f>+B44</f>
        <v>2351602.4262500005</v>
      </c>
    </row>
    <row r="39" spans="1:6" x14ac:dyDescent="0.3">
      <c r="A39" s="53"/>
      <c r="E39" s="135" t="s">
        <v>79</v>
      </c>
      <c r="F39" s="136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36859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154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2351602.4262500005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2" t="s">
        <v>172</v>
      </c>
      <c r="B46" s="172"/>
      <c r="C46" s="172"/>
      <c r="D46" s="172"/>
      <c r="E46" s="172"/>
      <c r="F46" s="172"/>
    </row>
    <row r="47" spans="1:6" x14ac:dyDescent="0.3">
      <c r="A47" s="111" t="s">
        <v>169</v>
      </c>
      <c r="B47" s="112">
        <f>+B49+B56</f>
        <v>11989033.01011111</v>
      </c>
    </row>
    <row r="48" spans="1:6" x14ac:dyDescent="0.3">
      <c r="A48" s="53"/>
    </row>
    <row r="49" spans="1:6" x14ac:dyDescent="0.3">
      <c r="A49" t="s">
        <v>173</v>
      </c>
      <c r="B49" s="3">
        <f>+Amort!B61</f>
        <v>11900000</v>
      </c>
      <c r="E49" s="173"/>
      <c r="F49" s="174"/>
    </row>
    <row r="50" spans="1:6" x14ac:dyDescent="0.3">
      <c r="B50" s="3"/>
      <c r="E50" s="135"/>
      <c r="F50" s="136"/>
    </row>
    <row r="51" spans="1:6" x14ac:dyDescent="0.3">
      <c r="A51" t="s">
        <v>180</v>
      </c>
      <c r="B51" s="7"/>
      <c r="E51" s="47"/>
      <c r="F51" s="48"/>
    </row>
    <row r="52" spans="1:6" x14ac:dyDescent="0.3">
      <c r="A52" t="s">
        <v>174</v>
      </c>
      <c r="B52" s="1">
        <v>36791</v>
      </c>
      <c r="E52" s="47"/>
      <c r="F52" s="48"/>
    </row>
    <row r="53" spans="1:6" x14ac:dyDescent="0.3">
      <c r="A53" t="s">
        <v>175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36859</v>
      </c>
    </row>
    <row r="55" spans="1:6" x14ac:dyDescent="0.3">
      <c r="A55" t="s">
        <v>78</v>
      </c>
      <c r="B55" s="3">
        <f>+B54-B52</f>
        <v>68</v>
      </c>
    </row>
    <row r="56" spans="1:6" x14ac:dyDescent="0.3">
      <c r="A56" t="s">
        <v>179</v>
      </c>
      <c r="B56" s="54">
        <f>+B53*0.07/360*B55</f>
        <v>89033.010111111114</v>
      </c>
    </row>
    <row r="58" spans="1:6" ht="16.2" thickBot="1" x14ac:dyDescent="0.35">
      <c r="A58" s="172" t="s">
        <v>184</v>
      </c>
      <c r="B58" s="172"/>
      <c r="C58" s="172"/>
      <c r="D58" s="172"/>
      <c r="E58" s="172"/>
      <c r="F58" s="172"/>
    </row>
    <row r="60" spans="1:6" x14ac:dyDescent="0.3">
      <c r="A60" t="s">
        <v>124</v>
      </c>
      <c r="B60" s="1">
        <f>+Summary!C5</f>
        <v>36859</v>
      </c>
    </row>
    <row r="61" spans="1:6" x14ac:dyDescent="0.3">
      <c r="A61" t="s">
        <v>185</v>
      </c>
      <c r="B61" s="1">
        <v>36706</v>
      </c>
      <c r="D61" s="4">
        <f>IF(B60&gt;(B61-1),30000000,0)</f>
        <v>30000000</v>
      </c>
    </row>
    <row r="62" spans="1:6" x14ac:dyDescent="0.3">
      <c r="A62" t="s">
        <v>186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187</v>
      </c>
      <c r="B63" s="1">
        <f>+Summary!C5</f>
        <v>36859</v>
      </c>
      <c r="D63" s="137">
        <f>IF(B63&gt;B62,+(+B63-B62)/365*0.12*D62,0)</f>
        <v>24591.780821917811</v>
      </c>
    </row>
    <row r="64" spans="1:6" x14ac:dyDescent="0.3">
      <c r="A64" t="s">
        <v>188</v>
      </c>
      <c r="D64" s="5">
        <f>SUM(D61:D63)</f>
        <v>31124591.780821919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166</v>
      </c>
      <c r="B1" s="6"/>
      <c r="G1" s="8"/>
      <c r="H1" s="8"/>
    </row>
    <row r="2" spans="1:9" x14ac:dyDescent="0.3">
      <c r="B2" s="113" t="s">
        <v>156</v>
      </c>
    </row>
    <row r="3" spans="1:9" x14ac:dyDescent="0.3">
      <c r="A3" s="7" t="s">
        <v>20</v>
      </c>
      <c r="B3" s="114">
        <v>50000000</v>
      </c>
    </row>
    <row r="4" spans="1:9" x14ac:dyDescent="0.3">
      <c r="A4" s="7" t="s">
        <v>21</v>
      </c>
      <c r="B4" s="115">
        <v>7.0000000000000007E-2</v>
      </c>
    </row>
    <row r="5" spans="1:9" x14ac:dyDescent="0.3">
      <c r="A5" s="7" t="s">
        <v>22</v>
      </c>
      <c r="B5" s="116">
        <f>5*12</f>
        <v>60</v>
      </c>
    </row>
    <row r="6" spans="1:9" x14ac:dyDescent="0.3">
      <c r="A6" s="7" t="s">
        <v>23</v>
      </c>
      <c r="B6" s="117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3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8"/>
      <c r="B22" s="118"/>
    </row>
    <row r="23" spans="1:9" s="103" customFormat="1" x14ac:dyDescent="0.3">
      <c r="A23" s="175">
        <f>+Summary!C5</f>
        <v>36859</v>
      </c>
      <c r="B23" s="175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3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3">
      <c r="A27" s="118" t="s">
        <v>94</v>
      </c>
      <c r="B27" s="103">
        <f>A23-F24</f>
        <v>153</v>
      </c>
      <c r="E27" s="118"/>
    </row>
    <row r="28" spans="1:9" s="103" customFormat="1" x14ac:dyDescent="0.3">
      <c r="A28" s="118" t="s">
        <v>28</v>
      </c>
      <c r="B28" s="103">
        <f>F25*B27/(F26-F24)</f>
        <v>1487500</v>
      </c>
    </row>
    <row r="29" spans="1:9" s="103" customFormat="1" x14ac:dyDescent="0.3">
      <c r="A29" s="118" t="s">
        <v>29</v>
      </c>
      <c r="B29" s="103">
        <f>+B25+B28</f>
        <v>1487500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3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8"/>
      <c r="B54" s="118"/>
    </row>
    <row r="55" spans="1:9" s="103" customFormat="1" x14ac:dyDescent="0.3">
      <c r="A55" s="175">
        <f>+Summary!C5</f>
        <v>36859</v>
      </c>
      <c r="B55" s="175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3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3">
      <c r="A59" s="118" t="s">
        <v>94</v>
      </c>
      <c r="B59" s="103">
        <f>A55-F56</f>
        <v>153</v>
      </c>
      <c r="C59" s="103"/>
      <c r="D59" s="103"/>
      <c r="E59" s="118"/>
      <c r="F59" s="103"/>
      <c r="G59" s="103"/>
    </row>
    <row r="60" spans="1:9" x14ac:dyDescent="0.3">
      <c r="A60" s="118" t="s">
        <v>168</v>
      </c>
      <c r="B60" s="103">
        <f>F57*B59/(F58-F56)</f>
        <v>11900000</v>
      </c>
      <c r="C60" s="103"/>
      <c r="D60" s="103"/>
      <c r="E60" s="103"/>
      <c r="F60" s="103"/>
      <c r="G60" s="103"/>
    </row>
    <row r="61" spans="1:9" x14ac:dyDescent="0.3">
      <c r="A61" s="118" t="s">
        <v>169</v>
      </c>
      <c r="B61" s="103">
        <f>+B57+B60</f>
        <v>11900000</v>
      </c>
      <c r="C61" s="103"/>
      <c r="D61" s="103"/>
      <c r="E61" s="103"/>
      <c r="F61" s="103"/>
      <c r="G61" s="103"/>
    </row>
    <row r="63" spans="1:9" x14ac:dyDescent="0.3">
      <c r="A63" s="7" t="s">
        <v>181</v>
      </c>
    </row>
    <row r="64" spans="1:9" x14ac:dyDescent="0.3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182</v>
      </c>
      <c r="C65" s="1"/>
      <c r="D65" s="1">
        <f>+'Cash-Int-Trans'!B54</f>
        <v>36859</v>
      </c>
      <c r="E65" s="155">
        <f>+'Cash-Int-Trans'!B56</f>
        <v>89033.010111111114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2023-09-10T15:43:25Z</dcterms:modified>
</cp:coreProperties>
</file>