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<sst xmlns="http://schemas.openxmlformats.org/spreadsheetml/2006/main" count="373" uniqueCount="159">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</sst>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36859</v>
      </c>
      <c r="D5" s="82" t="s">
        <v>148</v>
      </c>
      <c r="E5" s="83">
        <f>+C5-1</f>
        <v>36858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-247363899</v>
      </c>
      <c r="D12" s="59">
        <v>0</v>
      </c>
      <c r="E12" s="59">
        <f>+C12-D12</f>
        <v>-247363899</v>
      </c>
      <c r="F12" s="70"/>
    </row>
    <row r="13" spans="1:6" x14ac:dyDescent="0.25">
      <c r="A13" s="68"/>
      <c r="B13" s="69" t="s">
        <v>155</v>
      </c>
      <c r="C13" s="86">
        <f>+C15-C12</f>
        <v>-9007800</v>
      </c>
      <c r="D13" s="86">
        <f>+D15-D12</f>
        <v>0</v>
      </c>
      <c r="E13" s="86">
        <f>+E15-E12</f>
        <v>-9007800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-256371699</v>
      </c>
      <c r="D15" s="87">
        <v>0</v>
      </c>
      <c r="E15" s="87">
        <f>+C15-D15</f>
        <v>-256371699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447330305.18000734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-109690162.34777775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86971504</v>
      </c>
      <c r="E4" s="28">
        <f>'Hawaii Summary'!H6</f>
        <v>3954146</v>
      </c>
      <c r="F4" s="45">
        <f>'Hawaii Summary'!I6</f>
        <v>0.15</v>
      </c>
      <c r="G4" s="27">
        <f>'Hawaii Summary'!J6</f>
        <v>61</v>
      </c>
      <c r="H4" s="41">
        <f>'Hawaii Summary'!K6</f>
        <v>3954146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54978300</v>
      </c>
      <c r="C10" s="28">
        <f>B4*B7*'Notional Analysis'!C8</f>
        <v>177622200</v>
      </c>
      <c r="E10" t="s">
        <v>122</v>
      </c>
      <c r="G10" s="20">
        <f>B4*B6*'Notional Analysis'!C8</f>
        <v>54978300</v>
      </c>
    </row>
    <row r="11" spans="1:9" x14ac:dyDescent="0.25">
      <c r="A11" t="s">
        <v>108</v>
      </c>
      <c r="B11" s="20">
        <f>D4+H4</f>
        <v>90925650</v>
      </c>
      <c r="C11" s="28">
        <f>B11</f>
        <v>90925650</v>
      </c>
      <c r="E11" t="s">
        <v>123</v>
      </c>
      <c r="G11" s="54">
        <f>D4+H4</f>
        <v>90925650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-35947350</v>
      </c>
    </row>
    <row r="13" spans="1:9" x14ac:dyDescent="0.25">
      <c r="C13" s="28"/>
      <c r="E13" t="s">
        <v>75</v>
      </c>
      <c r="F13" s="20">
        <f>B4*B6*'Notional Analysis'!C8</f>
        <v>54978300</v>
      </c>
    </row>
    <row r="14" spans="1:9" x14ac:dyDescent="0.25">
      <c r="A14" t="s">
        <v>109</v>
      </c>
      <c r="B14" s="20">
        <f>D4</f>
        <v>86971504</v>
      </c>
      <c r="C14" s="28">
        <f>B14</f>
        <v>86971504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54978300</v>
      </c>
      <c r="C15" s="59">
        <f>C10-E4+C12</f>
        <v>173668054</v>
      </c>
      <c r="F15" s="20"/>
      <c r="G15" s="20">
        <f>-F14+F13</f>
        <v>-122643900</v>
      </c>
    </row>
    <row r="16" spans="1:9" ht="13.8" thickBot="1" x14ac:dyDescent="0.3">
      <c r="A16" t="s">
        <v>117</v>
      </c>
      <c r="B16" s="20">
        <f>B15-B14</f>
        <v>-31993204</v>
      </c>
      <c r="C16" s="60">
        <f>C15-C14</f>
        <v>86696550</v>
      </c>
      <c r="D16" s="61" t="s">
        <v>115</v>
      </c>
      <c r="F16" s="20"/>
      <c r="G16" s="17">
        <f>G12-G15</f>
        <v>86696550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118689754</v>
      </c>
      <c r="C20" s="28"/>
    </row>
    <row r="21" spans="1:3" x14ac:dyDescent="0.25">
      <c r="A21" t="s">
        <v>116</v>
      </c>
      <c r="B21" s="20">
        <f>-B14+B15-B19+B20</f>
        <v>86696550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36859</v>
      </c>
      <c r="J1" s="1" t="s">
        <v>86</v>
      </c>
    </row>
    <row r="2" spans="1:15" x14ac:dyDescent="0.25">
      <c r="D2" t="s">
        <v>87</v>
      </c>
      <c r="E2" s="27">
        <f>H1-H2</f>
        <v>1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6356.0097416666677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375.14791666666667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29117851.009741668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900730.1479166667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29117851.009741668</v>
      </c>
      <c r="E4" s="28">
        <f>'Hawaii Summary'!H7</f>
        <v>900355</v>
      </c>
      <c r="F4" s="45">
        <f>'Hawaii Summary'!I7</f>
        <v>0.15</v>
      </c>
      <c r="G4" s="27">
        <f>'Hawaii Summary'!J7</f>
        <v>93</v>
      </c>
      <c r="H4" s="28">
        <f>'Hawaii Summary'!K7</f>
        <v>900730.1479166667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18141500</v>
      </c>
      <c r="C10" s="28">
        <f>B4*B7*'Notional Analysis'!C8</f>
        <v>58611000</v>
      </c>
      <c r="E10" t="s">
        <v>122</v>
      </c>
      <c r="G10" s="20">
        <f>B4*B6*'Notional Analysis'!C8</f>
        <v>18141500</v>
      </c>
    </row>
    <row r="11" spans="1:9" x14ac:dyDescent="0.25">
      <c r="A11" t="s">
        <v>108</v>
      </c>
      <c r="B11" s="20">
        <f>D4+H4</f>
        <v>30018581.157658335</v>
      </c>
      <c r="C11" s="28">
        <f>B11</f>
        <v>30018581.157658335</v>
      </c>
      <c r="E11" t="s">
        <v>123</v>
      </c>
      <c r="G11" s="54">
        <f>D4+H4</f>
        <v>30018581.157658335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-11877081.157658335</v>
      </c>
    </row>
    <row r="13" spans="1:9" x14ac:dyDescent="0.25">
      <c r="C13" s="28"/>
      <c r="E13" t="s">
        <v>75</v>
      </c>
      <c r="F13" s="20">
        <f>B4*B6*'Notional Analysis'!C8</f>
        <v>18141500</v>
      </c>
    </row>
    <row r="14" spans="1:9" x14ac:dyDescent="0.25">
      <c r="A14" t="s">
        <v>109</v>
      </c>
      <c r="B14" s="20">
        <f>D4</f>
        <v>29117851.009741668</v>
      </c>
      <c r="C14" s="28">
        <f>B14</f>
        <v>29117851.009741668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18141500</v>
      </c>
      <c r="C15" s="59">
        <f>C10-E4+C12</f>
        <v>57710645</v>
      </c>
      <c r="F15" s="20"/>
      <c r="G15" s="20">
        <f>-F14+F13</f>
        <v>-40469500</v>
      </c>
    </row>
    <row r="16" spans="1:9" ht="13.8" thickBot="1" x14ac:dyDescent="0.3">
      <c r="A16" t="s">
        <v>117</v>
      </c>
      <c r="B16" s="20">
        <f>B15-B14</f>
        <v>-10976351.009741668</v>
      </c>
      <c r="C16" s="60">
        <f>C15-C14</f>
        <v>28592793.990258332</v>
      </c>
      <c r="D16" s="61" t="s">
        <v>115</v>
      </c>
      <c r="F16" s="20"/>
      <c r="G16" s="17">
        <f>G12-G15</f>
        <v>28592418.842341665</v>
      </c>
      <c r="H16" s="20">
        <f>C16-G16</f>
        <v>375.14791666716337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39569145</v>
      </c>
      <c r="C20" s="28"/>
      <c r="F20" s="20"/>
    </row>
    <row r="21" spans="1:6" x14ac:dyDescent="0.25">
      <c r="A21" t="s">
        <v>116</v>
      </c>
      <c r="B21" s="20">
        <f>-B14+B15-B19+B20</f>
        <v>28592793.990258332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36859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6.5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36859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156765700</v>
      </c>
      <c r="D14" t="s">
        <v>6</v>
      </c>
      <c r="E14" s="27">
        <f>'50 NP'!J3</f>
        <v>50708333.333333336</v>
      </c>
    </row>
    <row r="15" spans="1:6" x14ac:dyDescent="0.25">
      <c r="A15" s="2" t="s">
        <v>8</v>
      </c>
      <c r="B15" s="27">
        <f>'50 NR'!K3</f>
        <v>10639846.555555556</v>
      </c>
      <c r="D15" t="s">
        <v>69</v>
      </c>
      <c r="E15" s="27">
        <f>'Hawaii Summary'!C18</f>
        <v>256371699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15676.570000000002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-139690162.34777775</v>
      </c>
    </row>
    <row r="19" spans="1:6" ht="13.8" thickBot="1" x14ac:dyDescent="0.3">
      <c r="B19" s="13">
        <f>SUM(B13:B18)</f>
        <v>197405546.55555555</v>
      </c>
      <c r="E19" s="35">
        <f>SUM(E13:E18)</f>
        <v>197405546.55555555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-349708100</v>
      </c>
    </row>
    <row r="27" spans="1:6" x14ac:dyDescent="0.25">
      <c r="A27" t="s">
        <v>71</v>
      </c>
      <c r="C27" s="27">
        <f>IF(B16&lt;&gt;0,B16,-E15)</f>
        <v>-256371699</v>
      </c>
    </row>
    <row r="28" spans="1:6" x14ac:dyDescent="0.25">
      <c r="A28" t="s">
        <v>56</v>
      </c>
      <c r="C28" s="36">
        <f>'50 NR'!K4-'258 NP'!J4-'50 NP'!J4</f>
        <v>-569486.77777777775</v>
      </c>
    </row>
    <row r="29" spans="1:6" x14ac:dyDescent="0.25">
      <c r="A29" t="s">
        <v>59</v>
      </c>
      <c r="C29" s="27">
        <f>C25+C26+C27+C28</f>
        <v>-109674485.77777778</v>
      </c>
    </row>
    <row r="30" spans="1:6" x14ac:dyDescent="0.25">
      <c r="A30" t="s">
        <v>57</v>
      </c>
      <c r="C30" s="27">
        <f>E18</f>
        <v>-139690162.34777775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15676.570000000002</v>
      </c>
    </row>
    <row r="33" spans="1:4" x14ac:dyDescent="0.25">
      <c r="A33" t="s">
        <v>62</v>
      </c>
      <c r="C33" s="27">
        <f>C29-C30-C31-C32</f>
        <v>-2.205524651799351E-8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197405546.55555555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50708333.333333336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15676.570000000002</v>
      </c>
    </row>
    <row r="41" spans="1:4" x14ac:dyDescent="0.25">
      <c r="A41" t="s">
        <v>140</v>
      </c>
      <c r="C41" s="36">
        <f>E15-B16</f>
        <v>256371699</v>
      </c>
    </row>
    <row r="42" spans="1:4" ht="13.8" thickBot="1" x14ac:dyDescent="0.3">
      <c r="C42" s="35">
        <f>C36-SUM(C38:C41)</f>
        <v>-109690162.34777775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197405546.55555555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30015676.57</v>
      </c>
    </row>
    <row r="48" spans="1:4" x14ac:dyDescent="0.25">
      <c r="A48" t="s">
        <v>16</v>
      </c>
      <c r="C48" s="5">
        <f>C45+C46-C47</f>
        <v>168389869.98555556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5085374.0735637778</v>
      </c>
    </row>
    <row r="51" spans="1:3" x14ac:dyDescent="0.25">
      <c r="A51" t="s">
        <v>19</v>
      </c>
      <c r="C51" s="14">
        <f>+C47</f>
        <v>30015676.57</v>
      </c>
    </row>
    <row r="52" spans="1:3" x14ac:dyDescent="0.25">
      <c r="A52" t="s">
        <v>20</v>
      </c>
      <c r="C52" s="12">
        <f>C51-C50</f>
        <v>24930302.496436223</v>
      </c>
    </row>
    <row r="53" spans="1:3" x14ac:dyDescent="0.25">
      <c r="A53" s="9" t="s">
        <v>21</v>
      </c>
      <c r="B53" s="10"/>
      <c r="C53" s="11">
        <f>C52/C49</f>
        <v>825506705.18000734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447330305.18000734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36859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138846.55555555556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68</v>
      </c>
      <c r="K3" s="17">
        <f>K1+K2</f>
        <v>10639846.555555556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138846.55555555556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36859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68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36859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708333.33333333337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68</v>
      </c>
      <c r="J3" s="17">
        <f>J1+J2</f>
        <v>50708333.333333336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708333.33333333337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36859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18137725.185763888</v>
      </c>
      <c r="H5" s="28">
        <v>1976250</v>
      </c>
      <c r="I5" s="45">
        <v>0.15</v>
      </c>
      <c r="J5" s="27">
        <f>B2-B5</f>
        <v>243</v>
      </c>
      <c r="K5">
        <f>'A Amort'!N5</f>
        <v>2000129.6875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86971504</v>
      </c>
      <c r="H6" s="28">
        <v>3954146</v>
      </c>
      <c r="I6" s="45">
        <v>0.15</v>
      </c>
      <c r="J6" s="27">
        <f>B2-B6</f>
        <v>61</v>
      </c>
      <c r="K6" s="41">
        <f>'B_D Amort'!N5</f>
        <v>3954146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29117851.009741668</v>
      </c>
      <c r="H7" s="28">
        <v>900355</v>
      </c>
      <c r="I7" s="45">
        <v>0.15</v>
      </c>
      <c r="J7" s="27">
        <f>B2-B7</f>
        <v>93</v>
      </c>
      <c r="K7" s="41">
        <f>'C Amort'!N5</f>
        <v>900730.1479166667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134227080.19550556</v>
      </c>
      <c r="H8" s="35">
        <f>SUM(H5:H7)</f>
        <v>6830751</v>
      </c>
      <c r="K8" s="35">
        <f>SUM(K5:K7)</f>
        <v>6855005.8354166672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6.5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98112800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118689754</v>
      </c>
    </row>
    <row r="17" spans="1:3" x14ac:dyDescent="0.25">
      <c r="A17" t="s">
        <v>80</v>
      </c>
      <c r="B17" s="28">
        <f>'C TRS'!B19</f>
        <v>0</v>
      </c>
      <c r="C17" s="28">
        <f>'C TRS'!B20</f>
        <v>39569145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256371699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36859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29</v>
      </c>
      <c r="F2"/>
      <c r="G2" s="41" t="s">
        <v>99</v>
      </c>
      <c r="H2" s="25">
        <f>VLOOKUP(H1,A_Debt,1)</f>
        <v>36830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113975.18576388892</v>
      </c>
      <c r="F4" s="41">
        <f>VLOOKUP($H$1+30,A_Debt,5)</f>
        <v>117905.36458333336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23879.6875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18137725.185763888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2000129.6875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18137725.185763888</v>
      </c>
      <c r="E4" s="28">
        <f>'Hawaii Summary'!H5</f>
        <v>1976250</v>
      </c>
      <c r="F4" s="45">
        <f>'Hawaii Summary'!I5</f>
        <v>0.15</v>
      </c>
      <c r="G4" s="28">
        <f>'Hawaii Summary'!J5</f>
        <v>243</v>
      </c>
      <c r="H4" s="28">
        <f>'Hawaii Summary'!K5</f>
        <v>2000129.6875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43981600</v>
      </c>
      <c r="C10" s="28">
        <f>B4*B7*'Notional Analysis'!C8</f>
        <v>142094400</v>
      </c>
      <c r="E10" t="s">
        <v>122</v>
      </c>
      <c r="G10" s="20">
        <f>B4*B6*'Notional Analysis'!C8</f>
        <v>43981600</v>
      </c>
    </row>
    <row r="11" spans="1:9" x14ac:dyDescent="0.25">
      <c r="A11" t="s">
        <v>108</v>
      </c>
      <c r="B11" s="20">
        <f>D4+H4</f>
        <v>20137854.873263888</v>
      </c>
      <c r="C11" s="28">
        <f>B11</f>
        <v>20137854.873263888</v>
      </c>
      <c r="E11" t="s">
        <v>123</v>
      </c>
      <c r="G11" s="54">
        <f>D4+H4</f>
        <v>20137854.873263888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23843745.126736112</v>
      </c>
    </row>
    <row r="13" spans="1:9" x14ac:dyDescent="0.25">
      <c r="C13" s="28"/>
      <c r="E13" t="s">
        <v>75</v>
      </c>
      <c r="F13" s="20">
        <f>B4*B6*'Notional Analysis'!C8</f>
        <v>43981600</v>
      </c>
    </row>
    <row r="14" spans="1:9" x14ac:dyDescent="0.25">
      <c r="A14" t="s">
        <v>109</v>
      </c>
      <c r="B14" s="20">
        <f>D4</f>
        <v>18137725.185763888</v>
      </c>
      <c r="C14" s="28">
        <f>B14</f>
        <v>18137725.185763888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42005350</v>
      </c>
      <c r="C15" s="59">
        <f>C10-E4+C12</f>
        <v>140118150</v>
      </c>
      <c r="F15" s="20"/>
      <c r="G15" s="20">
        <f>-F14+F13</f>
        <v>-98112800</v>
      </c>
    </row>
    <row r="16" spans="1:9" ht="13.8" thickBot="1" x14ac:dyDescent="0.3">
      <c r="A16" t="s">
        <v>117</v>
      </c>
      <c r="B16" s="20">
        <f>B15-B14</f>
        <v>23867624.814236112</v>
      </c>
      <c r="C16" s="60">
        <f>C15-C14</f>
        <v>121980424.8142361</v>
      </c>
      <c r="D16" s="61" t="s">
        <v>115</v>
      </c>
      <c r="F16" s="20"/>
      <c r="G16" s="17">
        <f>G12-G15</f>
        <v>121956545.1267361</v>
      </c>
      <c r="H16" s="20">
        <f>C16-G16</f>
        <v>23879.6875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98112800</v>
      </c>
      <c r="C20" s="28"/>
    </row>
    <row r="21" spans="1:3" x14ac:dyDescent="0.25">
      <c r="A21" t="s">
        <v>116</v>
      </c>
      <c r="B21" s="20">
        <f>B16-B19+B20</f>
        <v>121980424.8142361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36859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0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0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86971504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3954146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2023-09-10T15:43:26Z</dcterms:modified>
</cp:coreProperties>
</file>