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Post_IDs!$A$1:$S$22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Y47" i="10"/>
  <c r="BB47" i="10"/>
  <c r="B48" i="10"/>
  <c r="B49" i="10"/>
  <c r="B50" i="10"/>
  <c r="B51" i="10"/>
  <c r="G51" i="10"/>
  <c r="Y51" i="10"/>
  <c r="BB51" i="10"/>
  <c r="B52" i="10"/>
  <c r="G52" i="10"/>
  <c r="Y52" i="10"/>
  <c r="BB52" i="10"/>
  <c r="B53" i="10"/>
  <c r="G53" i="10"/>
  <c r="Y53" i="10"/>
  <c r="BB53" i="10"/>
  <c r="B54" i="10"/>
  <c r="G54" i="10"/>
  <c r="Y54" i="10"/>
  <c r="BB54" i="10"/>
  <c r="B55" i="10"/>
  <c r="G55" i="10"/>
  <c r="Y55" i="10"/>
  <c r="BB55" i="10"/>
  <c r="B56" i="10"/>
  <c r="G56" i="10"/>
  <c r="Y56" i="10"/>
  <c r="BB56" i="10"/>
  <c r="B57" i="10"/>
  <c r="G57" i="10"/>
  <c r="Y57" i="10"/>
  <c r="BB57" i="10"/>
  <c r="B58" i="10"/>
  <c r="G58" i="10"/>
  <c r="Y58" i="10"/>
  <c r="BB58" i="10"/>
  <c r="B59" i="10"/>
  <c r="G59" i="10"/>
  <c r="Y59" i="10"/>
  <c r="BB59" i="10"/>
  <c r="B60" i="10"/>
  <c r="G60" i="10"/>
  <c r="Y60" i="10"/>
  <c r="BB60" i="10"/>
  <c r="B61" i="10"/>
  <c r="G61" i="10"/>
  <c r="Y61" i="10"/>
  <c r="BB61" i="10"/>
  <c r="B62" i="10"/>
  <c r="G62" i="10"/>
  <c r="Y62" i="10"/>
  <c r="BB62" i="10"/>
  <c r="B63" i="10"/>
  <c r="G63" i="10"/>
  <c r="Y63" i="10"/>
  <c r="BB63" i="10"/>
  <c r="B64" i="10"/>
  <c r="B65" i="10"/>
  <c r="B66" i="10"/>
  <c r="B67" i="10"/>
  <c r="G67" i="10"/>
  <c r="Y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Y47" i="15"/>
  <c r="BB47" i="15"/>
  <c r="B48" i="15"/>
  <c r="B49" i="15"/>
  <c r="B50" i="15"/>
  <c r="B51" i="15"/>
  <c r="B52" i="15"/>
  <c r="B53" i="15"/>
  <c r="F53" i="15"/>
  <c r="G53" i="15"/>
  <c r="Y53" i="15"/>
  <c r="BB53" i="15"/>
  <c r="B54" i="15"/>
  <c r="F54" i="15"/>
  <c r="G54" i="15"/>
  <c r="Y54" i="15"/>
  <c r="BB54" i="15"/>
  <c r="B55" i="15"/>
  <c r="F55" i="15"/>
  <c r="G55" i="15"/>
  <c r="Y55" i="15"/>
  <c r="BB55" i="15"/>
  <c r="B56" i="15"/>
  <c r="F56" i="15"/>
  <c r="G56" i="15"/>
  <c r="Y56" i="15"/>
  <c r="BB56" i="15"/>
  <c r="B57" i="15"/>
  <c r="F57" i="15"/>
  <c r="G57" i="15"/>
  <c r="Y57" i="15"/>
  <c r="BB57" i="15"/>
  <c r="B58" i="15"/>
  <c r="F58" i="15"/>
  <c r="G58" i="15"/>
  <c r="Y58" i="15"/>
  <c r="BB58" i="15"/>
  <c r="B59" i="15"/>
  <c r="F59" i="15"/>
  <c r="G59" i="15"/>
  <c r="Y59" i="15"/>
  <c r="BB59" i="15"/>
  <c r="B60" i="15"/>
  <c r="F60" i="15"/>
  <c r="G60" i="15"/>
  <c r="Y60" i="15"/>
  <c r="BB60" i="15"/>
  <c r="B61" i="15"/>
  <c r="F61" i="15"/>
  <c r="G61" i="15"/>
  <c r="Y61" i="15"/>
  <c r="BB61" i="15"/>
  <c r="B62" i="15"/>
  <c r="F62" i="15"/>
  <c r="G62" i="15"/>
  <c r="Y62" i="15"/>
  <c r="BB62" i="15"/>
  <c r="B63" i="15"/>
  <c r="F63" i="15"/>
  <c r="G63" i="15"/>
  <c r="Y63" i="15"/>
  <c r="BB63" i="15"/>
  <c r="B64" i="15"/>
  <c r="B65" i="15"/>
  <c r="B66" i="15"/>
  <c r="F66" i="15"/>
  <c r="G66" i="15"/>
  <c r="Y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Y47" i="18"/>
  <c r="BB47" i="18"/>
  <c r="B48" i="18"/>
  <c r="B49" i="18"/>
  <c r="B50" i="18"/>
  <c r="B51" i="18"/>
  <c r="B52" i="18"/>
  <c r="B53" i="18"/>
  <c r="F53" i="18"/>
  <c r="G53" i="18"/>
  <c r="Y53" i="18"/>
  <c r="BB53" i="18"/>
  <c r="B54" i="18"/>
  <c r="F54" i="18"/>
  <c r="G54" i="18"/>
  <c r="Y54" i="18"/>
  <c r="BB54" i="18"/>
  <c r="B55" i="18"/>
  <c r="F55" i="18"/>
  <c r="G55" i="18"/>
  <c r="Y55" i="18"/>
  <c r="BB55" i="18"/>
  <c r="B56" i="18"/>
  <c r="F56" i="18"/>
  <c r="G56" i="18"/>
  <c r="Y56" i="18"/>
  <c r="BB56" i="18"/>
  <c r="B57" i="18"/>
  <c r="F57" i="18"/>
  <c r="G57" i="18"/>
  <c r="Y57" i="18"/>
  <c r="BB57" i="18"/>
  <c r="B58" i="18"/>
  <c r="F58" i="18"/>
  <c r="G58" i="18"/>
  <c r="Y58" i="18"/>
  <c r="BB58" i="18"/>
  <c r="B59" i="18"/>
  <c r="F59" i="18"/>
  <c r="G59" i="18"/>
  <c r="Y59" i="18"/>
  <c r="BB59" i="18"/>
  <c r="B60" i="18"/>
  <c r="F60" i="18"/>
  <c r="G60" i="18"/>
  <c r="Y60" i="18"/>
  <c r="BB60" i="18"/>
  <c r="B61" i="18"/>
  <c r="F61" i="18"/>
  <c r="G61" i="18"/>
  <c r="Y61" i="18"/>
  <c r="BB61" i="18"/>
  <c r="B62" i="18"/>
  <c r="F62" i="18"/>
  <c r="G62" i="18"/>
  <c r="Y62" i="18"/>
  <c r="BB62" i="18"/>
  <c r="B63" i="18"/>
  <c r="F63" i="18"/>
  <c r="G63" i="18"/>
  <c r="Y63" i="18"/>
  <c r="BB63" i="18"/>
  <c r="B64" i="18"/>
  <c r="B65" i="18"/>
  <c r="B66" i="18"/>
  <c r="F66" i="18"/>
  <c r="G66" i="18"/>
  <c r="Y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Y47" i="14"/>
  <c r="BB47" i="14"/>
  <c r="B48" i="14"/>
  <c r="B49" i="14"/>
  <c r="B50" i="14"/>
  <c r="B51" i="14"/>
  <c r="B52" i="14"/>
  <c r="B53" i="14"/>
  <c r="Y53" i="14"/>
  <c r="BB53" i="14"/>
  <c r="B54" i="14"/>
  <c r="Y54" i="14"/>
  <c r="BB54" i="14"/>
  <c r="B55" i="14"/>
  <c r="Y55" i="14"/>
  <c r="BB55" i="14"/>
  <c r="B56" i="14"/>
  <c r="Y56" i="14"/>
  <c r="BB56" i="14"/>
  <c r="B57" i="14"/>
  <c r="Y57" i="14"/>
  <c r="BB57" i="14"/>
  <c r="B58" i="14"/>
  <c r="Y58" i="14"/>
  <c r="BB58" i="14"/>
  <c r="B59" i="14"/>
  <c r="Y59" i="14"/>
  <c r="BB59" i="14"/>
  <c r="B60" i="14"/>
  <c r="Y60" i="14"/>
  <c r="BB60" i="14"/>
  <c r="B61" i="14"/>
  <c r="Y61" i="14"/>
  <c r="BB61" i="14"/>
  <c r="B62" i="14"/>
  <c r="Y62" i="14"/>
  <c r="BB62" i="14"/>
  <c r="B63" i="14"/>
  <c r="B64" i="14"/>
  <c r="B65" i="14"/>
  <c r="B66" i="14"/>
  <c r="Y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Y47" i="24"/>
  <c r="BB47" i="24"/>
  <c r="B48" i="24"/>
  <c r="B49" i="24"/>
  <c r="B50" i="24"/>
  <c r="B51" i="24"/>
  <c r="B52" i="24"/>
  <c r="B53" i="24"/>
  <c r="Y53" i="24"/>
  <c r="BB53" i="24"/>
  <c r="B54" i="24"/>
  <c r="Y54" i="24"/>
  <c r="BB54" i="24"/>
  <c r="B55" i="24"/>
  <c r="Y55" i="24"/>
  <c r="BB55" i="24"/>
  <c r="B56" i="24"/>
  <c r="Y56" i="24"/>
  <c r="BB56" i="24"/>
  <c r="B57" i="24"/>
  <c r="Y57" i="24"/>
  <c r="BB57" i="24"/>
  <c r="B58" i="24"/>
  <c r="Y58" i="24"/>
  <c r="BB58" i="24"/>
  <c r="B59" i="24"/>
  <c r="Y59" i="24"/>
  <c r="BB59" i="24"/>
  <c r="B60" i="24"/>
  <c r="Y60" i="24"/>
  <c r="BB60" i="24"/>
  <c r="B61" i="24"/>
  <c r="Y61" i="24"/>
  <c r="BB61" i="24"/>
  <c r="B62" i="24"/>
  <c r="Y62" i="24"/>
  <c r="BB62" i="24"/>
  <c r="B63" i="24"/>
  <c r="B64" i="24"/>
  <c r="B65" i="24"/>
  <c r="B66" i="24"/>
  <c r="Y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Y47" i="13"/>
  <c r="BB47" i="13"/>
  <c r="B48" i="13"/>
  <c r="B49" i="13"/>
  <c r="B50" i="13"/>
  <c r="B51" i="13"/>
  <c r="B52" i="13"/>
  <c r="B53" i="13"/>
  <c r="Y53" i="13"/>
  <c r="BB53" i="13"/>
  <c r="B54" i="13"/>
  <c r="Y54" i="13"/>
  <c r="BB54" i="13"/>
  <c r="B55" i="13"/>
  <c r="Y55" i="13"/>
  <c r="BB55" i="13"/>
  <c r="B56" i="13"/>
  <c r="Y56" i="13"/>
  <c r="BB56" i="13"/>
  <c r="B57" i="13"/>
  <c r="Y57" i="13"/>
  <c r="BB57" i="13"/>
  <c r="B58" i="13"/>
  <c r="Y58" i="13"/>
  <c r="BB58" i="13"/>
  <c r="B59" i="13"/>
  <c r="Y59" i="13"/>
  <c r="BB59" i="13"/>
  <c r="B60" i="13"/>
  <c r="Y60" i="13"/>
  <c r="BB60" i="13"/>
  <c r="B61" i="13"/>
  <c r="Y61" i="13"/>
  <c r="BB61" i="13"/>
  <c r="B62" i="13"/>
  <c r="Y62" i="13"/>
  <c r="BB62" i="13"/>
  <c r="B63" i="13"/>
  <c r="B64" i="13"/>
  <c r="B65" i="13"/>
  <c r="B66" i="13"/>
  <c r="Y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<sst xmlns="http://schemas.openxmlformats.org/spreadsheetml/2006/main" count="1700" uniqueCount="307">
  <si>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</si>
  <si>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</si>
  <si>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</si>
  <si>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</si>
  <si>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</si>
  <si>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</si>
  <si>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</si>
  <si>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</si>
  <si>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</si>
  <si>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</si>
  <si>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</si>
  <si>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</si>
  <si>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</si>
  <si>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</si>
  <si>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</si>
  <si>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</si>
  <si>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</si>
  <si>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</si>
  <si>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</si>
  <si>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</si>
  <si>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</si>
  <si>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</si>
  <si>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</si>
  <si>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</si>
  <si>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</si>
  <si>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</si>
  <si>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</si>
  <si>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</si>
  <si>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</si>
  <si>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</si>
  <si>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</si>
  <si>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</si>
  <si>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</si>
  <si>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</si>
  <si>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</si>
  <si>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</si>
  <si>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</si>
  <si>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</si>
  <si>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</si>
  <si>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</si>
  <si>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</si>
  <si>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</si>
  <si>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</si>
  <si>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</si>
  <si>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</si>
  <si>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</si>
  <si>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</si>
  <si>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</si>
  <si>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</si>
  <si>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</si>
  <si>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</si>
  <si>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</si>
  <si>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</si>
  <si>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</si>
  <si>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</si>
  <si>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</si>
  <si>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</si>
  <si>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</si>
  <si>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</si>
  <si>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</si>
  <si>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</si>
  <si>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</si>
  <si>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</si>
  <si>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</si>
  <si>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</si>
  <si>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</si>
  <si>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</si>
  <si>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</si>
  <si>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</si>
  <si>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</si>
  <si>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</si>
  <si>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</si>
  <si>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</si>
  <si>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</si>
  <si>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</si>
  <si>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</si>
  <si>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</si>
  <si>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</si>
  <si>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</si>
  <si>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</si>
  <si>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</si>
  <si>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</si>
  <si>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</si>
  <si>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</si>
  <si>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</si>
  <si>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</si>
  <si>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</si>
  <si>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</si>
  <si>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</si>
  <si>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</si>
  <si>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</si>
  <si>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</si>
  <si>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</si>
  <si>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</si>
  <si>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</si>
  <si>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</si>
  <si>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</si>
  <si>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</si>
  <si>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</si>
  <si>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</si>
  <si>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</si>
  <si>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</si>
  <si>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</si>
  <si>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</si>
  <si>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</si>
  <si>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</si>
  <si>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</si>
  <si>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</si>
  <si>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</si>
  <si>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</si>
  <si>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</si>
  <si>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</si>
  <si>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</si>
  <si>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</si>
  <si>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</si>
  <si>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</si>
  <si>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</si>
  <si>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</si>
  <si>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</si>
  <si>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</si>
  <si>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</si>
  <si>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</si>
  <si>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</si>
  <si>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</si>
  <si>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</si>
  <si>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</si>
  <si>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</si>
  <si>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</si>
  <si>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</si>
  <si>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</si>
  <si>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</si>
  <si>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</si>
  <si>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</si>
  <si>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</si>
  <si>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</si>
  <si>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</si>
  <si>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</si>
  <si>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</si>
  <si>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</si>
  <si>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</si>
  <si>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</si>
  <si>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</si>
  <si>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</si>
  <si>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</si>
  <si>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</si>
  <si>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</si>
  <si>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</si>
  <si>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</si>
  <si>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</si>
  <si>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</si>
  <si>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</si>
  <si>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</si>
  <si>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</si>
  <si>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</si>
  <si>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</si>
  <si>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</si>
  <si>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</si>
  <si>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</si>
  <si>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</si>
  <si>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</si>
  <si>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</si>
  <si>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</si>
  <si>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</si>
  <si>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</si>
  <si>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</si>
  <si>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</si>
  <si>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</si>
  <si>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</si>
  <si>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</si>
  <si>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</si>
  <si>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</si>
  <si>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</si>
  <si>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</si>
  <si>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</si>
  <si>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</si>
  <si>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</si>
  <si>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</si>
  <si>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</si>
  <si>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</si>
  <si>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</si>
  <si>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</si>
  <si>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</si>
  <si>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</si>
  <si>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</si>
  <si>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</si>
  <si>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</si>
  <si>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</si>
  <si>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</si>
  <si>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</si>
  <si>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</si>
  <si>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</si>
  <si>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</si>
  <si>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</si>
  <si>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</si>
  <si>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</si>
  <si>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</si>
  <si>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</si>
  <si>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</si>
  <si>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</si>
  <si>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</si>
  <si>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</si>
  <si>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</si>
  <si>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</si>
  <si>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</si>
  <si>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</si>
  <si>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</si>
  <si>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</si>
  <si>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</si>
  <si>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</si>
  <si>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</si>
  <si>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</si>
  <si>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</si>
  <si>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</si>
  <si>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</si>
  <si>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</si>
  <si>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</si>
  <si>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</si>
  <si>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</si>
  <si>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</si>
  <si>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</si>
  <si>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</si>
  <si>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</si>
  <si>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</si>
  <si>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</si>
  <si>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</si>
  <si>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</si>
  <si>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</si>
  <si>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</si>
  <si>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</si>
  <si>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</si>
  <si>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</si>
  <si>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</si>
  <si>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</si>
  <si>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</si>
  <si>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</si>
  <si>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</si>
  <si>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</si>
  <si>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</si>
  <si>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</si>
  <si>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</si>
  <si>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</si>
  <si>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</si>
  <si>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</si>
  <si>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</si>
  <si>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</si>
  <si>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</si>
  <si>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</si>
  <si>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</si>
  <si>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</si>
  <si>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</si>
  <si>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</si>
  <si>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</si>
  <si>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</si>
  <si>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</si>
  <si>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</si>
  <si>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</si>
  <si>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</si>
  <si>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</si>
  <si>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</si>
  <si>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</si>
  <si>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</si>
  <si>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</si>
  <si>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</si>
  <si>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</si>
  <si>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</si>
  <si>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</si>
  <si>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</si>
  <si>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</si>
  <si>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</si>
  <si>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</si>
  <si>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</si>
  <si>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</si>
  <si>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</si>
  <si>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</si>
  <si>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</si>
  <si>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</si>
  <si>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</si>
  <si>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</si>
  <si>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</si>
  <si>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</si>
  <si>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</si>
  <si>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</si>
  <si>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</si>
  <si>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</si>
  <si>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</si>
  <si>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</si>
  <si>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</si>
  <si>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</si>
  <si>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</si>
  <si>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</si>
  <si>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</si>
  <si>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</si>
  <si>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</si>
  <si>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</si>
  <si>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</si>
  <si>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</si>
  <si>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</si>
  <si>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</si>
  <si>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</si>
  <si>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</si>
  <si>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</si>
  <si>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</si>
  <si>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</si>
  <si>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</si>
  <si>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1147507</t>
  </si>
  <si>
    <t>1147508</t>
  </si>
  <si>
    <t>1147509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</si>
</sst>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37034.671279282411</v>
          </cell>
        </row>
        <row r="11">
          <cell r="A11" t="str">
            <v>Totals</v>
          </cell>
        </row>
        <row r="18">
          <cell r="A18">
            <v>37043</v>
          </cell>
        </row>
        <row r="20">
          <cell r="A20">
            <v>37073</v>
          </cell>
        </row>
        <row r="22">
          <cell r="A22" t="str">
            <v>Total</v>
          </cell>
          <cell r="O22">
            <v>17.124438199999901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S22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17" width="13" style="271" hidden="1" customWidth="1"/>
    <col min="18" max="19" width="13" style="271" customWidth="1"/>
    <col min="20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1142317</v>
      </c>
      <c r="P10" s="468">
        <f t="shared" si="0"/>
        <v>1143588</v>
      </c>
      <c r="Q10" s="468">
        <f t="shared" si="0"/>
        <v>1144519</v>
      </c>
      <c r="R10" s="468">
        <f>R11+1</f>
        <v>1145809</v>
      </c>
      <c r="S10" s="468">
        <f t="shared" si="0"/>
        <v>1147509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1142316</v>
      </c>
      <c r="P11" s="468">
        <f t="shared" si="0"/>
        <v>1143587</v>
      </c>
      <c r="Q11" s="468">
        <f t="shared" si="0"/>
        <v>1144518</v>
      </c>
      <c r="R11" s="468">
        <f>R12+1</f>
        <v>1145808</v>
      </c>
      <c r="S11" s="468">
        <f t="shared" si="0"/>
        <v>1147508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1142315</v>
      </c>
      <c r="P12" s="469">
        <v>1143586</v>
      </c>
      <c r="Q12" s="469">
        <v>1144517</v>
      </c>
      <c r="R12" s="469">
        <v>1145807</v>
      </c>
      <c r="S12" s="469">
        <v>1147507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>
        <v>86011</v>
      </c>
      <c r="P15" s="550">
        <v>86089</v>
      </c>
      <c r="Q15" s="550">
        <v>86147</v>
      </c>
      <c r="R15" s="550">
        <v>86243</v>
      </c>
      <c r="S15" s="550">
        <v>86382</v>
      </c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37034.673048726851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37034.673048726851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1147507</v>
      </c>
      <c r="K8" s="166" t="str">
        <f>'WTI HEDGE'!B6</f>
        <v>1147509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37034.673048726851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37034.673048726851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764.92670270000008</v>
      </c>
      <c r="H41" s="182"/>
      <c r="I41" s="179">
        <f>'WTI NXC2'!B53/1000</f>
        <v>-1763.8975636000002</v>
      </c>
      <c r="J41" s="182"/>
      <c r="K41" s="179">
        <f>'WTI HEDGE'!B53/1000</f>
        <v>-470.31543550000004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-1469.2862964000001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1288.5945729999994</v>
      </c>
      <c r="H42" s="182"/>
      <c r="I42" s="181">
        <f>('WTI NXC2'!$B47+'WTI NXC2'!$B51+'WTI NXC2'!$B54+'WTI NXC2'!$B52)/1000</f>
        <v>-1803.6829118999997</v>
      </c>
      <c r="J42" s="182"/>
      <c r="K42" s="181">
        <f>('WTI HEDGE'!$B47+'WTI HEDGE'!$B51+'WTI HEDGE'!$B54+'WTI HEDGE'!$B52)/1000</f>
        <v>-569.81718019999937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-1084.9055190999998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250.16609130000003</v>
      </c>
      <c r="H45" s="182"/>
      <c r="I45" s="181">
        <f>+'WTI NXC2'!$B55/1000</f>
        <v>0</v>
      </c>
      <c r="J45" s="182"/>
      <c r="K45" s="181">
        <f>+'WTI HEDGE'!$B55/1000</f>
        <v>905.38475300000005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1155.5508443000001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299.77486219999997</v>
      </c>
      <c r="H46" s="182"/>
      <c r="I46" s="181">
        <f>+'WTI NXC2'!$B56/1000</f>
        <v>0</v>
      </c>
      <c r="J46" s="182"/>
      <c r="K46" s="181">
        <f>+'WTI HEDGE'!$B56/1000</f>
        <v>-265.84749279999994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33.927369400000032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-360.23183109999997</v>
      </c>
      <c r="H47" s="182"/>
      <c r="I47" s="181">
        <f>+'WTI NXC2'!$B57/1000</f>
        <v>0</v>
      </c>
      <c r="J47" s="182"/>
      <c r="K47" s="181">
        <f>+'WTI HEDGE'!$B57/1000</f>
        <v>-1601.5992204999998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-1961.8310515999997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2243.2303980999995</v>
      </c>
      <c r="H50" s="405"/>
      <c r="I50" s="406">
        <f>SUM(I41:I49)</f>
        <v>-3567.5804754999999</v>
      </c>
      <c r="J50" s="405"/>
      <c r="K50" s="406">
        <f>SUM(K41:K49)</f>
        <v>-2002.194575999999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-3326.5446533999993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2243.2303980999995</v>
      </c>
      <c r="H53" s="407"/>
      <c r="I53" s="408">
        <f>I39+I50+I51+I52</f>
        <v>-3567.5804754999999</v>
      </c>
      <c r="J53" s="407"/>
      <c r="K53" s="408">
        <f>K39+K50+K51+K52</f>
        <v>-2002.194575999999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-3326.5446533999993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37034.673048726851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3741.6818851000003</v>
      </c>
      <c r="H56" s="182"/>
      <c r="I56" s="178">
        <f>+('WTI NXC2'!$E19/1000)</f>
        <v>-3316.6020120000003</v>
      </c>
      <c r="J56" s="182"/>
      <c r="K56" s="178">
        <f>+('WTI HEDGE'!$E19/1000)</f>
        <v>-2294.0817675000003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-1869.0018944000003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-29.086874800000004</v>
      </c>
      <c r="H57" s="182"/>
      <c r="I57" s="178">
        <f>('WTI NXC2'!$B58)/1000</f>
        <v>-0.12214779999999999</v>
      </c>
      <c r="J57" s="182"/>
      <c r="K57" s="178">
        <f>('WTI HEDGE'!$B58)/1000</f>
        <v>-21.644895899999991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-50.853918499999992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2.6918890000000002</v>
      </c>
      <c r="H58" s="182"/>
      <c r="I58" s="178">
        <f>('WTI NXC2'!$B59)/1000</f>
        <v>-1.0504820000000001</v>
      </c>
      <c r="J58" s="182"/>
      <c r="K58" s="178">
        <f>('WTI HEDGE'!$B59)/1000</f>
        <v>-1.2262351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0.41517190000000004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3741.6818851000003</v>
      </c>
      <c r="H60" s="465"/>
      <c r="I60" s="178">
        <f>I56</f>
        <v>-3316.6020120000003</v>
      </c>
      <c r="J60" s="465"/>
      <c r="K60" s="178">
        <f>K56</f>
        <v>-2294.0817675000003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-1869.0018944000003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1280.4302074999996</v>
      </c>
      <c r="H62" s="465"/>
      <c r="I62" s="178">
        <f>+'WTI NXC2'!$E36/1000</f>
        <v>-12092.0844158</v>
      </c>
      <c r="J62" s="465"/>
      <c r="K62" s="178">
        <f>+'WTI HEDGE'!$E36/1000</f>
        <v>-8997.471503499999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-19809.125711799999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5022.1120925999994</v>
      </c>
      <c r="H63" s="182">
        <f>I63-SUM(I60:I62)</f>
        <v>0</v>
      </c>
      <c r="I63" s="178">
        <f>I36+I53</f>
        <v>-15408.686427799999</v>
      </c>
      <c r="J63" s="182">
        <f>K63-SUM(K60:K62)</f>
        <v>0</v>
      </c>
      <c r="K63" s="178">
        <f>K36+K53</f>
        <v>-11291.553270999997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-21678.127606199996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37034.673048726851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3741.6818851000003</v>
      </c>
      <c r="H69" s="182"/>
      <c r="I69" s="178">
        <f>I60-I114</f>
        <v>-3316.6020120000003</v>
      </c>
      <c r="J69" s="182"/>
      <c r="K69" s="178">
        <f>K60-K114</f>
        <v>-2294.0817675000003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-1869.0018944000003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1280.4302074999996</v>
      </c>
      <c r="H71" s="182"/>
      <c r="I71" s="178">
        <f>I62-I116</f>
        <v>-12092.0844158</v>
      </c>
      <c r="J71" s="182"/>
      <c r="K71" s="178">
        <f>K62-K116</f>
        <v>-8997.471503499999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-19809.125711799999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5022.1120926000003</v>
      </c>
      <c r="H72" s="409">
        <f>+I63-I66-I72</f>
        <v>0</v>
      </c>
      <c r="I72" s="408">
        <f>SUM(I69:I71)</f>
        <v>-15408.686427799999</v>
      </c>
      <c r="J72" s="409">
        <f>+K63-K66-K72</f>
        <v>0</v>
      </c>
      <c r="K72" s="408">
        <f>SUM(K69:K71)</f>
        <v>-11291.553270999999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-21678.127606199996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144.21199430000013</v>
      </c>
      <c r="I77" s="5">
        <f t="shared" ref="I77:I85" si="1">I41-I101</f>
        <v>-14.635252300000047</v>
      </c>
      <c r="K77" s="5">
        <f t="shared" ref="K77:K85" si="2">K41-K101</f>
        <v>-186.99795180000007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-57.421209799999986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-341.0924023</v>
      </c>
      <c r="I78" s="7">
        <f t="shared" si="1"/>
        <v>503.51525319999996</v>
      </c>
      <c r="K78" s="7">
        <f t="shared" si="2"/>
        <v>-11.098737799999753</v>
      </c>
      <c r="M78" s="7"/>
      <c r="O78" s="7"/>
      <c r="Q78" s="7"/>
      <c r="S78" s="7"/>
      <c r="U78" s="7"/>
      <c r="W78" s="7"/>
      <c r="Y78" s="7">
        <f t="shared" si="3"/>
        <v>151.3241131000002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53.401808500000016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53.401808500000016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-246.41353179999999</v>
      </c>
      <c r="M82" s="7"/>
      <c r="O82" s="7"/>
      <c r="Q82" s="7"/>
      <c r="S82" s="7"/>
      <c r="U82" s="7"/>
      <c r="W82" s="7"/>
      <c r="Y82" s="7">
        <f t="shared" si="3"/>
        <v>-246.41353179999999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-90.366600999999946</v>
      </c>
      <c r="M83" s="7"/>
      <c r="O83" s="7"/>
      <c r="Q83" s="7"/>
      <c r="S83" s="7"/>
      <c r="U83" s="7"/>
      <c r="W83" s="7"/>
      <c r="Y83" s="7">
        <f t="shared" si="3"/>
        <v>-90.366600999999946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-196.88040799999987</v>
      </c>
      <c r="H86" s="399">
        <f>I86-SUM(I76:I85)</f>
        <v>0</v>
      </c>
      <c r="I86" s="400">
        <f>SUM(I77:I85)</f>
        <v>488.88000089999991</v>
      </c>
      <c r="J86" s="399">
        <f>K86-SUM(K76:K85)</f>
        <v>0</v>
      </c>
      <c r="K86" s="400">
        <f>SUM(K77:K85)</f>
        <v>-481.47501389999974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-189.4754209999997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-196.88040799999999</v>
      </c>
      <c r="H89" s="399">
        <f>SUM(I86:I88)+I75-I89</f>
        <v>1.1368683772161603E-12</v>
      </c>
      <c r="I89" s="400">
        <f>I63-I97</f>
        <v>488.88000089999878</v>
      </c>
      <c r="J89" s="399">
        <f>SUM(K86:K88)+K75-K89</f>
        <v>-8.5265128291212022E-13</v>
      </c>
      <c r="K89" s="400">
        <f>K63-K97</f>
        <v>-481.47501389999888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3.979039320256561E-13</v>
      </c>
      <c r="Y89" s="400">
        <f t="shared" si="3"/>
        <v>-189.4754210000001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5022.1120925999967</v>
      </c>
      <c r="I92" s="299">
        <f>I200+I50</f>
        <v>-15408.686427799996</v>
      </c>
      <c r="K92" s="299">
        <f>K200+K50</f>
        <v>-11291.553271000001</v>
      </c>
      <c r="M92" s="299"/>
      <c r="O92" s="299"/>
      <c r="Q92" s="299"/>
      <c r="S92" s="299"/>
      <c r="U92" s="299"/>
      <c r="W92" s="299"/>
      <c r="Y92" s="299">
        <f>+C92+E92+G92+I92+K92+O92+Q92+S92+U92+W92</f>
        <v>-21678.1276062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5022.1120925999967</v>
      </c>
      <c r="I95" s="299">
        <f>I203+I53-I39</f>
        <v>-15408.686427799996</v>
      </c>
      <c r="K95" s="299">
        <f>K203+K53-K39</f>
        <v>-11291.553271000001</v>
      </c>
      <c r="M95" s="299"/>
      <c r="O95" s="299"/>
      <c r="Q95" s="299"/>
      <c r="S95" s="299"/>
      <c r="U95" s="299"/>
      <c r="W95" s="299"/>
      <c r="Y95" s="299">
        <f>+C95+E95+G95+I95+K95+O95+Q95+S95+U95+W95</f>
        <v>-21678.1276062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5218.9925005999994</v>
      </c>
      <c r="H97" s="182">
        <v>0</v>
      </c>
      <c r="I97" s="186">
        <v>-15897.566428699998</v>
      </c>
      <c r="J97" s="182">
        <v>0</v>
      </c>
      <c r="K97" s="186">
        <v>-10810.078257099998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-21488.652185199997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620.71470839999995</v>
      </c>
      <c r="I101" s="186">
        <v>-1749.2623113000002</v>
      </c>
      <c r="K101" s="186">
        <v>-283.31748369999997</v>
      </c>
      <c r="M101" s="186"/>
      <c r="O101" s="186"/>
      <c r="Q101" s="186"/>
      <c r="S101" s="186"/>
      <c r="U101" s="186"/>
      <c r="W101" s="186"/>
      <c r="Y101" s="463">
        <v>-1411.8650866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1629.6869752999994</v>
      </c>
      <c r="I102" s="188">
        <v>-2307.1981650999996</v>
      </c>
      <c r="K102" s="188">
        <v>-558.71844239999962</v>
      </c>
      <c r="M102" s="188"/>
      <c r="O102" s="188"/>
      <c r="Q102" s="188"/>
      <c r="S102" s="188"/>
      <c r="U102" s="188"/>
      <c r="W102" s="188"/>
      <c r="Y102" s="463">
        <v>-1236.2296321999997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250.16609130000003</v>
      </c>
      <c r="I105" s="188">
        <v>0</v>
      </c>
      <c r="K105" s="188">
        <v>851.98294450000003</v>
      </c>
      <c r="M105" s="188"/>
      <c r="O105" s="188"/>
      <c r="Q105" s="188"/>
      <c r="S105" s="188"/>
      <c r="U105" s="188"/>
      <c r="W105" s="188"/>
      <c r="Y105" s="463">
        <v>1102.1490358000001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299.77486219999997</v>
      </c>
      <c r="I106" s="188">
        <v>0</v>
      </c>
      <c r="K106" s="188">
        <v>-19.433960999999961</v>
      </c>
      <c r="M106" s="188"/>
      <c r="O106" s="188"/>
      <c r="Q106" s="188"/>
      <c r="S106" s="188"/>
      <c r="U106" s="188"/>
      <c r="W106" s="188"/>
      <c r="Y106" s="463">
        <v>280.34090120000002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-360.23183109999997</v>
      </c>
      <c r="I107" s="188">
        <v>0</v>
      </c>
      <c r="K107" s="188">
        <v>-1511.2326194999998</v>
      </c>
      <c r="M107" s="188"/>
      <c r="O107" s="188"/>
      <c r="Q107" s="188"/>
      <c r="S107" s="188"/>
      <c r="U107" s="188"/>
      <c r="W107" s="188"/>
      <c r="Y107" s="463">
        <v>-1871.4644505999997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2440.1108060999995</v>
      </c>
      <c r="I110" s="189">
        <v>-4056.4604763999996</v>
      </c>
      <c r="K110" s="189">
        <v>-1520.7195620999994</v>
      </c>
      <c r="M110" s="189"/>
      <c r="O110" s="189"/>
      <c r="Q110" s="189"/>
      <c r="S110" s="189"/>
      <c r="U110" s="189"/>
      <c r="W110" s="189"/>
      <c r="Y110" s="187">
        <v>-3137.0692323999992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37034.673048726851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1147507</v>
      </c>
      <c r="D4" s="291" t="str">
        <f>H!B7</f>
        <v>1147508</v>
      </c>
      <c r="E4" s="291" t="str">
        <f>H!B12</f>
        <v>1147509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3741681.8851000001</v>
      </c>
      <c r="D12" s="283">
        <f>H!$E$7</f>
        <v>-3316602.0120000001</v>
      </c>
      <c r="E12" s="283">
        <f>H!$E$12</f>
        <v>-2383821.0775000001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89739.31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3741681.8851000001</v>
      </c>
      <c r="D14" s="286">
        <f>SUM(D6:D13)</f>
        <v>-3316602.0120000001</v>
      </c>
      <c r="E14" s="286">
        <f>SUM(E6:E13)</f>
        <v>-2294081.7675000001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-219503.98069999999</v>
      </c>
      <c r="D16" s="302">
        <f>SUM(H!I7:$I$10)</f>
        <v>501723.38400000002</v>
      </c>
      <c r="E16" s="391">
        <f>SUM(H!I12:$I$15)</f>
        <v>-161954.3567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120265.0466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144211.99429999999</v>
      </c>
      <c r="D17" s="302">
        <f>SUM(H!H7:$H$10)</f>
        <v>-14635.2523</v>
      </c>
      <c r="E17" s="391">
        <f>SUM(H!H12:$H$15)</f>
        <v>-186997.95180000001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-57421.209800000011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-121588.4216</v>
      </c>
      <c r="D18" s="546">
        <f>+SUM(H!F7:F10)-SUM($D$58)</f>
        <v>1791.8692000000738</v>
      </c>
      <c r="E18" s="546">
        <f>+SUM(H!F12:F15)-SUM($E$58)</f>
        <v>150855.61890000012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31059.06650000019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53401.808499999999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53401.808499999999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-246413.5318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-246413.5318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-90366.600999999995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-90366.600999999995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-24.440799999999999</v>
      </c>
      <c r="D24" s="302">
        <f>SUM(H!M7:M10)+SUM(H!Q7:$Q$10)</f>
        <v>56.028299999999994</v>
      </c>
      <c r="E24" s="391">
        <f>SUM(H!M12:M15)+SUM(H!Q12:$Q$15)</f>
        <v>-5416.5056000000004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-5384.9181000000008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182.64959999999999</v>
      </c>
      <c r="D25" s="302">
        <f>SUM(H!N7:$N$10)</f>
        <v>-375.18130000000002</v>
      </c>
      <c r="E25" s="391">
        <f>SUM(H!N12:$N$15)</f>
        <v>251.28230000000002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58.750599999999991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-196722.1992</v>
      </c>
      <c r="D31" s="285">
        <f>SUM(D16:D30)</f>
        <v>488560.84790000011</v>
      </c>
      <c r="E31" s="392">
        <f>SUM(E16:E30)</f>
        <v>-486640.23719999986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-189475.42099999983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14.933930699999999</v>
      </c>
      <c r="D40" s="284">
        <f>SUM(H!G7:$G$10)</f>
        <v>-776.56441830000006</v>
      </c>
      <c r="E40" s="284">
        <f>SUM(H!G12:$G$15)</f>
        <v>778.75492579999991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17.124438199999872</v>
      </c>
    </row>
    <row r="41" spans="1:15" x14ac:dyDescent="0.25">
      <c r="B41" s="284"/>
      <c r="C41" s="284"/>
      <c r="H41" s="284"/>
      <c r="I41" s="284"/>
      <c r="J41" s="284"/>
      <c r="K41" s="284"/>
      <c r="O41" s="548">
        <f>O40-'[2]WTI GW'!$O$22</f>
        <v>-2.8421709430404007E-14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3787548.4654000001</v>
      </c>
      <c r="D56" s="283">
        <v>-3805162.8599</v>
      </c>
      <c r="E56" s="284">
        <v>-2111941.5303000002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150855.6189</v>
      </c>
      <c r="D57" s="283">
        <v>0</v>
      </c>
      <c r="E57" s="283">
        <v>304500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3938404.0843000002</v>
      </c>
      <c r="D58" s="286">
        <f t="shared" si="1"/>
        <v>-3805162.8599</v>
      </c>
      <c r="E58" s="286">
        <f t="shared" si="1"/>
        <v>-1807441.5303000002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2243.2303980999995</v>
      </c>
      <c r="D100" s="549">
        <f>Report!I$53</f>
        <v>-3567.5804754999999</v>
      </c>
      <c r="E100" s="549">
        <f>Report!$K$53</f>
        <v>-2002.194575999999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5022.1120926000003</v>
      </c>
      <c r="D101" s="549">
        <f>Report!$I$72</f>
        <v>-15408.686427799999</v>
      </c>
      <c r="E101" s="549">
        <f>Report!$K$72</f>
        <v>-11291.553270999999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37034</v>
      </c>
      <c r="D2" s="489" t="s">
        <v>291</v>
      </c>
      <c r="E2" s="490">
        <v>3741681.8851000001</v>
      </c>
      <c r="F2" s="490">
        <v>3816815.6627000002</v>
      </c>
      <c r="G2" s="490">
        <v>14.933930699999999</v>
      </c>
      <c r="H2" s="490">
        <v>144211.99429999999</v>
      </c>
      <c r="I2" s="490">
        <v>-219503.98069999999</v>
      </c>
      <c r="J2" s="490">
        <v>0</v>
      </c>
      <c r="K2" s="491">
        <v>0</v>
      </c>
      <c r="L2" s="490">
        <v>0</v>
      </c>
      <c r="M2" s="490">
        <v>0.40720000000000001</v>
      </c>
      <c r="N2" s="490">
        <v>182.64959999999999</v>
      </c>
      <c r="O2" s="490">
        <v>0</v>
      </c>
      <c r="P2" s="492">
        <v>0</v>
      </c>
      <c r="Q2" s="490">
        <v>-24.847999999999999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37034</v>
      </c>
      <c r="D3" s="496" t="s">
        <v>292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37034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37034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37034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37034</v>
      </c>
      <c r="D7" s="507" t="s">
        <v>291</v>
      </c>
      <c r="E7" s="508">
        <v>-3316602.0120000001</v>
      </c>
      <c r="F7" s="508">
        <v>-3803370.9907</v>
      </c>
      <c r="G7" s="508">
        <v>-776.56441830000006</v>
      </c>
      <c r="H7" s="508">
        <v>-14635.2523</v>
      </c>
      <c r="I7" s="508">
        <v>501723.38400000002</v>
      </c>
      <c r="J7" s="508">
        <v>0</v>
      </c>
      <c r="K7" s="509">
        <v>0</v>
      </c>
      <c r="L7" s="508">
        <v>0</v>
      </c>
      <c r="M7" s="508">
        <v>-0.74280000000000002</v>
      </c>
      <c r="N7" s="508">
        <v>-375.18130000000002</v>
      </c>
      <c r="O7" s="508">
        <v>0</v>
      </c>
      <c r="P7" s="510">
        <v>0</v>
      </c>
      <c r="Q7" s="508">
        <v>56.771099999999997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37034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37034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37034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37034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37034</v>
      </c>
      <c r="D12" s="489" t="s">
        <v>291</v>
      </c>
      <c r="E12" s="490">
        <v>-2383821.0775000001</v>
      </c>
      <c r="F12" s="490">
        <v>-2111941.5303000002</v>
      </c>
      <c r="G12" s="490">
        <v>647.13701519999995</v>
      </c>
      <c r="H12" s="490">
        <v>0</v>
      </c>
      <c r="I12" s="490">
        <v>-271766.83299999998</v>
      </c>
      <c r="J12" s="490">
        <v>0</v>
      </c>
      <c r="K12" s="491">
        <v>0</v>
      </c>
      <c r="L12" s="490">
        <v>0</v>
      </c>
      <c r="M12" s="490">
        <v>-0.38540000000000002</v>
      </c>
      <c r="N12" s="490">
        <v>-81.645600000000002</v>
      </c>
      <c r="O12" s="490">
        <v>0</v>
      </c>
      <c r="P12" s="492">
        <v>0</v>
      </c>
      <c r="Q12" s="490">
        <v>-30.683199999999999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37034</v>
      </c>
      <c r="D13" s="496" t="s">
        <v>292</v>
      </c>
      <c r="E13" s="492">
        <v>89739.31</v>
      </c>
      <c r="F13" s="492">
        <v>455355.6189</v>
      </c>
      <c r="G13" s="492">
        <v>131.61791059999999</v>
      </c>
      <c r="H13" s="492">
        <v>-186997.95180000001</v>
      </c>
      <c r="I13" s="492">
        <v>109812.47629999999</v>
      </c>
      <c r="J13" s="492">
        <v>53401.808499999999</v>
      </c>
      <c r="K13" s="497">
        <v>-246413.5318</v>
      </c>
      <c r="L13" s="492">
        <v>-90366.600999999995</v>
      </c>
      <c r="M13" s="492">
        <v>-0.316</v>
      </c>
      <c r="N13" s="492">
        <v>332.92790000000002</v>
      </c>
      <c r="O13" s="492">
        <v>0</v>
      </c>
      <c r="P13" s="492">
        <v>0</v>
      </c>
      <c r="Q13" s="492">
        <v>-5385.1210000000001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37034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37034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37034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/>
      <c r="C17" s="506"/>
      <c r="D17" s="507"/>
      <c r="E17" s="508"/>
      <c r="F17" s="508"/>
      <c r="G17" s="508"/>
      <c r="H17" s="508"/>
      <c r="I17" s="508"/>
      <c r="J17" s="508"/>
      <c r="K17" s="509"/>
      <c r="L17" s="508"/>
      <c r="M17" s="508"/>
      <c r="N17" s="508"/>
      <c r="O17" s="508"/>
      <c r="P17" s="508"/>
      <c r="Q17" s="508"/>
      <c r="R17" s="511"/>
    </row>
    <row r="18" spans="1:21" s="387" customFormat="1" ht="14.1" customHeight="1" x14ac:dyDescent="0.25">
      <c r="A18" s="386"/>
      <c r="B18" s="536"/>
      <c r="C18" s="513"/>
      <c r="D18" s="514"/>
      <c r="E18" s="510"/>
      <c r="F18" s="510"/>
      <c r="G18" s="510"/>
      <c r="H18" s="510"/>
      <c r="I18" s="510"/>
      <c r="J18" s="510"/>
      <c r="K18" s="515"/>
      <c r="L18" s="510"/>
      <c r="M18" s="510"/>
      <c r="N18" s="510"/>
      <c r="O18" s="510"/>
      <c r="P18" s="510"/>
      <c r="Q18" s="510"/>
      <c r="R18" s="516"/>
    </row>
    <row r="19" spans="1:21" s="387" customFormat="1" ht="14.1" customHeight="1" x14ac:dyDescent="0.25">
      <c r="A19" s="386"/>
      <c r="B19" s="536"/>
      <c r="C19" s="513"/>
      <c r="D19" s="514"/>
      <c r="E19" s="510"/>
      <c r="F19" s="510"/>
      <c r="G19" s="510"/>
      <c r="H19" s="510"/>
      <c r="I19" s="510"/>
      <c r="J19" s="510"/>
      <c r="K19" s="515"/>
      <c r="L19" s="510"/>
      <c r="M19" s="510"/>
      <c r="N19" s="510"/>
      <c r="O19" s="510"/>
      <c r="P19" s="510"/>
      <c r="Q19" s="510"/>
      <c r="R19" s="516"/>
    </row>
    <row r="20" spans="1:21" s="387" customFormat="1" ht="14.1" customHeight="1" x14ac:dyDescent="0.25">
      <c r="A20" s="390"/>
      <c r="B20" s="536"/>
      <c r="C20" s="513"/>
      <c r="D20" s="514"/>
      <c r="E20" s="510"/>
      <c r="F20" s="510"/>
      <c r="G20" s="510"/>
      <c r="H20" s="510"/>
      <c r="I20" s="510"/>
      <c r="J20" s="510"/>
      <c r="K20" s="515"/>
      <c r="L20" s="510"/>
      <c r="M20" s="510"/>
      <c r="N20" s="510"/>
      <c r="O20" s="510"/>
      <c r="P20" s="510"/>
      <c r="Q20" s="510"/>
      <c r="R20" s="516"/>
    </row>
    <row r="21" spans="1:21" s="387" customFormat="1" ht="14.1" customHeight="1" x14ac:dyDescent="0.25">
      <c r="A21" s="386"/>
      <c r="B21" s="537"/>
      <c r="C21" s="518"/>
      <c r="D21" s="519"/>
      <c r="E21" s="520"/>
      <c r="F21" s="520"/>
      <c r="G21" s="520"/>
      <c r="H21" s="520"/>
      <c r="I21" s="520"/>
      <c r="J21" s="520"/>
      <c r="K21" s="521"/>
      <c r="L21" s="520"/>
      <c r="M21" s="520"/>
      <c r="N21" s="520"/>
      <c r="O21" s="520"/>
      <c r="P21" s="520"/>
      <c r="Q21" s="520"/>
      <c r="R21" s="522"/>
    </row>
    <row r="22" spans="1:21" ht="14.1" customHeight="1" x14ac:dyDescent="0.25">
      <c r="B22" s="533"/>
      <c r="C22" s="524"/>
      <c r="D22" s="525"/>
      <c r="E22" s="523"/>
      <c r="F22" s="523"/>
      <c r="G22" s="523"/>
      <c r="H22" s="523"/>
      <c r="I22" s="523"/>
      <c r="J22" s="523"/>
      <c r="K22" s="526"/>
      <c r="L22" s="523"/>
      <c r="M22" s="523"/>
      <c r="N22" s="523"/>
      <c r="O22" s="523"/>
      <c r="P22" s="523"/>
      <c r="Q22" s="523"/>
      <c r="R22" s="523"/>
      <c r="S22" s="532"/>
      <c r="T22" s="532"/>
      <c r="U22" s="532"/>
    </row>
    <row r="23" spans="1:21" ht="14.1" customHeight="1" x14ac:dyDescent="0.25">
      <c r="B23" s="533"/>
      <c r="C23" s="524"/>
      <c r="D23" s="525"/>
      <c r="E23" s="523"/>
      <c r="F23" s="523"/>
      <c r="G23" s="523"/>
      <c r="H23" s="523"/>
      <c r="I23" s="523"/>
      <c r="J23" s="523"/>
      <c r="K23" s="526"/>
      <c r="L23" s="523"/>
      <c r="M23" s="523"/>
      <c r="N23" s="523"/>
      <c r="O23" s="523"/>
      <c r="P23" s="523"/>
      <c r="Q23" s="523"/>
      <c r="R23" s="523"/>
      <c r="S23" s="532"/>
      <c r="T23" s="532"/>
      <c r="U23" s="532"/>
    </row>
    <row r="24" spans="1:21" ht="14.1" customHeight="1" x14ac:dyDescent="0.25">
      <c r="B24" s="533"/>
      <c r="C24" s="524"/>
      <c r="D24" s="525"/>
      <c r="E24" s="523"/>
      <c r="F24" s="523"/>
      <c r="G24" s="523"/>
      <c r="H24" s="523"/>
      <c r="I24" s="523"/>
      <c r="J24" s="523"/>
      <c r="K24" s="526"/>
      <c r="L24" s="523"/>
      <c r="M24" s="523"/>
      <c r="N24" s="523"/>
      <c r="O24" s="523"/>
      <c r="P24" s="523"/>
      <c r="Q24" s="523"/>
      <c r="R24" s="523"/>
      <c r="S24" s="532"/>
      <c r="T24" s="532"/>
      <c r="U24" s="532"/>
    </row>
    <row r="25" spans="1:21" ht="14.1" customHeight="1" x14ac:dyDescent="0.25">
      <c r="B25" s="533"/>
      <c r="C25" s="524"/>
      <c r="D25" s="525"/>
      <c r="E25" s="523"/>
      <c r="F25" s="523"/>
      <c r="G25" s="523"/>
      <c r="H25" s="523"/>
      <c r="I25" s="523"/>
      <c r="J25" s="523"/>
      <c r="K25" s="526"/>
      <c r="L25" s="523"/>
      <c r="M25" s="523"/>
      <c r="N25" s="523"/>
      <c r="O25" s="523"/>
      <c r="P25" s="523"/>
      <c r="Q25" s="523"/>
      <c r="R25" s="523"/>
      <c r="S25" s="532"/>
      <c r="T25" s="532"/>
      <c r="U25" s="532"/>
    </row>
    <row r="26" spans="1:21" ht="14.1" customHeight="1" x14ac:dyDescent="0.25">
      <c r="B26" s="533"/>
      <c r="C26" s="524"/>
      <c r="D26" s="525"/>
      <c r="E26" s="523"/>
      <c r="F26" s="523"/>
      <c r="G26" s="523"/>
      <c r="H26" s="523"/>
      <c r="I26" s="523"/>
      <c r="J26" s="523"/>
      <c r="K26" s="526"/>
      <c r="L26" s="523"/>
      <c r="M26" s="523"/>
      <c r="N26" s="523"/>
      <c r="O26" s="523"/>
      <c r="P26" s="523"/>
      <c r="Q26" s="523"/>
      <c r="R26" s="523"/>
      <c r="S26" s="532"/>
      <c r="T26" s="532"/>
      <c r="U26" s="532"/>
    </row>
    <row r="27" spans="1:21" ht="14.1" customHeight="1" x14ac:dyDescent="0.25">
      <c r="B27" s="527"/>
      <c r="C27" s="528"/>
      <c r="D27" s="529"/>
      <c r="E27" s="529"/>
      <c r="F27" s="530"/>
      <c r="G27" s="529"/>
      <c r="H27" s="529"/>
      <c r="I27" s="529"/>
      <c r="J27" s="529"/>
      <c r="K27" s="531"/>
      <c r="L27" s="529"/>
      <c r="M27" s="529"/>
      <c r="N27" s="529"/>
      <c r="O27" s="529"/>
      <c r="P27" s="529"/>
      <c r="Q27" s="529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R24" zoomScale="75" workbookViewId="0">
      <selection activeCell="X47" sqref="X47:X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3741681.8851000001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3741681.8851000001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3741681.8851000001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26394.985800000006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2243230.3980999994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26394.985800000006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1280430.2074999996</v>
      </c>
      <c r="K36" s="64" t="s">
        <v>1</v>
      </c>
      <c r="L36" s="8"/>
      <c r="M36" s="24">
        <f>SUM(M30:M34)</f>
        <v>5022112.0925999992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5022112.0925999992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1333269.4930999998</v>
      </c>
      <c r="U43" s="29">
        <f>SUM(U47:U76)-V61-V68-V69</f>
        <v>0</v>
      </c>
      <c r="V43" s="29">
        <f>SUM(V47:V76)-W61-W68-W69</f>
        <v>0</v>
      </c>
      <c r="W43" s="29">
        <f>SUM(W47:W76)-X61-X68-X69</f>
        <v>113766.34480000002</v>
      </c>
      <c r="X43" s="29">
        <f>SUM(X47:X76)-Y61-Y68-Y69</f>
        <v>-416377.2946000002</v>
      </c>
      <c r="Y43" s="29">
        <f>SUM(Y47:Y76)-Y61-Y68-Y69</f>
        <v>-196722.1992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1296515.3599999999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v>59641.818200000002</v>
      </c>
      <c r="T47" s="17">
        <v>1290987.4791999999</v>
      </c>
      <c r="U47" s="17">
        <v>0</v>
      </c>
      <c r="V47" s="17">
        <v>0</v>
      </c>
      <c r="W47" s="17">
        <v>69619.111199999999</v>
      </c>
      <c r="X47" s="17">
        <v>-273220.90789999999</v>
      </c>
      <c r="Y47" s="17">
        <f>+Input!$C$16</f>
        <v>-219503.98069999999</v>
      </c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-219503.98069999999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764926.70270000002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v>84052.037100000001</v>
      </c>
      <c r="T53" s="17">
        <v>-166870.2022</v>
      </c>
      <c r="U53" s="17"/>
      <c r="V53" s="17"/>
      <c r="W53" s="17">
        <v>28871.533500000001</v>
      </c>
      <c r="X53" s="17">
        <v>-77518.982199999999</v>
      </c>
      <c r="Y53" s="17">
        <f>+Input!$C$17</f>
        <v>144211.99429999999</v>
      </c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144211.99429999999</v>
      </c>
    </row>
    <row r="54" spans="1:54" ht="12.75" customHeight="1" x14ac:dyDescent="0.25">
      <c r="A54" s="19" t="s">
        <v>122</v>
      </c>
      <c r="B54" s="36">
        <f t="shared" si="6"/>
        <v>-7920.7870000004768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v>19464.696299999952</v>
      </c>
      <c r="T54" s="17">
        <v>-7172.9934000000358</v>
      </c>
      <c r="U54" s="17"/>
      <c r="V54" s="17"/>
      <c r="W54" s="17">
        <v>0</v>
      </c>
      <c r="X54" s="17">
        <v>2996.2714999997988</v>
      </c>
      <c r="Y54" s="17">
        <f>+Input!$C$18</f>
        <v>-121588.4216</v>
      </c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-121588.4216</v>
      </c>
    </row>
    <row r="55" spans="1:54" ht="12.75" customHeight="1" x14ac:dyDescent="0.25">
      <c r="A55" s="19" t="s">
        <v>101</v>
      </c>
      <c r="B55" s="36">
        <f t="shared" si="6"/>
        <v>250166.09130000003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229162.86420000001</v>
      </c>
      <c r="U55" s="17"/>
      <c r="V55" s="17"/>
      <c r="W55" s="17">
        <v>1792.4774</v>
      </c>
      <c r="X55" s="17">
        <v>19210.7497</v>
      </c>
      <c r="Y55" s="17">
        <f>+Input!$C$21</f>
        <v>0</v>
      </c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299774.86219999997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39168.099399999999</v>
      </c>
      <c r="U56" s="17"/>
      <c r="V56" s="17"/>
      <c r="W56" s="17">
        <v>260606.7628</v>
      </c>
      <c r="X56" s="17">
        <v>0</v>
      </c>
      <c r="Y56" s="17">
        <f>+Input!$C$22</f>
        <v>0</v>
      </c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-360231.83109999995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-43656.444100000001</v>
      </c>
      <c r="U57" s="17"/>
      <c r="V57" s="17"/>
      <c r="W57" s="17">
        <v>-230336.17679999999</v>
      </c>
      <c r="X57" s="17">
        <v>-86239.210200000001</v>
      </c>
      <c r="Y57" s="17">
        <f>+Input!$C$23</f>
        <v>0</v>
      </c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-29086.874800000005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v>10.1229</v>
      </c>
      <c r="T58" s="17">
        <v>-8601.4135000000006</v>
      </c>
      <c r="U58" s="17"/>
      <c r="V58" s="17"/>
      <c r="W58" s="17">
        <v>-18424.0321</v>
      </c>
      <c r="X58" s="17">
        <v>-2165.0695000000001</v>
      </c>
      <c r="Y58" s="17">
        <f>+Input!$C$24</f>
        <v>-24.440799999999999</v>
      </c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-24.440799999999999</v>
      </c>
    </row>
    <row r="59" spans="1:54" ht="12.75" customHeight="1" x14ac:dyDescent="0.25">
      <c r="A59" s="41" t="s">
        <v>105</v>
      </c>
      <c r="B59" s="36">
        <f t="shared" si="6"/>
        <v>2691.8890000000001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v>63.826599999999999</v>
      </c>
      <c r="T59" s="17">
        <v>252.1035</v>
      </c>
      <c r="U59" s="17"/>
      <c r="V59" s="17"/>
      <c r="W59" s="17">
        <v>1636.6687999999999</v>
      </c>
      <c r="X59" s="17">
        <v>559.85400000000004</v>
      </c>
      <c r="Y59" s="17">
        <f>+Input!$C$25</f>
        <v>182.64959999999999</v>
      </c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182.64959999999999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+Input!$C$26</f>
        <v>0</v>
      </c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+Input!$C$27</f>
        <v>0</v>
      </c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+Input!$C$28</f>
        <v>0</v>
      </c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f>+Input!$C$30</f>
        <v>0</v>
      </c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2243230.3980999994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26394.985800000006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X47" sqref="X47:X70"/>
      <selection pane="topRight" activeCell="X47" sqref="X47:X70"/>
      <selection pane="bottomLeft" activeCell="X47" sqref="X47:X70"/>
      <selection pane="bottomRight" activeCell="X47" sqref="X47:X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1147507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-3316602.0120000001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-3316602.0120000001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-3316602.0120000001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1172.6298000000002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-3567580.4755000002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1172.6298000000002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-12092084.4158</v>
      </c>
      <c r="K36" s="64" t="s">
        <v>1</v>
      </c>
      <c r="L36" s="8"/>
      <c r="M36" s="24">
        <f>SUM(M30:M34)</f>
        <v>-15408686.4278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-15408686.4278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-3796840.6898000003</v>
      </c>
      <c r="U43" s="29">
        <f>SUM(U47:U76)-V61-V68-V69</f>
        <v>0</v>
      </c>
      <c r="V43" s="29">
        <f>SUM(V47:V76)-W61-W68-W69</f>
        <v>0</v>
      </c>
      <c r="W43" s="29">
        <f>SUM(W47:W76)-X61-X68-X69</f>
        <v>-369.06240000000503</v>
      </c>
      <c r="X43" s="29">
        <f>SUM(X47:X76)-Y61-Y68-Y69</f>
        <v>457890.70449999988</v>
      </c>
      <c r="Y43" s="29">
        <f>SUM(Y47:Y76)-Y61-Y68-Y69</f>
        <v>488560.84790000011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-2054395.5289999996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v>-121779.1431</v>
      </c>
      <c r="T47" s="17">
        <v>-2942143.2466000002</v>
      </c>
      <c r="U47" s="17">
        <v>0</v>
      </c>
      <c r="V47" s="17">
        <v>0</v>
      </c>
      <c r="W47" s="17">
        <v>-125004.77800000001</v>
      </c>
      <c r="X47" s="17">
        <v>340317.0503</v>
      </c>
      <c r="Y47" s="17">
        <f>+Input!$D$16</f>
        <v>501723.38400000002</v>
      </c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501723.38400000002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-1763897.5636000002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v>36523.786999999997</v>
      </c>
      <c r="T53" s="17">
        <v>-876704.29079999996</v>
      </c>
      <c r="U53" s="17"/>
      <c r="V53" s="17"/>
      <c r="W53" s="17">
        <v>125941.8407</v>
      </c>
      <c r="X53" s="17">
        <v>116969.24069999999</v>
      </c>
      <c r="Y53" s="17">
        <f>+Input!$D$17</f>
        <v>-14635.2523</v>
      </c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-14635.2523</v>
      </c>
    </row>
    <row r="54" spans="1:54" ht="12.75" customHeight="1" x14ac:dyDescent="0.25">
      <c r="A54" s="19" t="s">
        <v>122</v>
      </c>
      <c r="B54" s="36">
        <f t="shared" si="7"/>
        <v>250712.61710000003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v>-6488.2320000000182</v>
      </c>
      <c r="T54" s="17">
        <v>22337.197600000014</v>
      </c>
      <c r="U54" s="17"/>
      <c r="V54" s="17"/>
      <c r="W54" s="17">
        <v>0</v>
      </c>
      <c r="X54" s="17">
        <v>995.37009999994189</v>
      </c>
      <c r="Y54" s="17">
        <f>+Input!$D$18</f>
        <v>1791.8692000000738</v>
      </c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1791.8692000000738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f>+Input!$D$21</f>
        <v>0</v>
      </c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f>+Input!$D$22</f>
        <v>0</v>
      </c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f>+Input!$D$23</f>
        <v>0</v>
      </c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-122.14779999999999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v>-13.8779</v>
      </c>
      <c r="T58" s="17">
        <v>-334.8322</v>
      </c>
      <c r="U58" s="17"/>
      <c r="V58" s="17"/>
      <c r="W58" s="17">
        <v>-26.719000000000005</v>
      </c>
      <c r="X58" s="17">
        <v>36.361200000000004</v>
      </c>
      <c r="Y58" s="17">
        <f>+Input!$D$24</f>
        <v>56.028299999999994</v>
      </c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56.028299999999994</v>
      </c>
    </row>
    <row r="59" spans="1:54" ht="12.75" customHeight="1" x14ac:dyDescent="0.25">
      <c r="A59" s="41" t="s">
        <v>105</v>
      </c>
      <c r="B59" s="36">
        <f t="shared" si="7"/>
        <v>-1050.4820000000002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v>11.6104</v>
      </c>
      <c r="T59" s="17">
        <v>4.4821999999999997</v>
      </c>
      <c r="U59" s="17"/>
      <c r="V59" s="17"/>
      <c r="W59" s="17">
        <v>-1279.4060999999999</v>
      </c>
      <c r="X59" s="17">
        <v>-427.31779999999998</v>
      </c>
      <c r="Y59" s="17">
        <f>+Input!$D$25</f>
        <v>-375.18130000000002</v>
      </c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-375.18130000000002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+Input!$D$26</f>
        <v>0</v>
      </c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+Input!$D$27</f>
        <v>0</v>
      </c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+Input!$D$28</f>
        <v>0</v>
      </c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f>+Input!$D$30</f>
        <v>0</v>
      </c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-3567580.4755000002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1172.6298000000002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X47" sqref="X47:X70"/>
      <selection pane="topRight" activeCell="X47" sqref="X47:X70"/>
      <selection pane="bottomLeft" activeCell="X47" sqref="X47:X70"/>
      <selection pane="bottomRight" activeCell="X47" sqref="X47:X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1147509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-2383821.0775000001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89739.31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-2294081.7675000001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-2294081.7675000001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22871.130999999994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-2002194.5759999992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22871.130999999994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-8997471.5034999996</v>
      </c>
      <c r="K36" s="64" t="s">
        <v>1</v>
      </c>
      <c r="L36" s="8"/>
      <c r="M36" s="24">
        <f>SUM(M30:M34)</f>
        <v>-11291553.270999998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-11291553.271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446683.91670000023</v>
      </c>
      <c r="U43" s="29">
        <f>SUM(U47:U76)-V61-V68-V69</f>
        <v>0</v>
      </c>
      <c r="V43" s="29">
        <f>SUM(V47:V76)-W61-W68-W69</f>
        <v>0</v>
      </c>
      <c r="W43" s="29">
        <f>SUM(W47:W76)-X61-X68-X69</f>
        <v>70624.850000000006</v>
      </c>
      <c r="X43" s="29">
        <f>SUM(X47:X76)-Y61-Y68-Y69</f>
        <v>-168300.04819999999</v>
      </c>
      <c r="Y43" s="29">
        <f>SUM(Y47:Y76)-Y61-Y68-Y69</f>
        <v>-486640.23719999986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-631544.05860000011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v>18026.721899999997</v>
      </c>
      <c r="T47" s="17">
        <v>439275.93339999998</v>
      </c>
      <c r="U47" s="17">
        <v>0</v>
      </c>
      <c r="V47" s="17">
        <v>0</v>
      </c>
      <c r="W47" s="17">
        <v>70814.195300000007</v>
      </c>
      <c r="X47" s="17">
        <v>-168217.5539</v>
      </c>
      <c r="Y47" s="17">
        <f>+Input!$E$16</f>
        <v>-161954.3567</v>
      </c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-161954.3567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-470315.43550000002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v>-49184.567799999997</v>
      </c>
      <c r="T53" s="17">
        <v>0</v>
      </c>
      <c r="U53" s="17"/>
      <c r="V53" s="17"/>
      <c r="W53" s="17">
        <v>0</v>
      </c>
      <c r="X53" s="17">
        <v>0</v>
      </c>
      <c r="Y53" s="17">
        <f>+Input!$E$17</f>
        <v>-186997.95180000001</v>
      </c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-186997.95180000001</v>
      </c>
    </row>
    <row r="54" spans="1:54" ht="12.75" customHeight="1" x14ac:dyDescent="0.25">
      <c r="A54" s="19" t="s">
        <v>122</v>
      </c>
      <c r="B54" s="36">
        <f t="shared" si="7"/>
        <v>61726.878400000744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v>0</v>
      </c>
      <c r="T54" s="17">
        <v>7487.3099000002258</v>
      </c>
      <c r="U54" s="17"/>
      <c r="V54" s="17"/>
      <c r="W54" s="17">
        <v>0</v>
      </c>
      <c r="X54" s="17">
        <v>0</v>
      </c>
      <c r="Y54" s="17">
        <f>+Input!$E$18</f>
        <v>150855.61890000012</v>
      </c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150855.61890000012</v>
      </c>
    </row>
    <row r="55" spans="1:54" ht="12.75" customHeight="1" x14ac:dyDescent="0.25">
      <c r="A55" s="19" t="s">
        <v>101</v>
      </c>
      <c r="B55" s="36">
        <f t="shared" si="7"/>
        <v>905384.75300000003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v>1108.0515</v>
      </c>
      <c r="T55" s="17">
        <v>0</v>
      </c>
      <c r="U55" s="17"/>
      <c r="V55" s="17"/>
      <c r="W55" s="17">
        <v>0</v>
      </c>
      <c r="X55" s="17">
        <v>0</v>
      </c>
      <c r="Y55" s="17">
        <f>+Input!$E$21</f>
        <v>53401.808499999999</v>
      </c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53401.808499999999</v>
      </c>
    </row>
    <row r="56" spans="1:54" ht="12.75" customHeight="1" x14ac:dyDescent="0.25">
      <c r="A56" s="19" t="s">
        <v>102</v>
      </c>
      <c r="B56" s="36">
        <f t="shared" si="7"/>
        <v>-265847.49279999995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v>-38995.440999999999</v>
      </c>
      <c r="T56" s="17">
        <v>0</v>
      </c>
      <c r="U56" s="17"/>
      <c r="V56" s="17"/>
      <c r="W56" s="17">
        <v>0</v>
      </c>
      <c r="X56" s="17">
        <v>0</v>
      </c>
      <c r="Y56" s="17">
        <f>+Input!$E$22</f>
        <v>-246413.5318</v>
      </c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-246413.5318</v>
      </c>
    </row>
    <row r="57" spans="1:54" ht="12.75" customHeight="1" x14ac:dyDescent="0.25">
      <c r="A57" s="41" t="s">
        <v>103</v>
      </c>
      <c r="B57" s="36">
        <f t="shared" si="7"/>
        <v>-1601599.2204999998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v>-179789.1145</v>
      </c>
      <c r="T57" s="17">
        <v>0</v>
      </c>
      <c r="U57" s="17"/>
      <c r="V57" s="17"/>
      <c r="W57" s="17">
        <v>0</v>
      </c>
      <c r="X57" s="17">
        <v>0</v>
      </c>
      <c r="Y57" s="17">
        <f>+Input!$E$23</f>
        <v>-90366.600999999995</v>
      </c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-90366.600999999995</v>
      </c>
    </row>
    <row r="58" spans="1:54" ht="12.75" customHeight="1" x14ac:dyDescent="0.25">
      <c r="A58" s="41" t="s">
        <v>229</v>
      </c>
      <c r="B58" s="36">
        <f t="shared" si="7"/>
        <v>-21644.895899999992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v>5.368999999999998</v>
      </c>
      <c r="T58" s="17">
        <v>40.909700000000001</v>
      </c>
      <c r="U58" s="17"/>
      <c r="V58" s="17"/>
      <c r="W58" s="17">
        <v>21.9785</v>
      </c>
      <c r="X58" s="17">
        <v>-19.813500000000001</v>
      </c>
      <c r="Y58" s="17">
        <f>+Input!$E$24</f>
        <v>-5416.5056000000004</v>
      </c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-5416.5056000000004</v>
      </c>
    </row>
    <row r="59" spans="1:54" ht="12.75" customHeight="1" x14ac:dyDescent="0.25">
      <c r="A59" s="41" t="s">
        <v>105</v>
      </c>
      <c r="B59" s="36">
        <f t="shared" si="7"/>
        <v>-1226.2351000000001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v>-116.0247</v>
      </c>
      <c r="T59" s="17">
        <v>-120.2363</v>
      </c>
      <c r="U59" s="17"/>
      <c r="V59" s="17"/>
      <c r="W59" s="17">
        <v>-211.32380000000001</v>
      </c>
      <c r="X59" s="17">
        <v>-62.680799999999998</v>
      </c>
      <c r="Y59" s="17">
        <f>+Input!$E$25</f>
        <v>251.28230000000002</v>
      </c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251.28230000000002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+Input!$E$26</f>
        <v>0</v>
      </c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+Input!$E$27</f>
        <v>0</v>
      </c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+Input!$E$28</f>
        <v>0</v>
      </c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v>0</v>
      </c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f>+Input!$E$30</f>
        <v>0</v>
      </c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-2002194.5759999992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22871.130999999994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X47" sqref="X47:X70"/>
      <selection pane="topRight" activeCell="X47" sqref="X47:X70"/>
      <selection pane="bottomLeft" activeCell="X47" sqref="X47:X70"/>
      <selection pane="bottomRight" activeCell="X47" sqref="X47:X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/>
      <c r="V47" s="17"/>
      <c r="W47" s="17">
        <v>0</v>
      </c>
      <c r="X47" s="17">
        <v>0</v>
      </c>
      <c r="Y47" s="17">
        <f>+Input!$B$16</f>
        <v>0</v>
      </c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f>+Input!$B$20</f>
        <v>0</v>
      </c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f>+Input!$B$19</f>
        <v>0</v>
      </c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f>+Input!$B$17</f>
        <v>0</v>
      </c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f>+Input!$B$18</f>
        <v>0</v>
      </c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f>+Input!$B$21</f>
        <v>0</v>
      </c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f>+Input!$B$22</f>
        <v>0</v>
      </c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f>+Input!$B$23</f>
        <v>0</v>
      </c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f>+Input!$B$24</f>
        <v>0</v>
      </c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f>+Input!$B$25</f>
        <v>0</v>
      </c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+Input!$B$26</f>
        <v>0</v>
      </c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+Input!$B$27</f>
        <v>0</v>
      </c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+Input!$B$28</f>
        <v>0</v>
      </c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f>+Input!$B$33</f>
        <v>0</v>
      </c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v>0</v>
      </c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f>+Input!$B$29</f>
        <v>0</v>
      </c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X47" sqref="X47:X70"/>
      <selection pane="topRight" activeCell="X47" sqref="X47:X70"/>
      <selection pane="bottomLeft" activeCell="X47" sqref="X47:X70"/>
      <selection pane="bottomRight" activeCell="X47" sqref="X47:X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1147509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f>+Input!$F$16</f>
        <v>0</v>
      </c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f>+Input!$F$17</f>
        <v>0</v>
      </c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f>+Input!$F$18</f>
        <v>0</v>
      </c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f>+Input!$F$21</f>
        <v>0</v>
      </c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f>+Input!$F$22</f>
        <v>0</v>
      </c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f>+Input!$F$23</f>
        <v>0</v>
      </c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f>+Input!$F$24</f>
        <v>0</v>
      </c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f>+Input!$F$25</f>
        <v>0</v>
      </c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+Input!$F$26</f>
        <v>0</v>
      </c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+Input!$F$27</f>
        <v>0</v>
      </c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+Input!$F$28</f>
        <v>0</v>
      </c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f>+Input!$F$29</f>
        <v>0</v>
      </c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f>+Input!$F$30</f>
        <v>0</v>
      </c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X47" sqref="X47:X70"/>
      <selection pane="topRight" activeCell="X47" sqref="X47:X70"/>
      <selection pane="bottomLeft" activeCell="X47" sqref="X47:X70"/>
      <selection pane="bottomRight" activeCell="X47" sqref="X47:X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37034.673048726851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f>+Input!$L$16</f>
        <v>0</v>
      </c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>
        <v>0</v>
      </c>
      <c r="X48" s="17">
        <v>0</v>
      </c>
      <c r="Y48" s="17">
        <v>0</v>
      </c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>
        <v>0</v>
      </c>
      <c r="X49" s="17">
        <v>0</v>
      </c>
      <c r="Y49" s="17">
        <v>0</v>
      </c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>
        <v>0</v>
      </c>
      <c r="X50" s="17">
        <v>0</v>
      </c>
      <c r="Y50" s="17">
        <v>0</v>
      </c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>
        <v>0</v>
      </c>
      <c r="X51" s="17">
        <v>0</v>
      </c>
      <c r="Y51" s="17">
        <v>0</v>
      </c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>
        <v>0</v>
      </c>
      <c r="X52" s="17">
        <v>0</v>
      </c>
      <c r="Y52" s="17">
        <v>0</v>
      </c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/>
      <c r="V53" s="17"/>
      <c r="W53" s="17">
        <v>0</v>
      </c>
      <c r="X53" s="17">
        <v>0</v>
      </c>
      <c r="Y53" s="17">
        <f>+Input!$L$17</f>
        <v>0</v>
      </c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/>
      <c r="V54" s="17"/>
      <c r="W54" s="17">
        <v>0</v>
      </c>
      <c r="X54" s="17">
        <v>0</v>
      </c>
      <c r="Y54" s="17">
        <f>+Input!$L$18</f>
        <v>0</v>
      </c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/>
      <c r="V55" s="17"/>
      <c r="W55" s="17">
        <v>0</v>
      </c>
      <c r="X55" s="17">
        <v>0</v>
      </c>
      <c r="Y55" s="17">
        <f>+Input!$L$21</f>
        <v>0</v>
      </c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/>
      <c r="V56" s="17"/>
      <c r="W56" s="17">
        <v>0</v>
      </c>
      <c r="X56" s="17">
        <v>0</v>
      </c>
      <c r="Y56" s="17">
        <f>+Input!$L$22</f>
        <v>0</v>
      </c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/>
      <c r="V57" s="17"/>
      <c r="W57" s="17">
        <v>0</v>
      </c>
      <c r="X57" s="17">
        <v>0</v>
      </c>
      <c r="Y57" s="17">
        <f>+Input!$L$23</f>
        <v>0</v>
      </c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/>
      <c r="V58" s="17"/>
      <c r="W58" s="17">
        <v>0</v>
      </c>
      <c r="X58" s="17">
        <v>0</v>
      </c>
      <c r="Y58" s="17">
        <f>+Input!$L$24</f>
        <v>0</v>
      </c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/>
      <c r="V59" s="17"/>
      <c r="W59" s="17">
        <v>0</v>
      </c>
      <c r="X59" s="17">
        <v>0</v>
      </c>
      <c r="Y59" s="17">
        <f>+Input!$L$25</f>
        <v>0</v>
      </c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/>
      <c r="V60" s="17"/>
      <c r="W60" s="17">
        <v>0</v>
      </c>
      <c r="X60" s="17">
        <v>0</v>
      </c>
      <c r="Y60" s="17">
        <f>+Input!$L$26</f>
        <v>0</v>
      </c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/>
      <c r="V61" s="17"/>
      <c r="W61" s="17">
        <v>0</v>
      </c>
      <c r="X61" s="17">
        <v>0</v>
      </c>
      <c r="Y61" s="17">
        <f>+Input!$L$27</f>
        <v>0</v>
      </c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/>
      <c r="V62" s="17"/>
      <c r="W62" s="17">
        <v>0</v>
      </c>
      <c r="X62" s="17">
        <v>0</v>
      </c>
      <c r="Y62" s="17">
        <f>+Input!$L$28</f>
        <v>0</v>
      </c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>
        <v>0</v>
      </c>
      <c r="X63" s="17">
        <v>0</v>
      </c>
      <c r="Y63" s="17">
        <f>+Input!$L$29</f>
        <v>0</v>
      </c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>
        <v>0</v>
      </c>
      <c r="X64" s="17">
        <v>0</v>
      </c>
      <c r="Y64" s="17">
        <v>0</v>
      </c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>
        <v>0</v>
      </c>
      <c r="X65" s="17">
        <v>0</v>
      </c>
      <c r="Y65" s="17">
        <v>0</v>
      </c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>
        <v>0</v>
      </c>
      <c r="X66" s="17">
        <v>0</v>
      </c>
      <c r="Y66" s="17">
        <f>+Input!$L$30</f>
        <v>0</v>
      </c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>
        <v>0</v>
      </c>
      <c r="X67" s="17">
        <v>0</v>
      </c>
      <c r="Y67" s="17">
        <v>0</v>
      </c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>
        <v>0</v>
      </c>
      <c r="X68" s="17">
        <v>0</v>
      </c>
      <c r="Y68" s="17">
        <v>0</v>
      </c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>
        <v>0</v>
      </c>
      <c r="X69" s="17">
        <v>0</v>
      </c>
      <c r="Y69" s="17">
        <v>0</v>
      </c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>
        <v>0</v>
      </c>
      <c r="X70" s="17">
        <v>0</v>
      </c>
      <c r="Y70" s="17">
        <v>0</v>
      </c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2001-05-23T21:09:28Z</cp:lastPrinted>
  <dcterms:created xsi:type="dcterms:W3CDTF">1997-03-04T14:13:52Z</dcterms:created>
  <dcterms:modified xsi:type="dcterms:W3CDTF">2023-09-10T15:43:31Z</dcterms:modified>
</cp:coreProperties>
</file>