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<sst xmlns="http://schemas.openxmlformats.org/spreadsheetml/2006/main" count="373" uniqueCount="159">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</sst>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5" sqref="C15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36887</v>
      </c>
      <c r="D5" s="82" t="s">
        <v>148</v>
      </c>
      <c r="E5" s="83">
        <f>+C5-1</f>
        <v>36886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-241725016.20000002</v>
      </c>
      <c r="D12" s="59">
        <v>0</v>
      </c>
      <c r="E12" s="59">
        <f>+C12-D12</f>
        <v>-241725016.20000002</v>
      </c>
      <c r="F12" s="70"/>
    </row>
    <row r="13" spans="1:6" x14ac:dyDescent="0.25">
      <c r="A13" s="68"/>
      <c r="B13" s="69" t="s">
        <v>155</v>
      </c>
      <c r="C13" s="86">
        <f>+C15-C12</f>
        <v>30392317.200000018</v>
      </c>
      <c r="D13" s="86">
        <f>+D15-D12</f>
        <v>0</v>
      </c>
      <c r="E13" s="86">
        <f>+E15-E12</f>
        <v>30392317.200000018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-211332699</v>
      </c>
      <c r="D15" s="87">
        <v>0</v>
      </c>
      <c r="E15" s="87">
        <f>+C15-D15</f>
        <v>-211332699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-4597186.353333354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87503189.794453338</v>
      </c>
      <c r="E4" s="28">
        <f>'Hawaii Summary'!H6</f>
        <v>3954146</v>
      </c>
      <c r="F4" s="45">
        <f>'Hawaii Summary'!I6</f>
        <v>0.15</v>
      </c>
      <c r="G4" s="27">
        <f>'Hawaii Summary'!J6</f>
        <v>89</v>
      </c>
      <c r="H4" s="41">
        <f>'Hawaii Summary'!K6</f>
        <v>4000277.7033333331</v>
      </c>
      <c r="I4" s="41"/>
    </row>
    <row r="6" spans="1:9" x14ac:dyDescent="0.25">
      <c r="A6" t="s">
        <v>75</v>
      </c>
      <c r="B6" s="48">
        <f>'Hawaii Summary'!B11</f>
        <v>9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76123800</v>
      </c>
      <c r="C10" s="28">
        <f>B4*B7*'Notional Analysis'!C8</f>
        <v>177622200</v>
      </c>
      <c r="E10" t="s">
        <v>122</v>
      </c>
      <c r="G10" s="20">
        <f>B4*B6*'Notional Analysis'!C8</f>
        <v>76123800</v>
      </c>
    </row>
    <row r="11" spans="1:9" x14ac:dyDescent="0.25">
      <c r="A11" t="s">
        <v>108</v>
      </c>
      <c r="B11" s="20">
        <f>D4+H4</f>
        <v>91503467.497786671</v>
      </c>
      <c r="C11" s="28">
        <f>B11</f>
        <v>91503467.497786671</v>
      </c>
      <c r="E11" t="s">
        <v>123</v>
      </c>
      <c r="G11" s="54">
        <f>D4+H4</f>
        <v>91503467.497786671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-15379667.497786671</v>
      </c>
    </row>
    <row r="13" spans="1:9" x14ac:dyDescent="0.25">
      <c r="C13" s="28"/>
      <c r="E13" t="s">
        <v>75</v>
      </c>
      <c r="F13" s="20">
        <f>B4*B6*'Notional Analysis'!C8</f>
        <v>76123800</v>
      </c>
    </row>
    <row r="14" spans="1:9" x14ac:dyDescent="0.25">
      <c r="A14" t="s">
        <v>109</v>
      </c>
      <c r="B14" s="20">
        <f>D4</f>
        <v>87503189.794453338</v>
      </c>
      <c r="C14" s="28">
        <f>B14</f>
        <v>87503189.794453338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76123800</v>
      </c>
      <c r="C15" s="59">
        <f>C10-E4+C12</f>
        <v>173668054</v>
      </c>
      <c r="F15" s="20"/>
      <c r="G15" s="20">
        <f>-F14+F13</f>
        <v>-101498400</v>
      </c>
    </row>
    <row r="16" spans="1:9" ht="13.8" thickBot="1" x14ac:dyDescent="0.3">
      <c r="A16" t="s">
        <v>117</v>
      </c>
      <c r="B16" s="20">
        <f>B15-B14</f>
        <v>-11379389.794453338</v>
      </c>
      <c r="C16" s="60">
        <f>C15-C14</f>
        <v>86164864.205546662</v>
      </c>
      <c r="D16" s="61" t="s">
        <v>115</v>
      </c>
      <c r="F16" s="20"/>
      <c r="G16" s="17">
        <f>G12-G15</f>
        <v>86118732.502213329</v>
      </c>
      <c r="H16" s="20">
        <f>C16-G16</f>
        <v>46131.703333333135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97544254</v>
      </c>
      <c r="C20" s="28"/>
    </row>
    <row r="21" spans="1:3" x14ac:dyDescent="0.25">
      <c r="A21" t="s">
        <v>116</v>
      </c>
      <c r="B21" s="20">
        <f>-B14+B15-B19+B20</f>
        <v>86164864.205546662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36887</v>
      </c>
      <c r="J1" s="1" t="s">
        <v>86</v>
      </c>
    </row>
    <row r="2" spans="1:15" x14ac:dyDescent="0.25">
      <c r="D2" t="s">
        <v>87</v>
      </c>
      <c r="E2" s="27">
        <f>H1-H2</f>
        <v>29</v>
      </c>
      <c r="F2"/>
      <c r="G2" s="41" t="s">
        <v>99</v>
      </c>
      <c r="H2" s="25">
        <f>VLOOKUP(H1,C_Debt,1)</f>
        <v>36858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184324.28250833336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10879.289583333333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29295819.282508332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911234.2895833333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29295819.282508332</v>
      </c>
      <c r="E4" s="28">
        <f>'Hawaii Summary'!H7</f>
        <v>900355</v>
      </c>
      <c r="F4" s="45">
        <f>'Hawaii Summary'!I7</f>
        <v>0.15</v>
      </c>
      <c r="G4" s="27">
        <f>'Hawaii Summary'!J7</f>
        <v>121</v>
      </c>
      <c r="H4" s="28">
        <f>'Hawaii Summary'!K7</f>
        <v>911234.2895833333</v>
      </c>
      <c r="I4" s="41"/>
    </row>
    <row r="6" spans="1:9" x14ac:dyDescent="0.25">
      <c r="A6" t="s">
        <v>75</v>
      </c>
      <c r="B6" s="48">
        <f>'Hawaii Summary'!B11</f>
        <v>9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25119000</v>
      </c>
      <c r="C10" s="28">
        <f>B4*B7*'Notional Analysis'!C8</f>
        <v>58611000</v>
      </c>
      <c r="E10" t="s">
        <v>122</v>
      </c>
      <c r="G10" s="20">
        <f>B4*B6*'Notional Analysis'!C8</f>
        <v>25119000</v>
      </c>
    </row>
    <row r="11" spans="1:9" x14ac:dyDescent="0.25">
      <c r="A11" t="s">
        <v>108</v>
      </c>
      <c r="B11" s="20">
        <f>D4+H4</f>
        <v>30207053.572091665</v>
      </c>
      <c r="C11" s="28">
        <f>B11</f>
        <v>30207053.572091665</v>
      </c>
      <c r="E11" t="s">
        <v>123</v>
      </c>
      <c r="G11" s="54">
        <f>D4+H4</f>
        <v>30207053.572091665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-5088053.5720916651</v>
      </c>
    </row>
    <row r="13" spans="1:9" x14ac:dyDescent="0.25">
      <c r="C13" s="28"/>
      <c r="E13" t="s">
        <v>75</v>
      </c>
      <c r="F13" s="20">
        <f>B4*B6*'Notional Analysis'!C8</f>
        <v>25119000</v>
      </c>
    </row>
    <row r="14" spans="1:9" x14ac:dyDescent="0.25">
      <c r="A14" t="s">
        <v>109</v>
      </c>
      <c r="B14" s="20">
        <f>D4</f>
        <v>29295819.282508332</v>
      </c>
      <c r="C14" s="28">
        <f>B14</f>
        <v>29295819.282508332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25119000</v>
      </c>
      <c r="C15" s="59">
        <f>C10-E4+C12</f>
        <v>57710645</v>
      </c>
      <c r="F15" s="20"/>
      <c r="G15" s="20">
        <f>-F14+F13</f>
        <v>-33492000</v>
      </c>
    </row>
    <row r="16" spans="1:9" ht="13.8" thickBot="1" x14ac:dyDescent="0.3">
      <c r="A16" t="s">
        <v>117</v>
      </c>
      <c r="B16" s="20">
        <f>B15-B14</f>
        <v>-4176819.2825083323</v>
      </c>
      <c r="C16" s="60">
        <f>C15-C14</f>
        <v>28414825.717491668</v>
      </c>
      <c r="D16" s="61" t="s">
        <v>115</v>
      </c>
      <c r="F16" s="20"/>
      <c r="G16" s="17">
        <f>G12-G15</f>
        <v>28403946.427908335</v>
      </c>
      <c r="H16" s="20">
        <f>C16-G16</f>
        <v>10879.289583332837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32591645</v>
      </c>
      <c r="C20" s="28"/>
      <c r="F20" s="20"/>
    </row>
    <row r="21" spans="1:6" x14ac:dyDescent="0.25">
      <c r="A21" t="s">
        <v>116</v>
      </c>
      <c r="B21" s="20">
        <f>-B14+B15-B19+B20</f>
        <v>28414825.717491668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C38" sqref="C38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topLeftCell="A11" workbookViewId="0">
      <selection activeCell="C22" sqref="C22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36887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9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36887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217060200</v>
      </c>
      <c r="D14" t="s">
        <v>6</v>
      </c>
      <c r="E14" s="27">
        <f>'50 NP'!J3</f>
        <v>51000000</v>
      </c>
    </row>
    <row r="15" spans="1:6" x14ac:dyDescent="0.25">
      <c r="A15" s="2" t="s">
        <v>8</v>
      </c>
      <c r="B15" s="27">
        <f>'50 NR'!K3</f>
        <v>10697018.666666666</v>
      </c>
      <c r="D15" t="s">
        <v>69</v>
      </c>
      <c r="E15" s="27">
        <f>'Hawaii Summary'!C18</f>
        <v>211332699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21706.02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-4597186.353333354</v>
      </c>
    </row>
    <row r="19" spans="1:6" ht="13.8" thickBot="1" x14ac:dyDescent="0.3">
      <c r="B19" s="13">
        <f>SUM(B13:B18)</f>
        <v>257757218.66666666</v>
      </c>
      <c r="E19" s="35">
        <f>SUM(E13:E18)</f>
        <v>257757218.66666666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-4597186.3533333428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-289413600</v>
      </c>
    </row>
    <row r="27" spans="1:6" x14ac:dyDescent="0.25">
      <c r="A27" t="s">
        <v>71</v>
      </c>
      <c r="C27" s="27">
        <f>IF(B16&lt;&gt;0,B16,-E15)</f>
        <v>-211332699</v>
      </c>
    </row>
    <row r="28" spans="1:6" x14ac:dyDescent="0.25">
      <c r="A28" t="s">
        <v>56</v>
      </c>
      <c r="C28" s="36">
        <f>'50 NR'!K4-'258 NP'!J4-'50 NP'!J4</f>
        <v>-803981.33333333326</v>
      </c>
    </row>
    <row r="29" spans="1:6" x14ac:dyDescent="0.25">
      <c r="A29" t="s">
        <v>59</v>
      </c>
      <c r="C29" s="27">
        <f>C25+C26+C27+C28</f>
        <v>-4575480.333333333</v>
      </c>
    </row>
    <row r="30" spans="1:6" x14ac:dyDescent="0.25">
      <c r="A30" t="s">
        <v>57</v>
      </c>
      <c r="C30" s="27">
        <f>E18</f>
        <v>-4597186.353333354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21706.02</v>
      </c>
    </row>
    <row r="33" spans="1:4" x14ac:dyDescent="0.25">
      <c r="A33" t="s">
        <v>62</v>
      </c>
      <c r="C33" s="27">
        <f>C29-C30-C31-C32</f>
        <v>2.0972947822883725E-8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257757218.66666666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51000000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21706.02</v>
      </c>
    </row>
    <row r="41" spans="1:4" x14ac:dyDescent="0.25">
      <c r="A41" t="s">
        <v>140</v>
      </c>
      <c r="C41" s="36">
        <f>E15-B16</f>
        <v>211332699</v>
      </c>
    </row>
    <row r="42" spans="1:4" ht="13.8" thickBot="1" x14ac:dyDescent="0.3">
      <c r="C42" s="35">
        <f>C36-SUM(C38:C41)</f>
        <v>-4597186.353333354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257757218.66666666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21706.02</v>
      </c>
    </row>
    <row r="48" spans="1:4" x14ac:dyDescent="0.25">
      <c r="A48" t="s">
        <v>16</v>
      </c>
      <c r="C48" s="5">
        <f>C45+C46-C47</f>
        <v>258735512.64666665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7813812.4819293329</v>
      </c>
    </row>
    <row r="51" spans="1:3" x14ac:dyDescent="0.25">
      <c r="A51" t="s">
        <v>19</v>
      </c>
      <c r="C51" s="14">
        <f>+C47</f>
        <v>21706.02</v>
      </c>
    </row>
    <row r="52" spans="1:3" x14ac:dyDescent="0.25">
      <c r="A52" t="s">
        <v>20</v>
      </c>
      <c r="C52" s="12">
        <f>C51-C50</f>
        <v>-7792106.4619293334</v>
      </c>
    </row>
    <row r="53" spans="1:3" x14ac:dyDescent="0.25">
      <c r="A53" s="9" t="s">
        <v>21</v>
      </c>
      <c r="B53" s="10"/>
      <c r="C53" s="11">
        <f>C52/C49</f>
        <v>-258016770.2625607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-636193170.26256073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36887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196018.66666666672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96</v>
      </c>
      <c r="K3" s="17">
        <f>K1+K2</f>
        <v>10697018.666666666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196018.66666666672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36887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96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36887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1000000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96</v>
      </c>
      <c r="J3" s="17">
        <f>J1+J2</f>
        <v>51000000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1000000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36887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18130000.006250001</v>
      </c>
      <c r="H5" s="28">
        <v>1976250</v>
      </c>
      <c r="I5" s="45">
        <v>0.15</v>
      </c>
      <c r="J5" s="27">
        <f>B2-B5</f>
        <v>271</v>
      </c>
      <c r="K5">
        <f>'A Amort'!N5</f>
        <v>1998482.8125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87503189.794453338</v>
      </c>
      <c r="H6" s="28">
        <v>3954146</v>
      </c>
      <c r="I6" s="45">
        <v>0.15</v>
      </c>
      <c r="J6" s="27">
        <f>B2-B6</f>
        <v>89</v>
      </c>
      <c r="K6" s="41">
        <f>'B_D Amort'!N5</f>
        <v>4000277.7033333331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29295819.282508332</v>
      </c>
      <c r="H7" s="28">
        <v>900355</v>
      </c>
      <c r="I7" s="45">
        <v>0.15</v>
      </c>
      <c r="J7" s="27">
        <f>B2-B7</f>
        <v>121</v>
      </c>
      <c r="K7" s="41">
        <f>'C Amort'!N5</f>
        <v>911234.2895833333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134929009.08321169</v>
      </c>
      <c r="H8" s="35">
        <f>SUM(H5:H7)</f>
        <v>6830751</v>
      </c>
      <c r="K8" s="35">
        <f>SUM(K5:K7)</f>
        <v>6909994.805416666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9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81196800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97544254</v>
      </c>
    </row>
    <row r="17" spans="1:3" x14ac:dyDescent="0.25">
      <c r="A17" t="s">
        <v>80</v>
      </c>
      <c r="B17" s="28">
        <f>'C TRS'!B19</f>
        <v>0</v>
      </c>
      <c r="C17" s="28">
        <f>'C TRS'!B20</f>
        <v>32591645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211332699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36887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27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106250.00625000001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22232.8125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18130000.006250001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1998482.8125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18130000.006250001</v>
      </c>
      <c r="E4" s="28">
        <f>'Hawaii Summary'!H5</f>
        <v>1976250</v>
      </c>
      <c r="F4" s="45">
        <f>'Hawaii Summary'!I5</f>
        <v>0.15</v>
      </c>
      <c r="G4" s="28">
        <f>'Hawaii Summary'!J5</f>
        <v>271</v>
      </c>
      <c r="H4" s="28">
        <f>'Hawaii Summary'!K5</f>
        <v>1998482.8125</v>
      </c>
      <c r="I4" s="41"/>
    </row>
    <row r="6" spans="1:9" x14ac:dyDescent="0.25">
      <c r="A6" t="s">
        <v>75</v>
      </c>
      <c r="B6" s="48">
        <f>'Hawaii Summary'!B11</f>
        <v>9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60897600</v>
      </c>
      <c r="C10" s="28">
        <f>B4*B7*'Notional Analysis'!C8</f>
        <v>142094400</v>
      </c>
      <c r="E10" t="s">
        <v>122</v>
      </c>
      <c r="G10" s="20">
        <f>B4*B6*'Notional Analysis'!C8</f>
        <v>60897600</v>
      </c>
    </row>
    <row r="11" spans="1:9" x14ac:dyDescent="0.25">
      <c r="A11" t="s">
        <v>108</v>
      </c>
      <c r="B11" s="20">
        <f>D4+H4</f>
        <v>20128482.818750001</v>
      </c>
      <c r="C11" s="28">
        <f>B11</f>
        <v>20128482.818750001</v>
      </c>
      <c r="E11" t="s">
        <v>123</v>
      </c>
      <c r="G11" s="54">
        <f>D4+H4</f>
        <v>20128482.818750001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40769117.181249999</v>
      </c>
    </row>
    <row r="13" spans="1:9" x14ac:dyDescent="0.25">
      <c r="C13" s="28"/>
      <c r="E13" t="s">
        <v>75</v>
      </c>
      <c r="F13" s="20">
        <f>B4*B6*'Notional Analysis'!C8</f>
        <v>60897600</v>
      </c>
    </row>
    <row r="14" spans="1:9" x14ac:dyDescent="0.25">
      <c r="A14" t="s">
        <v>109</v>
      </c>
      <c r="B14" s="20">
        <f>D4</f>
        <v>18130000.006250001</v>
      </c>
      <c r="C14" s="28">
        <f>B14</f>
        <v>18130000.006250001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58921350</v>
      </c>
      <c r="C15" s="59">
        <f>C10-E4+C12</f>
        <v>140118150</v>
      </c>
      <c r="F15" s="20"/>
      <c r="G15" s="20">
        <f>-F14+F13</f>
        <v>-81196800</v>
      </c>
    </row>
    <row r="16" spans="1:9" ht="13.8" thickBot="1" x14ac:dyDescent="0.3">
      <c r="A16" t="s">
        <v>117</v>
      </c>
      <c r="B16" s="20">
        <f>B15-B14</f>
        <v>40791349.993749999</v>
      </c>
      <c r="C16" s="60">
        <f>C15-C14</f>
        <v>121988149.99375001</v>
      </c>
      <c r="D16" s="61" t="s">
        <v>115</v>
      </c>
      <c r="F16" s="20"/>
      <c r="G16" s="17">
        <f>G12-G15</f>
        <v>121965917.18125001</v>
      </c>
      <c r="H16" s="20">
        <f>C16-G16</f>
        <v>22232.8125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81196800</v>
      </c>
      <c r="C20" s="28"/>
    </row>
    <row r="21" spans="1:3" x14ac:dyDescent="0.25">
      <c r="A21" t="s">
        <v>116</v>
      </c>
      <c r="B21" s="20">
        <f>B16-B19+B20</f>
        <v>121988149.99375001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36887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28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531685.79445333336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46131.703333333338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87503189.794453338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4000277.7033333331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2023-09-10T15:43:39Z</dcterms:modified>
</cp:coreProperties>
</file>