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externalReferences>
    <externalReference r:id="rId14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8" i="2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<sst xmlns="http://schemas.openxmlformats.org/spreadsheetml/2006/main" count="373" uniqueCount="159">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</sst>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NP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W"/>
    </sheetNames>
    <sheetDataSet>
      <sheetData sheetId="0">
        <row r="7">
          <cell r="D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36881</v>
      </c>
      <c r="D5" s="82" t="s">
        <v>148</v>
      </c>
      <c r="E5" s="83">
        <f>+C5-1</f>
        <v>36880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-252984766.20000002</v>
      </c>
      <c r="D12" s="59">
        <v>0</v>
      </c>
      <c r="E12" s="59">
        <f>+C12-D12</f>
        <v>-252984766.20000002</v>
      </c>
      <c r="F12" s="70"/>
    </row>
    <row r="13" spans="1:6" x14ac:dyDescent="0.25">
      <c r="A13" s="68"/>
      <c r="B13" s="69" t="s">
        <v>155</v>
      </c>
      <c r="C13" s="86">
        <f>+C15-C12</f>
        <v>-12394732.799999982</v>
      </c>
      <c r="D13" s="86">
        <f>+D15-D12</f>
        <v>0</v>
      </c>
      <c r="E13" s="86">
        <f>+E15-E12</f>
        <v>-12394732.799999982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-265379499</v>
      </c>
      <c r="D15" s="87">
        <v>0</v>
      </c>
      <c r="E15" s="87">
        <f>+C15-D15</f>
        <v>-265379499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-130939902.18000001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87389257.124213338</v>
      </c>
      <c r="E4" s="28">
        <f>'Hawaii Summary'!H6</f>
        <v>3954146</v>
      </c>
      <c r="F4" s="45">
        <f>'Hawaii Summary'!I6</f>
        <v>0.15</v>
      </c>
      <c r="G4" s="27">
        <f>'Hawaii Summary'!J6</f>
        <v>83</v>
      </c>
      <c r="H4" s="41">
        <f>'Hawaii Summary'!K6</f>
        <v>3990392.3383333334</v>
      </c>
      <c r="I4" s="41"/>
    </row>
    <row r="6" spans="1:9" x14ac:dyDescent="0.25">
      <c r="A6" t="s">
        <v>75</v>
      </c>
      <c r="B6" s="48">
        <f>'Hawaii Summary'!B11</f>
        <v>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50749200</v>
      </c>
      <c r="C10" s="28">
        <f>B4*B7*'Notional Analysis'!C8</f>
        <v>177622200</v>
      </c>
      <c r="E10" t="s">
        <v>122</v>
      </c>
      <c r="G10" s="20">
        <f>B4*B6*'Notional Analysis'!C8</f>
        <v>50749200</v>
      </c>
    </row>
    <row r="11" spans="1:9" x14ac:dyDescent="0.25">
      <c r="A11" t="s">
        <v>108</v>
      </c>
      <c r="B11" s="20">
        <f>D4+H4</f>
        <v>91379649.462546676</v>
      </c>
      <c r="C11" s="28">
        <f>B11</f>
        <v>91379649.462546676</v>
      </c>
      <c r="E11" t="s">
        <v>123</v>
      </c>
      <c r="G11" s="54">
        <f>D4+H4</f>
        <v>91379649.462546676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-40630449.462546676</v>
      </c>
    </row>
    <row r="13" spans="1:9" x14ac:dyDescent="0.25">
      <c r="C13" s="28"/>
      <c r="E13" t="s">
        <v>75</v>
      </c>
      <c r="F13" s="20">
        <f>B4*B6*'Notional Analysis'!C8</f>
        <v>50749200</v>
      </c>
    </row>
    <row r="14" spans="1:9" x14ac:dyDescent="0.25">
      <c r="A14" t="s">
        <v>109</v>
      </c>
      <c r="B14" s="20">
        <f>D4</f>
        <v>87389257.124213338</v>
      </c>
      <c r="C14" s="28">
        <f>B14</f>
        <v>87389257.124213338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50749200</v>
      </c>
      <c r="C15" s="59">
        <f>C10-E4+C12</f>
        <v>173668054</v>
      </c>
      <c r="F15" s="20"/>
      <c r="G15" s="20">
        <f>-F14+F13</f>
        <v>-126873000</v>
      </c>
    </row>
    <row r="16" spans="1:9" ht="13.8" thickBot="1" x14ac:dyDescent="0.3">
      <c r="A16" t="s">
        <v>117</v>
      </c>
      <c r="B16" s="20">
        <f>B15-B14</f>
        <v>-36640057.124213338</v>
      </c>
      <c r="C16" s="60">
        <f>C15-C14</f>
        <v>86278796.875786662</v>
      </c>
      <c r="D16" s="61" t="s">
        <v>115</v>
      </c>
      <c r="F16" s="20"/>
      <c r="G16" s="17">
        <f>G12-G15</f>
        <v>86242550.537453324</v>
      </c>
      <c r="H16" s="20">
        <f>C16-G16</f>
        <v>36246.338333338499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122918854</v>
      </c>
      <c r="C20" s="28"/>
    </row>
    <row r="21" spans="1:3" x14ac:dyDescent="0.25">
      <c r="A21" t="s">
        <v>116</v>
      </c>
      <c r="B21" s="20">
        <f>-B14+B15-B19+B20</f>
        <v>86278796.875786662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36881</v>
      </c>
      <c r="J1" s="1" t="s">
        <v>86</v>
      </c>
    </row>
    <row r="2" spans="1:15" x14ac:dyDescent="0.25">
      <c r="D2" t="s">
        <v>87</v>
      </c>
      <c r="E2" s="27">
        <f>H1-H2</f>
        <v>23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146188.22405833335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8628.4020833333325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29257683.224058334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908983.40208333335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29257683.224058334</v>
      </c>
      <c r="E4" s="28">
        <f>'Hawaii Summary'!H7</f>
        <v>900355</v>
      </c>
      <c r="F4" s="45">
        <f>'Hawaii Summary'!I7</f>
        <v>0.15</v>
      </c>
      <c r="G4" s="27">
        <f>'Hawaii Summary'!J7</f>
        <v>115</v>
      </c>
      <c r="H4" s="28">
        <f>'Hawaii Summary'!K7</f>
        <v>908983.40208333335</v>
      </c>
      <c r="I4" s="41"/>
    </row>
    <row r="6" spans="1:9" x14ac:dyDescent="0.25">
      <c r="A6" t="s">
        <v>75</v>
      </c>
      <c r="B6" s="48">
        <f>'Hawaii Summary'!B11</f>
        <v>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16746000</v>
      </c>
      <c r="C10" s="28">
        <f>B4*B7*'Notional Analysis'!C8</f>
        <v>58611000</v>
      </c>
      <c r="E10" t="s">
        <v>122</v>
      </c>
      <c r="G10" s="20">
        <f>B4*B6*'Notional Analysis'!C8</f>
        <v>16746000</v>
      </c>
    </row>
    <row r="11" spans="1:9" x14ac:dyDescent="0.25">
      <c r="A11" t="s">
        <v>108</v>
      </c>
      <c r="B11" s="20">
        <f>D4+H4</f>
        <v>30166666.626141667</v>
      </c>
      <c r="C11" s="28">
        <f>B11</f>
        <v>30166666.626141667</v>
      </c>
      <c r="E11" t="s">
        <v>123</v>
      </c>
      <c r="G11" s="54">
        <f>D4+H4</f>
        <v>30166666.626141667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-13420666.626141667</v>
      </c>
    </row>
    <row r="13" spans="1:9" x14ac:dyDescent="0.25">
      <c r="C13" s="28"/>
      <c r="E13" t="s">
        <v>75</v>
      </c>
      <c r="F13" s="20">
        <f>B4*B6*'Notional Analysis'!C8</f>
        <v>16746000</v>
      </c>
    </row>
    <row r="14" spans="1:9" x14ac:dyDescent="0.25">
      <c r="A14" t="s">
        <v>109</v>
      </c>
      <c r="B14" s="20">
        <f>D4</f>
        <v>29257683.224058334</v>
      </c>
      <c r="C14" s="28">
        <f>B14</f>
        <v>29257683.224058334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16746000</v>
      </c>
      <c r="C15" s="59">
        <f>C10-E4+C12</f>
        <v>57710645</v>
      </c>
      <c r="F15" s="20"/>
      <c r="G15" s="20">
        <f>-F14+F13</f>
        <v>-41865000</v>
      </c>
    </row>
    <row r="16" spans="1:9" ht="13.8" thickBot="1" x14ac:dyDescent="0.3">
      <c r="A16" t="s">
        <v>117</v>
      </c>
      <c r="B16" s="20">
        <f>B15-B14</f>
        <v>-12511683.224058334</v>
      </c>
      <c r="C16" s="60">
        <f>C15-C14</f>
        <v>28452961.775941666</v>
      </c>
      <c r="D16" s="61" t="s">
        <v>115</v>
      </c>
      <c r="F16" s="20"/>
      <c r="G16" s="17">
        <f>G12-G15</f>
        <v>28444333.373858333</v>
      </c>
      <c r="H16" s="20">
        <f>C16-G16</f>
        <v>8628.4020833335817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40964645</v>
      </c>
      <c r="C20" s="28"/>
      <c r="F20" s="20"/>
    </row>
    <row r="21" spans="1:6" x14ac:dyDescent="0.25">
      <c r="A21" t="s">
        <v>116</v>
      </c>
      <c r="B21" s="20">
        <f>-B14+B15-B19+B20</f>
        <v>28452961.775941666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E1" sqref="E1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36881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f>+[1]NPW!$D$7</f>
        <v>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36881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144706800</v>
      </c>
      <c r="D14" t="s">
        <v>6</v>
      </c>
      <c r="E14" s="27">
        <f>'50 NP'!J3</f>
        <v>50937500</v>
      </c>
    </row>
    <row r="15" spans="1:6" x14ac:dyDescent="0.25">
      <c r="A15" s="2" t="s">
        <v>8</v>
      </c>
      <c r="B15" s="27">
        <f>'50 NR'!K3</f>
        <v>10684767.5</v>
      </c>
      <c r="D15" t="s">
        <v>69</v>
      </c>
      <c r="E15" s="27">
        <f>'Hawaii Summary'!C18</f>
        <v>265379499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14470.68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-130939902.18000001</v>
      </c>
    </row>
    <row r="19" spans="1:6" ht="13.8" thickBot="1" x14ac:dyDescent="0.3">
      <c r="B19" s="13">
        <f>SUM(B13:B18)</f>
        <v>185391567.5</v>
      </c>
      <c r="E19" s="35">
        <f>SUM(E13:E18)</f>
        <v>185391567.5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-130939902.18000001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-361767000</v>
      </c>
    </row>
    <row r="27" spans="1:6" x14ac:dyDescent="0.25">
      <c r="A27" t="s">
        <v>71</v>
      </c>
      <c r="C27" s="27">
        <f>IF(B16&lt;&gt;0,B16,-E15)</f>
        <v>-265379499</v>
      </c>
    </row>
    <row r="28" spans="1:6" x14ac:dyDescent="0.25">
      <c r="A28" t="s">
        <v>56</v>
      </c>
      <c r="C28" s="36">
        <f>'50 NR'!K4-'258 NP'!J4-'50 NP'!J4</f>
        <v>-753732.5</v>
      </c>
    </row>
    <row r="29" spans="1:6" x14ac:dyDescent="0.25">
      <c r="A29" t="s">
        <v>59</v>
      </c>
      <c r="C29" s="27">
        <f>C25+C26+C27+C28</f>
        <v>-130925431.5</v>
      </c>
    </row>
    <row r="30" spans="1:6" x14ac:dyDescent="0.25">
      <c r="A30" t="s">
        <v>57</v>
      </c>
      <c r="C30" s="27">
        <f>E18</f>
        <v>-130939902.18000001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14470.68</v>
      </c>
    </row>
    <row r="33" spans="1:4" x14ac:dyDescent="0.25">
      <c r="A33" t="s">
        <v>62</v>
      </c>
      <c r="C33" s="27">
        <f>C29-C30-C31-C32</f>
        <v>7.1522663347423077E-9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185391567.5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50937500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14470.68</v>
      </c>
    </row>
    <row r="41" spans="1:4" x14ac:dyDescent="0.25">
      <c r="A41" t="s">
        <v>140</v>
      </c>
      <c r="C41" s="36">
        <f>E15-B16</f>
        <v>265379499</v>
      </c>
    </row>
    <row r="42" spans="1:4" ht="13.8" thickBot="1" x14ac:dyDescent="0.3">
      <c r="C42" s="35">
        <f>C36-SUM(C38:C41)</f>
        <v>-130939902.18000001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185391567.5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14470.68</v>
      </c>
    </row>
    <row r="48" spans="1:4" x14ac:dyDescent="0.25">
      <c r="A48" t="s">
        <v>16</v>
      </c>
      <c r="C48" s="5">
        <f>C45+C46-C47</f>
        <v>186377096.81999999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5628588.3239639997</v>
      </c>
    </row>
    <row r="51" spans="1:3" x14ac:dyDescent="0.25">
      <c r="A51" t="s">
        <v>19</v>
      </c>
      <c r="C51" s="14">
        <f>+C47</f>
        <v>14470.68</v>
      </c>
    </row>
    <row r="52" spans="1:3" x14ac:dyDescent="0.25">
      <c r="A52" t="s">
        <v>20</v>
      </c>
      <c r="C52" s="12">
        <f>C51-C50</f>
        <v>-5614117.643964</v>
      </c>
    </row>
    <row r="53" spans="1:3" x14ac:dyDescent="0.25">
      <c r="A53" s="9" t="s">
        <v>21</v>
      </c>
      <c r="B53" s="10"/>
      <c r="C53" s="11">
        <f>C52/C49</f>
        <v>-185897935.23059604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-564074335.23059607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36881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183767.50000000003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90</v>
      </c>
      <c r="K3" s="17">
        <f>K1+K2</f>
        <v>10684767.5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183767.50000000003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36881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90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36881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937500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90</v>
      </c>
      <c r="J3" s="17">
        <f>J1+J2</f>
        <v>50937500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937500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36881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18106388.893750001</v>
      </c>
      <c r="H5" s="28">
        <v>1976250</v>
      </c>
      <c r="I5" s="45">
        <v>0.15</v>
      </c>
      <c r="J5" s="27">
        <f>B2-B5</f>
        <v>265</v>
      </c>
      <c r="K5">
        <f>'A Amort'!N5</f>
        <v>1993542.1875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87389257.124213338</v>
      </c>
      <c r="H6" s="28">
        <v>3954146</v>
      </c>
      <c r="I6" s="45">
        <v>0.15</v>
      </c>
      <c r="J6" s="27">
        <f>B2-B6</f>
        <v>83</v>
      </c>
      <c r="K6" s="41">
        <f>'B_D Amort'!N5</f>
        <v>3990392.3383333334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29257683.224058334</v>
      </c>
      <c r="H7" s="28">
        <v>900355</v>
      </c>
      <c r="I7" s="45">
        <v>0.15</v>
      </c>
      <c r="J7" s="27">
        <f>B2-B7</f>
        <v>115</v>
      </c>
      <c r="K7" s="41">
        <f>'C Amort'!N5</f>
        <v>908983.40208333335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134753329.24202168</v>
      </c>
      <c r="H8" s="35">
        <f>SUM(H5:H7)</f>
        <v>6830751</v>
      </c>
      <c r="K8" s="35">
        <f>SUM(K5:K7)</f>
        <v>6892917.9279166665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6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101496000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122918854</v>
      </c>
    </row>
    <row r="17" spans="1:3" x14ac:dyDescent="0.25">
      <c r="A17" t="s">
        <v>80</v>
      </c>
      <c r="B17" s="28">
        <f>'C TRS'!B19</f>
        <v>0</v>
      </c>
      <c r="C17" s="28">
        <f>'C TRS'!B20</f>
        <v>40964645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265379499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36881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21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82638.893750000003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17292.1875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18106388.893750001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1993542.1875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18106388.893750001</v>
      </c>
      <c r="E4" s="28">
        <f>'Hawaii Summary'!H5</f>
        <v>1976250</v>
      </c>
      <c r="F4" s="45">
        <f>'Hawaii Summary'!I5</f>
        <v>0.15</v>
      </c>
      <c r="G4" s="28">
        <f>'Hawaii Summary'!J5</f>
        <v>265</v>
      </c>
      <c r="H4" s="28">
        <f>'Hawaii Summary'!K5</f>
        <v>1993542.1875</v>
      </c>
      <c r="I4" s="41"/>
    </row>
    <row r="6" spans="1:9" x14ac:dyDescent="0.25">
      <c r="A6" t="s">
        <v>75</v>
      </c>
      <c r="B6" s="48">
        <f>'Hawaii Summary'!B11</f>
        <v>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40598400</v>
      </c>
      <c r="C10" s="28">
        <f>B4*B7*'Notional Analysis'!C8</f>
        <v>142094400</v>
      </c>
      <c r="E10" t="s">
        <v>122</v>
      </c>
      <c r="G10" s="20">
        <f>B4*B6*'Notional Analysis'!C8</f>
        <v>40598400</v>
      </c>
    </row>
    <row r="11" spans="1:9" x14ac:dyDescent="0.25">
      <c r="A11" t="s">
        <v>108</v>
      </c>
      <c r="B11" s="20">
        <f>D4+H4</f>
        <v>20099931.081250001</v>
      </c>
      <c r="C11" s="28">
        <f>B11</f>
        <v>20099931.081250001</v>
      </c>
      <c r="E11" t="s">
        <v>123</v>
      </c>
      <c r="G11" s="54">
        <f>D4+H4</f>
        <v>20099931.081250001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20498468.918749999</v>
      </c>
    </row>
    <row r="13" spans="1:9" x14ac:dyDescent="0.25">
      <c r="C13" s="28"/>
      <c r="E13" t="s">
        <v>75</v>
      </c>
      <c r="F13" s="20">
        <f>B4*B6*'Notional Analysis'!C8</f>
        <v>40598400</v>
      </c>
    </row>
    <row r="14" spans="1:9" x14ac:dyDescent="0.25">
      <c r="A14" t="s">
        <v>109</v>
      </c>
      <c r="B14" s="20">
        <f>D4</f>
        <v>18106388.893750001</v>
      </c>
      <c r="C14" s="28">
        <f>B14</f>
        <v>18106388.893750001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38622150</v>
      </c>
      <c r="C15" s="59">
        <f>C10-E4+C12</f>
        <v>140118150</v>
      </c>
      <c r="F15" s="20"/>
      <c r="G15" s="20">
        <f>-F14+F13</f>
        <v>-101496000</v>
      </c>
    </row>
    <row r="16" spans="1:9" ht="13.8" thickBot="1" x14ac:dyDescent="0.3">
      <c r="A16" t="s">
        <v>117</v>
      </c>
      <c r="B16" s="20">
        <f>B15-B14</f>
        <v>20515761.106249999</v>
      </c>
      <c r="C16" s="60">
        <f>C15-C14</f>
        <v>122011761.10625</v>
      </c>
      <c r="D16" s="61" t="s">
        <v>115</v>
      </c>
      <c r="F16" s="20"/>
      <c r="G16" s="17">
        <f>G12-G15</f>
        <v>121994468.91875</v>
      </c>
      <c r="H16" s="20">
        <f>C16-G16</f>
        <v>17292.1875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101496000</v>
      </c>
      <c r="C20" s="28"/>
    </row>
    <row r="21" spans="1:3" x14ac:dyDescent="0.25">
      <c r="A21" t="s">
        <v>116</v>
      </c>
      <c r="B21" s="20">
        <f>B16-B19+B20</f>
        <v>122011761.10625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36881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22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417753.12421333336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36246.33833333334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87389257.124213338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3990392.3383333334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2023-09-10T15:43:50Z</dcterms:modified>
</cp:coreProperties>
</file>