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<sst xmlns="http://schemas.openxmlformats.org/spreadsheetml/2006/main" count="1173" uniqueCount="486">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</sst>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250" t="s">
        <v>485</v>
      </c>
      <c r="C2" s="250"/>
      <c r="D2" s="250"/>
      <c r="E2" s="250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36881</v>
      </c>
      <c r="D5" s="61" t="s">
        <v>16</v>
      </c>
      <c r="E5" s="62">
        <f>+C5-1</f>
        <v>36880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+Financials!I36</f>
        <v>175809626.50277779</v>
      </c>
      <c r="D21" s="58"/>
      <c r="E21" s="58"/>
      <c r="F21" s="57"/>
    </row>
    <row r="22" spans="1:6" x14ac:dyDescent="0.3">
      <c r="A22" s="56"/>
      <c r="B22" s="58"/>
      <c r="C22" s="64"/>
      <c r="D22" s="58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245" customWidth="1"/>
    <col min="3" max="3" width="10.8984375" style="245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240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3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3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3">
      <c r="A5" s="124"/>
      <c r="J5" s="4"/>
      <c r="L5" s="4"/>
      <c r="M5" s="4"/>
      <c r="N5" s="5"/>
      <c r="P5" s="4"/>
      <c r="Q5" s="4"/>
      <c r="R5" s="213"/>
      <c r="S5" s="126"/>
    </row>
    <row r="7" spans="1:20" ht="16.2" thickBot="1" x14ac:dyDescent="0.35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203" t="e">
        <f>+S9-'MRP Raptor'!U92+SUM(#REF!)+(+#REF!+#REF!)/0.6*0.3612</f>
        <v>#REF!</v>
      </c>
    </row>
    <row r="11" spans="1:20" x14ac:dyDescent="0.3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4" activePane="bottomLeft" state="frozen"/>
      <selection pane="bottomLeft" activeCell="A83" sqref="A83:B83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241" t="s">
        <v>149</v>
      </c>
      <c r="B1" s="118"/>
    </row>
    <row r="2" spans="1:2" x14ac:dyDescent="0.3">
      <c r="B2" s="119"/>
    </row>
    <row r="3" spans="1:2" x14ac:dyDescent="0.3">
      <c r="A3" s="255" t="s">
        <v>4</v>
      </c>
      <c r="B3" s="256"/>
    </row>
    <row r="4" spans="1:2" x14ac:dyDescent="0.3">
      <c r="A4" s="242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240">
        <v>36815</v>
      </c>
      <c r="B36" s="121">
        <v>80</v>
      </c>
    </row>
    <row r="37" spans="1:2" x14ac:dyDescent="0.3">
      <c r="A37" s="240">
        <v>36816</v>
      </c>
      <c r="B37" s="121">
        <v>79.188000000000002</v>
      </c>
    </row>
    <row r="38" spans="1:2" x14ac:dyDescent="0.3">
      <c r="A38" s="240">
        <v>36817</v>
      </c>
      <c r="B38" s="121">
        <v>78.75</v>
      </c>
    </row>
    <row r="39" spans="1:2" x14ac:dyDescent="0.3">
      <c r="A39" s="240">
        <v>36818</v>
      </c>
      <c r="B39" s="121">
        <v>79</v>
      </c>
    </row>
    <row r="40" spans="1:2" x14ac:dyDescent="0.3">
      <c r="A40" s="240">
        <v>36819</v>
      </c>
      <c r="B40" s="121">
        <v>80.5</v>
      </c>
    </row>
    <row r="41" spans="1:2" x14ac:dyDescent="0.3">
      <c r="A41" s="240">
        <v>36822</v>
      </c>
      <c r="B41" s="121">
        <v>82</v>
      </c>
    </row>
    <row r="42" spans="1:2" x14ac:dyDescent="0.3">
      <c r="A42" s="240">
        <v>36823</v>
      </c>
      <c r="B42" s="121">
        <v>80.1875</v>
      </c>
    </row>
    <row r="43" spans="1:2" x14ac:dyDescent="0.3">
      <c r="A43" s="240">
        <v>36824</v>
      </c>
      <c r="B43" s="121">
        <v>76.125</v>
      </c>
    </row>
    <row r="44" spans="1:2" x14ac:dyDescent="0.3">
      <c r="A44" s="240">
        <v>36825</v>
      </c>
      <c r="B44" s="121">
        <v>77.5</v>
      </c>
    </row>
    <row r="45" spans="1:2" x14ac:dyDescent="0.3">
      <c r="A45" s="240">
        <v>36826</v>
      </c>
      <c r="B45" s="121">
        <v>78.875</v>
      </c>
    </row>
    <row r="46" spans="1:2" x14ac:dyDescent="0.3">
      <c r="A46" s="240">
        <v>36829</v>
      </c>
      <c r="B46" s="121">
        <v>80.688000000000002</v>
      </c>
    </row>
    <row r="47" spans="1:2" x14ac:dyDescent="0.3">
      <c r="A47" s="240">
        <v>36830</v>
      </c>
      <c r="B47" s="121">
        <v>82.063000000000002</v>
      </c>
    </row>
    <row r="48" spans="1:2" x14ac:dyDescent="0.3">
      <c r="A48" s="240">
        <v>36831</v>
      </c>
      <c r="B48" s="121">
        <v>83.25</v>
      </c>
    </row>
    <row r="49" spans="1:2" x14ac:dyDescent="0.3">
      <c r="A49" s="240">
        <v>36832</v>
      </c>
      <c r="B49" s="121">
        <v>81.75</v>
      </c>
    </row>
    <row r="50" spans="1:2" x14ac:dyDescent="0.3">
      <c r="A50" s="240">
        <v>36833</v>
      </c>
      <c r="B50" s="121">
        <v>77.375</v>
      </c>
    </row>
    <row r="51" spans="1:2" x14ac:dyDescent="0.3">
      <c r="A51" s="240">
        <v>36836</v>
      </c>
      <c r="B51" s="121">
        <v>81.563000000000002</v>
      </c>
    </row>
    <row r="52" spans="1:2" x14ac:dyDescent="0.3">
      <c r="A52" s="240">
        <v>36837</v>
      </c>
      <c r="B52" s="121">
        <v>81.813000000000002</v>
      </c>
    </row>
    <row r="53" spans="1:2" x14ac:dyDescent="0.3">
      <c r="A53" s="240">
        <v>36838</v>
      </c>
      <c r="B53" s="121">
        <v>82.125</v>
      </c>
    </row>
    <row r="54" spans="1:2" x14ac:dyDescent="0.3">
      <c r="A54" s="240">
        <v>36839</v>
      </c>
      <c r="B54" s="121">
        <v>82.938000000000002</v>
      </c>
    </row>
    <row r="55" spans="1:2" x14ac:dyDescent="0.3">
      <c r="A55" s="240">
        <v>36840</v>
      </c>
      <c r="B55" s="121">
        <f>82+0.9375</f>
        <v>82.9375</v>
      </c>
    </row>
    <row r="56" spans="1:2" x14ac:dyDescent="0.3">
      <c r="A56" s="240">
        <v>36843</v>
      </c>
      <c r="B56" s="121">
        <v>79.438000000000002</v>
      </c>
    </row>
    <row r="57" spans="1:2" x14ac:dyDescent="0.3">
      <c r="A57" s="240">
        <v>36844</v>
      </c>
      <c r="B57" s="121">
        <v>79.563000000000002</v>
      </c>
    </row>
    <row r="58" spans="1:2" x14ac:dyDescent="0.3">
      <c r="A58" s="240">
        <v>36845</v>
      </c>
      <c r="B58" s="121">
        <v>80.375</v>
      </c>
    </row>
    <row r="59" spans="1:2" x14ac:dyDescent="0.3">
      <c r="A59" s="240">
        <v>36846</v>
      </c>
      <c r="B59" s="121">
        <v>81.25</v>
      </c>
    </row>
    <row r="60" spans="1:2" x14ac:dyDescent="0.3">
      <c r="A60" s="240">
        <v>36847</v>
      </c>
      <c r="B60" s="121">
        <v>81.5</v>
      </c>
    </row>
    <row r="61" spans="1:2" x14ac:dyDescent="0.3">
      <c r="A61" s="240">
        <v>36850</v>
      </c>
      <c r="B61" s="121">
        <v>80.25</v>
      </c>
    </row>
    <row r="62" spans="1:2" x14ac:dyDescent="0.3">
      <c r="A62" s="240">
        <v>36851</v>
      </c>
      <c r="B62" s="121">
        <v>80.375</v>
      </c>
    </row>
    <row r="63" spans="1:2" x14ac:dyDescent="0.3">
      <c r="A63" s="240">
        <v>36852</v>
      </c>
      <c r="B63" s="121">
        <v>75.563000000000002</v>
      </c>
    </row>
    <row r="64" spans="1:2" x14ac:dyDescent="0.3">
      <c r="A64" s="240">
        <v>36854</v>
      </c>
      <c r="B64" s="121">
        <v>77.75</v>
      </c>
    </row>
    <row r="65" spans="1:2" x14ac:dyDescent="0.3">
      <c r="A65" s="240">
        <v>36857</v>
      </c>
      <c r="B65" s="121">
        <v>78.875</v>
      </c>
    </row>
    <row r="66" spans="1:2" x14ac:dyDescent="0.3">
      <c r="A66" s="240">
        <v>36858</v>
      </c>
      <c r="B66" s="121">
        <v>78.438000000000002</v>
      </c>
    </row>
    <row r="67" spans="1:2" x14ac:dyDescent="0.3">
      <c r="A67" s="240">
        <v>36859</v>
      </c>
      <c r="B67" s="121">
        <v>70.25</v>
      </c>
    </row>
    <row r="68" spans="1:2" x14ac:dyDescent="0.3">
      <c r="A68" s="240">
        <v>36860</v>
      </c>
      <c r="B68" s="121">
        <v>64.75</v>
      </c>
    </row>
    <row r="69" spans="1:2" x14ac:dyDescent="0.3">
      <c r="A69" s="240">
        <v>36861</v>
      </c>
      <c r="B69" s="121">
        <v>65.5</v>
      </c>
    </row>
    <row r="70" spans="1:2" x14ac:dyDescent="0.3">
      <c r="A70" s="240">
        <v>36864</v>
      </c>
      <c r="B70" s="121">
        <v>65.938000000000002</v>
      </c>
    </row>
    <row r="71" spans="1:2" x14ac:dyDescent="0.3">
      <c r="A71" s="240">
        <v>36865</v>
      </c>
      <c r="B71" s="121">
        <v>68.25</v>
      </c>
    </row>
    <row r="72" spans="1:2" x14ac:dyDescent="0.3">
      <c r="A72" s="240">
        <v>36866</v>
      </c>
      <c r="B72" s="121">
        <v>71.938000000000002</v>
      </c>
    </row>
    <row r="73" spans="1:2" x14ac:dyDescent="0.3">
      <c r="A73" s="240">
        <v>36867</v>
      </c>
      <c r="B73" s="121">
        <v>72.875</v>
      </c>
    </row>
    <row r="74" spans="1:2" x14ac:dyDescent="0.3">
      <c r="A74" s="240">
        <v>36868</v>
      </c>
      <c r="B74" s="121">
        <v>73.063000000000002</v>
      </c>
    </row>
    <row r="75" spans="1:2" x14ac:dyDescent="0.3">
      <c r="A75" s="240">
        <v>36871</v>
      </c>
      <c r="B75" s="121">
        <v>76.5</v>
      </c>
    </row>
    <row r="76" spans="1:2" x14ac:dyDescent="0.3">
      <c r="A76" s="240">
        <v>36872</v>
      </c>
      <c r="B76" s="121">
        <v>77.188000000000002</v>
      </c>
    </row>
    <row r="77" spans="1:2" x14ac:dyDescent="0.3">
      <c r="A77" s="240">
        <v>36873</v>
      </c>
      <c r="B77" s="121">
        <v>74.5</v>
      </c>
    </row>
    <row r="78" spans="1:2" x14ac:dyDescent="0.3">
      <c r="A78" s="240">
        <v>36874</v>
      </c>
      <c r="B78" s="121">
        <v>76.5</v>
      </c>
    </row>
    <row r="79" spans="1:2" x14ac:dyDescent="0.3">
      <c r="A79" s="240">
        <v>36875</v>
      </c>
      <c r="B79" s="121">
        <v>77.563000000000002</v>
      </c>
    </row>
    <row r="80" spans="1:2" x14ac:dyDescent="0.3">
      <c r="A80" s="240">
        <v>36878</v>
      </c>
      <c r="B80" s="121">
        <v>79.563000000000002</v>
      </c>
    </row>
    <row r="81" spans="1:2" x14ac:dyDescent="0.3">
      <c r="A81" s="240">
        <v>36879</v>
      </c>
      <c r="B81" s="121">
        <v>79.75</v>
      </c>
    </row>
    <row r="82" spans="1:2" x14ac:dyDescent="0.3">
      <c r="A82" s="240">
        <v>36880</v>
      </c>
      <c r="B82" s="121">
        <v>79.75</v>
      </c>
    </row>
    <row r="83" spans="1:2" x14ac:dyDescent="0.3">
      <c r="A83" s="240">
        <v>36881</v>
      </c>
      <c r="B83" s="121">
        <v>79.313000000000002</v>
      </c>
    </row>
    <row r="258" ht="14.25" customHeight="1" x14ac:dyDescent="0.3"/>
    <row r="375" spans="1:2" x14ac:dyDescent="0.3">
      <c r="A375" s="1" t="s">
        <v>155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240" customWidth="1"/>
  </cols>
  <sheetData>
    <row r="1" spans="1:1" x14ac:dyDescent="0.3">
      <c r="A1" s="237" t="s">
        <v>149</v>
      </c>
    </row>
    <row r="2" spans="1:1" s="96" customFormat="1" x14ac:dyDescent="0.3">
      <c r="A2" s="238"/>
    </row>
    <row r="3" spans="1:1" s="211" customFormat="1" x14ac:dyDescent="0.3">
      <c r="A3" s="239" t="s">
        <v>1</v>
      </c>
    </row>
    <row r="257" ht="14.25" customHeight="1" x14ac:dyDescent="0.3"/>
    <row r="374" spans="1:1" x14ac:dyDescent="0.3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480</v>
      </c>
      <c r="H2" s="258">
        <f>+Summary!C5</f>
        <v>36881</v>
      </c>
      <c r="I2" s="258"/>
      <c r="J2" s="90"/>
      <c r="L2" s="258">
        <f>H2</f>
        <v>36881</v>
      </c>
      <c r="M2" s="258"/>
      <c r="N2" s="258"/>
      <c r="O2" s="258"/>
      <c r="P2" s="258"/>
    </row>
    <row r="3" spans="1:18" ht="16.2" thickBot="1" x14ac:dyDescent="0.35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3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2" thickBot="1" x14ac:dyDescent="0.35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79.313000000000002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36881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72695241.639999986</v>
      </c>
      <c r="O8" s="7" t="s">
        <v>101</v>
      </c>
      <c r="P8" s="7">
        <f>+E6-'Cash-Int-Trans'!B4+'Cash-Int-Trans'!B8</f>
        <v>41000000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3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369119071.93607306</v>
      </c>
      <c r="N10" s="18"/>
      <c r="O10" s="7" t="s">
        <v>111</v>
      </c>
      <c r="P10" s="7">
        <f>IF(I19&gt;0,0,-I19)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36881</v>
      </c>
      <c r="J11" s="13"/>
      <c r="L11" s="7" t="s">
        <v>40</v>
      </c>
      <c r="M11" s="7">
        <f>+Amort!B28</f>
        <v>1088888.888888889</v>
      </c>
      <c r="O11" s="7" t="s">
        <v>34</v>
      </c>
      <c r="P11" s="7">
        <f>E7-I16+'Cash-Int-Trans'!B9</f>
        <v>408711111.1111111</v>
      </c>
      <c r="R11" s="3"/>
    </row>
    <row r="12" spans="1:18" ht="16.2" thickTop="1" x14ac:dyDescent="0.3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1694241.6400000001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13192091.353850842</v>
      </c>
    </row>
    <row r="14" spans="1:18" ht="16.2" thickBot="1" x14ac:dyDescent="0.35">
      <c r="C14" s="24"/>
      <c r="D14" s="25"/>
      <c r="E14" s="26"/>
      <c r="H14" s="13" t="s">
        <v>473</v>
      </c>
      <c r="I14" s="16">
        <f>+Amort!B29</f>
        <v>1088888.888888889</v>
      </c>
      <c r="J14" s="13"/>
      <c r="L14" s="85" t="s">
        <v>7</v>
      </c>
      <c r="M14" s="12">
        <f>SUM(M8:M13)</f>
        <v>492903202.46496195</v>
      </c>
      <c r="N14" s="20"/>
      <c r="O14" s="85" t="s">
        <v>7</v>
      </c>
      <c r="P14" s="12">
        <f>SUM(P8:P13)</f>
        <v>492903202.46496195</v>
      </c>
      <c r="Q14" s="101" t="s">
        <v>143</v>
      </c>
    </row>
    <row r="15" spans="1:18" ht="16.2" thickTop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19119071.936073061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-8711111.1111111119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13191091.353850838</v>
      </c>
      <c r="L17" s="216" t="s">
        <v>46</v>
      </c>
      <c r="M17" s="216"/>
      <c r="P17" s="7">
        <f>M14</f>
        <v>492903202.46496195</v>
      </c>
      <c r="Q17" s="101" t="s">
        <v>143</v>
      </c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2" thickTop="1" x14ac:dyDescent="0.3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2" thickBot="1" x14ac:dyDescent="0.35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3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1013284731.9415245</v>
      </c>
    </row>
    <row r="22" spans="1:20" x14ac:dyDescent="0.3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2" thickBot="1" x14ac:dyDescent="0.35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13191091.353850838</v>
      </c>
      <c r="J23" s="38" t="s">
        <v>60</v>
      </c>
      <c r="L23" s="7" t="s">
        <v>51</v>
      </c>
      <c r="P23" s="7">
        <f>P21*P22</f>
        <v>30601198.90463404</v>
      </c>
    </row>
    <row r="24" spans="1:20" ht="16.2" thickTop="1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3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3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-601198.90463403985</v>
      </c>
    </row>
    <row r="27" spans="1:20" x14ac:dyDescent="0.3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3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3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13191091.353850838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3">
      <c r="H32" s="13" t="s">
        <v>483</v>
      </c>
      <c r="I32" s="16">
        <f>(+D15)*(I5-E15)</f>
        <v>-35185462.289999984</v>
      </c>
      <c r="J32" s="38"/>
      <c r="L32" s="7" t="s">
        <v>69</v>
      </c>
      <c r="M32" s="27">
        <f>E10</f>
        <v>1000</v>
      </c>
    </row>
    <row r="33" spans="1:14" x14ac:dyDescent="0.3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3">
      <c r="A34"/>
      <c r="B34"/>
      <c r="C34"/>
      <c r="D34"/>
      <c r="E34"/>
      <c r="H34" s="13" t="s">
        <v>139</v>
      </c>
      <c r="I34" s="16">
        <f>-I15</f>
        <v>-19119071.936073061</v>
      </c>
      <c r="J34" s="32" t="s">
        <v>53</v>
      </c>
      <c r="L34" s="7" t="s">
        <v>72</v>
      </c>
      <c r="M34" s="7">
        <f>I23</f>
        <v>13191091.353850838</v>
      </c>
    </row>
    <row r="35" spans="1:14" x14ac:dyDescent="0.3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2" thickBot="1" x14ac:dyDescent="0.35">
      <c r="A36"/>
      <c r="B36"/>
      <c r="C36"/>
      <c r="D36"/>
      <c r="E36"/>
      <c r="H36" s="36" t="s">
        <v>97</v>
      </c>
      <c r="I36" s="37">
        <f>SUM(I29:I35)</f>
        <v>175809626.50277779</v>
      </c>
      <c r="J36" s="13"/>
      <c r="L36" s="7" t="s">
        <v>74</v>
      </c>
      <c r="M36" s="7">
        <f>SUM(M33:M35)</f>
        <v>43192091.353850842</v>
      </c>
    </row>
    <row r="37" spans="1:14" ht="16.5" customHeight="1" thickTop="1" x14ac:dyDescent="0.3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3">
      <c r="A38"/>
      <c r="B38"/>
      <c r="C38"/>
      <c r="D38"/>
      <c r="E38"/>
      <c r="H38"/>
      <c r="I38"/>
      <c r="K38" s="7"/>
      <c r="L38" s="7" t="s">
        <v>146</v>
      </c>
      <c r="M38" s="27">
        <f>P13</f>
        <v>13192091.353850842</v>
      </c>
    </row>
    <row r="39" spans="1:14" ht="15.75" customHeight="1" x14ac:dyDescent="0.3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H40"/>
      <c r="I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3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8" max="8" width="9.8984375" bestFit="1" customWidth="1"/>
  </cols>
  <sheetData>
    <row r="1" spans="1:8" ht="16.2" thickBot="1" x14ac:dyDescent="0.35">
      <c r="A1" s="266" t="s">
        <v>103</v>
      </c>
      <c r="B1" s="266"/>
    </row>
    <row r="3" spans="1:8" x14ac:dyDescent="0.3">
      <c r="A3" s="13" t="s">
        <v>115</v>
      </c>
      <c r="B3" s="14"/>
      <c r="C3" s="7"/>
      <c r="E3" s="248"/>
      <c r="F3" s="248"/>
      <c r="G3" s="248"/>
    </row>
    <row r="4" spans="1:8" x14ac:dyDescent="0.3">
      <c r="A4" s="8" t="s">
        <v>79</v>
      </c>
      <c r="B4" s="16"/>
      <c r="C4" s="7"/>
      <c r="D4" s="1"/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80</v>
      </c>
      <c r="B6" s="247">
        <f>SUM(B3:B5)</f>
        <v>0</v>
      </c>
      <c r="C6" s="29" t="s">
        <v>81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3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3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266" t="s">
        <v>98</v>
      </c>
      <c r="B18" s="266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+Financials!I23</f>
        <v>13191091.353850838</v>
      </c>
    </row>
    <row r="23" spans="1:5" x14ac:dyDescent="0.3">
      <c r="A23" t="s">
        <v>100</v>
      </c>
      <c r="B23" s="7">
        <f>-Financials!I15</f>
        <v>-19119071.936073061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-1088888.888888889</v>
      </c>
    </row>
    <row r="29" spans="1:5" x14ac:dyDescent="0.3">
      <c r="A29" t="s">
        <v>105</v>
      </c>
      <c r="B29" s="7">
        <f>-Financials!E7+Financials!P11</f>
        <v>8711111.1111111045</v>
      </c>
    </row>
    <row r="30" spans="1:5" x14ac:dyDescent="0.3">
      <c r="A30" t="s">
        <v>477</v>
      </c>
      <c r="B30" s="7">
        <f>-Financials!E6+Financials!P8+Financials!P9</f>
        <v>0</v>
      </c>
      <c r="E30" s="7"/>
    </row>
    <row r="32" spans="1:5" x14ac:dyDescent="0.3">
      <c r="A32" t="s">
        <v>90</v>
      </c>
      <c r="B32" s="7">
        <f>+B12</f>
        <v>0</v>
      </c>
    </row>
    <row r="33" spans="1:6" x14ac:dyDescent="0.3">
      <c r="A33" t="s">
        <v>114</v>
      </c>
      <c r="B33" s="7">
        <f>+B13</f>
        <v>0</v>
      </c>
    </row>
    <row r="35" spans="1:6" ht="16.2" thickBot="1" x14ac:dyDescent="0.35">
      <c r="A35" t="s">
        <v>25</v>
      </c>
      <c r="B35" s="12">
        <f>SUM(B20:B34)</f>
        <v>72695241.639999986</v>
      </c>
      <c r="D35" s="7">
        <f>+B20+B12+B13+B38+B16</f>
        <v>72695241.640000001</v>
      </c>
    </row>
    <row r="36" spans="1:6" ht="16.2" thickTop="1" x14ac:dyDescent="0.3"/>
    <row r="37" spans="1:6" ht="16.2" thickBot="1" x14ac:dyDescent="0.35">
      <c r="A37" s="266" t="s">
        <v>147</v>
      </c>
      <c r="B37" s="266"/>
      <c r="C37" s="266"/>
      <c r="D37" s="266"/>
      <c r="E37" s="266"/>
      <c r="F37" s="266"/>
    </row>
    <row r="38" spans="1:6" x14ac:dyDescent="0.3">
      <c r="A38" s="104" t="s">
        <v>108</v>
      </c>
      <c r="B38" s="105">
        <f>+B44</f>
        <v>1694241.6400000001</v>
      </c>
    </row>
    <row r="39" spans="1:6" x14ac:dyDescent="0.3">
      <c r="A39" s="47"/>
      <c r="E39" s="199" t="s">
        <v>76</v>
      </c>
      <c r="F39" s="200"/>
    </row>
    <row r="40" spans="1:6" x14ac:dyDescent="0.3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3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3">
      <c r="A42" t="s">
        <v>1</v>
      </c>
      <c r="B42" s="1">
        <f>IF(Summary!$C$5&lt;'Cash-Int-Trans'!B40,+'Cash-Int-Trans'!B40,Summary!$C$5)</f>
        <v>36881</v>
      </c>
      <c r="E42" s="1">
        <v>36845</v>
      </c>
      <c r="F42" s="44"/>
    </row>
    <row r="43" spans="1:6" x14ac:dyDescent="0.3">
      <c r="A43" t="s">
        <v>75</v>
      </c>
      <c r="B43" s="3">
        <f>+B42-B40</f>
        <v>112</v>
      </c>
      <c r="E43" s="45" t="s">
        <v>77</v>
      </c>
      <c r="F43" s="46">
        <f>AVERAGE(F40:F42)</f>
        <v>7.22E-2</v>
      </c>
    </row>
    <row r="44" spans="1:6" x14ac:dyDescent="0.3">
      <c r="A44" t="s">
        <v>24</v>
      </c>
      <c r="B44" s="48">
        <f>+B41*(F43+0.0045)/360*B43</f>
        <v>1694241.6400000001</v>
      </c>
    </row>
    <row r="46" spans="1:6" ht="16.2" thickBot="1" x14ac:dyDescent="0.35">
      <c r="A46" s="266" t="s">
        <v>163</v>
      </c>
      <c r="B46" s="266"/>
      <c r="C46" s="266"/>
      <c r="D46" s="266"/>
      <c r="E46" s="266"/>
      <c r="F46" s="266"/>
    </row>
    <row r="47" spans="1:6" x14ac:dyDescent="0.3">
      <c r="A47" s="104" t="s">
        <v>160</v>
      </c>
      <c r="B47" s="105">
        <f>+B49+B56</f>
        <v>8711111.1111111119</v>
      </c>
    </row>
    <row r="48" spans="1:6" x14ac:dyDescent="0.3">
      <c r="A48" s="47"/>
    </row>
    <row r="49" spans="1:6" x14ac:dyDescent="0.3">
      <c r="A49" t="s">
        <v>164</v>
      </c>
      <c r="B49" s="3">
        <f>+Amort!B61</f>
        <v>8711111.1111111119</v>
      </c>
      <c r="E49" s="267"/>
      <c r="F49" s="268"/>
    </row>
    <row r="50" spans="1:6" x14ac:dyDescent="0.3">
      <c r="B50" s="3"/>
      <c r="E50" s="199"/>
      <c r="F50" s="200"/>
    </row>
    <row r="51" spans="1:6" x14ac:dyDescent="0.3">
      <c r="A51" t="s">
        <v>447</v>
      </c>
      <c r="B51" s="7"/>
      <c r="E51" s="43"/>
      <c r="F51" s="44"/>
    </row>
    <row r="52" spans="1:6" x14ac:dyDescent="0.3">
      <c r="A52" t="s">
        <v>165</v>
      </c>
      <c r="B52" s="1">
        <v>0</v>
      </c>
      <c r="E52" s="43"/>
      <c r="F52" s="44"/>
    </row>
    <row r="53" spans="1:6" x14ac:dyDescent="0.3">
      <c r="A53" t="s">
        <v>166</v>
      </c>
      <c r="B53" s="3"/>
      <c r="E53" s="43"/>
      <c r="F53" s="44"/>
    </row>
    <row r="54" spans="1:6" x14ac:dyDescent="0.3">
      <c r="A54" t="s">
        <v>1</v>
      </c>
      <c r="B54" s="1">
        <f>IF(Summary!C5&gt;Amort!A43,Amort!A43,Summary!C5)</f>
        <v>36881</v>
      </c>
    </row>
    <row r="55" spans="1:6" x14ac:dyDescent="0.3">
      <c r="A55" t="s">
        <v>75</v>
      </c>
      <c r="B55" s="3">
        <f>+B54-B52</f>
        <v>36881</v>
      </c>
    </row>
    <row r="56" spans="1:6" x14ac:dyDescent="0.3">
      <c r="A56" t="s">
        <v>446</v>
      </c>
      <c r="B56" s="48">
        <f>+B53*0.07/360*B55</f>
        <v>0</v>
      </c>
    </row>
    <row r="58" spans="1:6" ht="16.2" thickBot="1" x14ac:dyDescent="0.35">
      <c r="A58" s="266" t="s">
        <v>450</v>
      </c>
      <c r="B58" s="266"/>
      <c r="C58" s="266"/>
      <c r="D58" s="266"/>
      <c r="E58" s="266"/>
      <c r="F58" s="266"/>
    </row>
    <row r="60" spans="1:6" x14ac:dyDescent="0.3">
      <c r="A60" t="s">
        <v>118</v>
      </c>
      <c r="B60" s="1">
        <f>+Summary!C5</f>
        <v>36881</v>
      </c>
    </row>
    <row r="61" spans="1:6" x14ac:dyDescent="0.3">
      <c r="A61" t="s">
        <v>451</v>
      </c>
      <c r="B61" s="1">
        <v>36769</v>
      </c>
      <c r="D61" s="4">
        <f>IF(B60&gt;(B61-1),30000000,0)</f>
        <v>30000000</v>
      </c>
    </row>
    <row r="62" spans="1:6" x14ac:dyDescent="0.3">
      <c r="A62" t="s">
        <v>452</v>
      </c>
      <c r="B62" s="1"/>
      <c r="D62" s="4">
        <f>IF(B60&gt;(B62-1),0,0)</f>
        <v>0</v>
      </c>
    </row>
    <row r="63" spans="1:6" ht="17.399999999999999" x14ac:dyDescent="0.45">
      <c r="A63" t="s">
        <v>453</v>
      </c>
      <c r="B63" s="1">
        <f>+Summary!C5</f>
        <v>36881</v>
      </c>
      <c r="D63" s="202">
        <f>IF(B63&gt;B62,+(+B63-B62)/365*0.12*D62,0)</f>
        <v>0</v>
      </c>
    </row>
    <row r="64" spans="1:6" x14ac:dyDescent="0.3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157</v>
      </c>
      <c r="B1" s="6"/>
      <c r="G1" s="8"/>
      <c r="H1" s="8"/>
    </row>
    <row r="2" spans="1:9" x14ac:dyDescent="0.3">
      <c r="B2" s="106" t="s">
        <v>148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269">
        <f>+Summary!C5</f>
        <v>36881</v>
      </c>
      <c r="B23" s="269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112</v>
      </c>
      <c r="E27" s="111"/>
    </row>
    <row r="28" spans="1:9" s="97" customFormat="1" x14ac:dyDescent="0.3">
      <c r="A28" s="111" t="s">
        <v>26</v>
      </c>
      <c r="B28" s="97">
        <f>F25*B27/(F26-F24)</f>
        <v>1088888.888888889</v>
      </c>
    </row>
    <row r="29" spans="1:9" s="97" customFormat="1" x14ac:dyDescent="0.3">
      <c r="A29" s="111" t="s">
        <v>27</v>
      </c>
      <c r="B29" s="97">
        <f>+B25+B28</f>
        <v>1088888.888888889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269">
        <f>+Summary!C5</f>
        <v>36881</v>
      </c>
      <c r="B55" s="269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112</v>
      </c>
      <c r="C59" s="97"/>
      <c r="D59" s="97"/>
      <c r="E59" s="111"/>
      <c r="F59" s="97"/>
      <c r="G59" s="97"/>
    </row>
    <row r="60" spans="1:9" x14ac:dyDescent="0.3">
      <c r="A60" s="111" t="s">
        <v>159</v>
      </c>
      <c r="B60" s="97">
        <f>F57*B59/(F58-F56)</f>
        <v>8711111.1111111119</v>
      </c>
      <c r="C60" s="97"/>
      <c r="D60" s="97"/>
      <c r="E60" s="97"/>
      <c r="F60" s="97"/>
      <c r="G60" s="97"/>
    </row>
    <row r="61" spans="1:9" x14ac:dyDescent="0.3">
      <c r="A61" s="111" t="s">
        <v>160</v>
      </c>
      <c r="B61" s="97">
        <f>+B57+B60</f>
        <v>8711111.1111111119</v>
      </c>
      <c r="C61" s="97"/>
      <c r="D61" s="97"/>
      <c r="E61" s="97"/>
      <c r="F61" s="97"/>
      <c r="G61" s="97"/>
    </row>
    <row r="63" spans="1:9" x14ac:dyDescent="0.3">
      <c r="A63" s="7" t="s">
        <v>448</v>
      </c>
    </row>
    <row r="64" spans="1:9" x14ac:dyDescent="0.3">
      <c r="A64" s="1"/>
    </row>
    <row r="65" spans="1:5" x14ac:dyDescent="0.3">
      <c r="A65" s="1"/>
      <c r="C65" s="1"/>
      <c r="D65" s="1"/>
      <c r="E65" s="97"/>
    </row>
    <row r="66" spans="1:5" x14ac:dyDescent="0.3">
      <c r="A66" s="1"/>
      <c r="E66" s="97"/>
    </row>
    <row r="67" spans="1:5" x14ac:dyDescent="0.3">
      <c r="A67" s="1"/>
      <c r="C67" s="1"/>
      <c r="D67" s="1"/>
      <c r="E67" s="201"/>
    </row>
    <row r="70" spans="1:5" x14ac:dyDescent="0.3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3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3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3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3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3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3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3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3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3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3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3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3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3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3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3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3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3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3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3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3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3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3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3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3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3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3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3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3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3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3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3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3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3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3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3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3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3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3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3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3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3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3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3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3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3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3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3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3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3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3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3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3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3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3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3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3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3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3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3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3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3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3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3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3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3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3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3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3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3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3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3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3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3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3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3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3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3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3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3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3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3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3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3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3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3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3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3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3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3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3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5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2023-09-10T15:43:51Z</dcterms:modified>
</cp:coreProperties>
</file>