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4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ml.chartshapes+xml"/>
  <Override PartName="/xl/charts/chart32.xml" ContentType="application/vnd.openxmlformats-officedocument.drawingml.chart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drawings/drawing20.xml" ContentType="application/vnd.openxmlformats-officedocument.drawingml.chartshapes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2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5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6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7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36" tabRatio="929" firstSheet="4" activeTab="4"/>
  </bookViews>
  <sheets>
    <sheet name="IS Input" sheetId="1" state="hidden" r:id="rId1"/>
    <sheet name="volumes Input" sheetId="2" state="hidden" r:id="rId2"/>
    <sheet name="Funds Flow-Cap Employed" sheetId="3" state="hidden" r:id="rId3"/>
    <sheet name="Cash Flow by Team" sheetId="4" state="hidden" r:id="rId4"/>
    <sheet name="EGM Summary" sheetId="5" r:id="rId5"/>
    <sheet name="EGM Summary (2)" sheetId="6" r:id="rId6"/>
    <sheet name="Crude &amp; Products" sheetId="7" r:id="rId7"/>
    <sheet name="Crude &amp; Products volumes " sheetId="8" r:id="rId8"/>
    <sheet name="Coal" sheetId="9" r:id="rId9"/>
    <sheet name="Emissions" sheetId="10" state="hidden" r:id="rId10"/>
    <sheet name="Coal volumes" sheetId="11" r:id="rId11"/>
    <sheet name="Weather" sheetId="12" r:id="rId12"/>
    <sheet name="Weather volumes" sheetId="13" r:id="rId13"/>
    <sheet name="Insurance Risk Mkts" sheetId="14" r:id="rId14"/>
    <sheet name="Financial Trading" sheetId="15" r:id="rId15"/>
    <sheet name="PR" sheetId="16" state="hidden" r:id="rId16"/>
    <sheet name="Freight" sheetId="17" r:id="rId17"/>
    <sheet name="Freight volumes" sheetId="18" r:id="rId18"/>
    <sheet name="LNG" sheetId="19" r:id="rId19"/>
    <sheet name="Japan" sheetId="20" r:id="rId20"/>
    <sheet name="Middle East" sheetId="21" state="hidden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Print_Area" localSheetId="3">'Cash Flow by Team'!$A$1:$P$104</definedName>
    <definedName name="_xlnm.Print_Area" localSheetId="8">Coal!$A$1:$O$43</definedName>
    <definedName name="_xlnm.Print_Area" localSheetId="10">'Coal volumes'!$A$1:$O$42</definedName>
    <definedName name="_xlnm.Print_Area" localSheetId="6">'Crude &amp; Products'!$A$1:$O$43</definedName>
    <definedName name="_xlnm.Print_Area" localSheetId="7">'Crude &amp; Products volumes '!$A$1:$O$43</definedName>
    <definedName name="_xlnm.Print_Area" localSheetId="4">'EGM Summary'!$A$1:$O$42</definedName>
    <definedName name="_xlnm.Print_Area" localSheetId="5">'EGM Summary (2)'!$A$1:$O$42</definedName>
    <definedName name="_xlnm.Print_Area" localSheetId="14">'Financial Trading'!$A$1:$O$43</definedName>
    <definedName name="_xlnm.Print_Area" localSheetId="16">Freight!$A$1:$O$43</definedName>
    <definedName name="_xlnm.Print_Area" localSheetId="17">'Freight volumes'!$A$1:$O$43</definedName>
    <definedName name="_xlnm.Print_Area" localSheetId="2">'Funds Flow-Cap Employed'!$A$1:$P$65</definedName>
    <definedName name="_xlnm.Print_Area" localSheetId="13">'Insurance Risk Mkts'!$A$1:$O$43</definedName>
    <definedName name="_xlnm.Print_Area" localSheetId="0">'IS Input'!$AK$16:$AV$31</definedName>
    <definedName name="_xlnm.Print_Area" localSheetId="19">Japan!$A$1:$O$44</definedName>
    <definedName name="_xlnm.Print_Area" localSheetId="18">LNG!$A$1:$O$43</definedName>
    <definedName name="_xlnm.Print_Area" localSheetId="1">'volumes Input'!$AK$9:$AX$15</definedName>
    <definedName name="_xlnm.Print_Area" localSheetId="11">Weather!$A$1:$O$43</definedName>
    <definedName name="_xlnm.Print_Area" localSheetId="12">'Weather volumes'!$A$1:$O$42</definedName>
    <definedName name="_xlnm.Print_Titles" localSheetId="1">'volumes Input'!$A:$A</definedName>
  </definedNames>
  <calcPr calcId="92512" fullCalcOnLoad="1"/>
</workbook>
</file>

<file path=xl/calcChain.xml><?xml version="1.0" encoding="utf-8"?>
<calcChain xmlns="http://schemas.openxmlformats.org/spreadsheetml/2006/main">
  <c r="J1" i="4" l="1"/>
  <c r="J2" i="4"/>
  <c r="J3" i="4"/>
  <c r="D10" i="4"/>
  <c r="E10" i="4"/>
  <c r="F10" i="4"/>
  <c r="G10" i="4"/>
  <c r="H10" i="4"/>
  <c r="I10" i="4"/>
  <c r="J10" i="4"/>
  <c r="K10" i="4"/>
  <c r="L10" i="4"/>
  <c r="D14" i="4"/>
  <c r="E14" i="4"/>
  <c r="F14" i="4"/>
  <c r="G14" i="4"/>
  <c r="H14" i="4"/>
  <c r="I14" i="4"/>
  <c r="J14" i="4"/>
  <c r="K14" i="4"/>
  <c r="L14" i="4"/>
  <c r="D18" i="4"/>
  <c r="E18" i="4"/>
  <c r="F18" i="4"/>
  <c r="G18" i="4"/>
  <c r="H18" i="4"/>
  <c r="I18" i="4"/>
  <c r="J18" i="4"/>
  <c r="K18" i="4"/>
  <c r="L18" i="4"/>
  <c r="M18" i="4"/>
  <c r="N18" i="4"/>
  <c r="O18" i="4"/>
  <c r="D19" i="4"/>
  <c r="E19" i="4"/>
  <c r="F19" i="4"/>
  <c r="G19" i="4"/>
  <c r="H19" i="4"/>
  <c r="I19" i="4"/>
  <c r="J19" i="4"/>
  <c r="K19" i="4"/>
  <c r="L19" i="4"/>
  <c r="M19" i="4"/>
  <c r="N19" i="4"/>
  <c r="O19" i="4"/>
  <c r="D22" i="4"/>
  <c r="E22" i="4"/>
  <c r="F22" i="4"/>
  <c r="G22" i="4"/>
  <c r="H22" i="4"/>
  <c r="I22" i="4"/>
  <c r="J22" i="4"/>
  <c r="K22" i="4"/>
  <c r="L22" i="4"/>
  <c r="M22" i="4"/>
  <c r="N22" i="4"/>
  <c r="O22" i="4"/>
  <c r="D23" i="4"/>
  <c r="E23" i="4"/>
  <c r="F23" i="4"/>
  <c r="G23" i="4"/>
  <c r="H23" i="4"/>
  <c r="I23" i="4"/>
  <c r="J23" i="4"/>
  <c r="K23" i="4"/>
  <c r="L23" i="4"/>
  <c r="M23" i="4"/>
  <c r="N23" i="4"/>
  <c r="O23" i="4"/>
  <c r="D28" i="4"/>
  <c r="E28" i="4"/>
  <c r="F28" i="4"/>
  <c r="G28" i="4"/>
  <c r="H28" i="4"/>
  <c r="I28" i="4"/>
  <c r="J28" i="4"/>
  <c r="K28" i="4"/>
  <c r="L28" i="4"/>
  <c r="D32" i="4"/>
  <c r="E32" i="4"/>
  <c r="F32" i="4"/>
  <c r="G32" i="4"/>
  <c r="H32" i="4"/>
  <c r="I32" i="4"/>
  <c r="J32" i="4"/>
  <c r="K32" i="4"/>
  <c r="L32" i="4"/>
  <c r="D37" i="4"/>
  <c r="E37" i="4"/>
  <c r="F37" i="4"/>
  <c r="G37" i="4"/>
  <c r="H37" i="4"/>
  <c r="I37" i="4"/>
  <c r="J37" i="4"/>
  <c r="K37" i="4"/>
  <c r="L37" i="4"/>
  <c r="D41" i="4"/>
  <c r="E41" i="4"/>
  <c r="F41" i="4"/>
  <c r="G41" i="4"/>
  <c r="H41" i="4"/>
  <c r="I41" i="4"/>
  <c r="J41" i="4"/>
  <c r="K41" i="4"/>
  <c r="L41" i="4"/>
  <c r="D46" i="4"/>
  <c r="E46" i="4"/>
  <c r="F46" i="4"/>
  <c r="G46" i="4"/>
  <c r="H46" i="4"/>
  <c r="I46" i="4"/>
  <c r="J46" i="4"/>
  <c r="K46" i="4"/>
  <c r="L46" i="4"/>
  <c r="D50" i="4"/>
  <c r="E50" i="4"/>
  <c r="F50" i="4"/>
  <c r="G50" i="4"/>
  <c r="H50" i="4"/>
  <c r="I50" i="4"/>
  <c r="J50" i="4"/>
  <c r="K50" i="4"/>
  <c r="L50" i="4"/>
  <c r="D55" i="4"/>
  <c r="E55" i="4"/>
  <c r="F55" i="4"/>
  <c r="G55" i="4"/>
  <c r="H55" i="4"/>
  <c r="I55" i="4"/>
  <c r="J55" i="4"/>
  <c r="K55" i="4"/>
  <c r="L55" i="4"/>
  <c r="D59" i="4"/>
  <c r="E59" i="4"/>
  <c r="F59" i="4"/>
  <c r="G59" i="4"/>
  <c r="H59" i="4"/>
  <c r="I59" i="4"/>
  <c r="J59" i="4"/>
  <c r="K59" i="4"/>
  <c r="L59" i="4"/>
  <c r="D64" i="4"/>
  <c r="E64" i="4"/>
  <c r="F64" i="4"/>
  <c r="G64" i="4"/>
  <c r="H64" i="4"/>
  <c r="I64" i="4"/>
  <c r="J64" i="4"/>
  <c r="K64" i="4"/>
  <c r="L64" i="4"/>
  <c r="D68" i="4"/>
  <c r="E68" i="4"/>
  <c r="F68" i="4"/>
  <c r="G68" i="4"/>
  <c r="H68" i="4"/>
  <c r="I68" i="4"/>
  <c r="J68" i="4"/>
  <c r="K68" i="4"/>
  <c r="L68" i="4"/>
  <c r="D73" i="4"/>
  <c r="E73" i="4"/>
  <c r="F73" i="4"/>
  <c r="G73" i="4"/>
  <c r="H73" i="4"/>
  <c r="I73" i="4"/>
  <c r="J73" i="4"/>
  <c r="K73" i="4"/>
  <c r="L73" i="4"/>
  <c r="D77" i="4"/>
  <c r="E77" i="4"/>
  <c r="F77" i="4"/>
  <c r="G77" i="4"/>
  <c r="H77" i="4"/>
  <c r="I77" i="4"/>
  <c r="J77" i="4"/>
  <c r="K77" i="4"/>
  <c r="L77" i="4"/>
  <c r="D82" i="4"/>
  <c r="E82" i="4"/>
  <c r="F82" i="4"/>
  <c r="G82" i="4"/>
  <c r="H82" i="4"/>
  <c r="I82" i="4"/>
  <c r="J82" i="4"/>
  <c r="K82" i="4"/>
  <c r="L82" i="4"/>
  <c r="D86" i="4"/>
  <c r="E86" i="4"/>
  <c r="F86" i="4"/>
  <c r="G86" i="4"/>
  <c r="H86" i="4"/>
  <c r="I86" i="4"/>
  <c r="J86" i="4"/>
  <c r="K86" i="4"/>
  <c r="L86" i="4"/>
  <c r="D91" i="4"/>
  <c r="E91" i="4"/>
  <c r="F91" i="4"/>
  <c r="G91" i="4"/>
  <c r="H91" i="4"/>
  <c r="I91" i="4"/>
  <c r="J91" i="4"/>
  <c r="K91" i="4"/>
  <c r="L91" i="4"/>
  <c r="D95" i="4"/>
  <c r="E95" i="4"/>
  <c r="F95" i="4"/>
  <c r="G95" i="4"/>
  <c r="H95" i="4"/>
  <c r="I95" i="4"/>
  <c r="J95" i="4"/>
  <c r="K95" i="4"/>
  <c r="L95" i="4"/>
  <c r="J100" i="4"/>
  <c r="K100" i="4"/>
  <c r="L100" i="4"/>
  <c r="J104" i="4"/>
  <c r="K104" i="4"/>
  <c r="L104" i="4"/>
  <c r="J1" i="3"/>
  <c r="J2" i="3"/>
  <c r="J3" i="3"/>
  <c r="E10" i="3"/>
  <c r="G10" i="3"/>
  <c r="K10" i="3"/>
  <c r="L10" i="3"/>
  <c r="D11" i="3"/>
  <c r="E11" i="3"/>
  <c r="F11" i="3"/>
  <c r="D13" i="3"/>
  <c r="E13" i="3"/>
  <c r="F13" i="3"/>
  <c r="G13" i="3"/>
  <c r="H13" i="3"/>
  <c r="I13" i="3"/>
  <c r="J13" i="3"/>
  <c r="K13" i="3"/>
  <c r="L13" i="3"/>
  <c r="M13" i="3"/>
  <c r="N13" i="3"/>
  <c r="O13" i="3"/>
  <c r="D20" i="3"/>
  <c r="E20" i="3"/>
  <c r="F20" i="3"/>
  <c r="G20" i="3"/>
  <c r="H20" i="3"/>
  <c r="I20" i="3"/>
  <c r="J20" i="3"/>
  <c r="K20" i="3"/>
  <c r="L20" i="3"/>
  <c r="M20" i="3"/>
  <c r="N20" i="3"/>
  <c r="O20" i="3"/>
  <c r="L21" i="3"/>
  <c r="D22" i="3"/>
  <c r="E22" i="3"/>
  <c r="F22" i="3"/>
  <c r="F23" i="3"/>
  <c r="L23" i="3"/>
  <c r="D24" i="3"/>
  <c r="E24" i="3"/>
  <c r="F24" i="3"/>
  <c r="G24" i="3"/>
  <c r="H24" i="3"/>
  <c r="I24" i="3"/>
  <c r="J24" i="3"/>
  <c r="K24" i="3"/>
  <c r="L24" i="3"/>
  <c r="M24" i="3"/>
  <c r="N24" i="3"/>
  <c r="O24" i="3"/>
  <c r="D25" i="3"/>
  <c r="E25" i="3"/>
  <c r="F25" i="3"/>
  <c r="L25" i="3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H30" i="3"/>
  <c r="I30" i="3"/>
  <c r="J30" i="3"/>
  <c r="K30" i="3"/>
  <c r="L30" i="3"/>
  <c r="M30" i="3"/>
  <c r="N30" i="3"/>
  <c r="O30" i="3"/>
  <c r="D31" i="3"/>
  <c r="E31" i="3"/>
  <c r="F31" i="3"/>
  <c r="G31" i="3"/>
  <c r="H31" i="3"/>
  <c r="I31" i="3"/>
  <c r="J31" i="3"/>
  <c r="K31" i="3"/>
  <c r="L31" i="3"/>
  <c r="M31" i="3"/>
  <c r="N31" i="3"/>
  <c r="O31" i="3"/>
  <c r="D33" i="3"/>
  <c r="E33" i="3"/>
  <c r="F33" i="3"/>
  <c r="G33" i="3"/>
  <c r="H33" i="3"/>
  <c r="I33" i="3"/>
  <c r="J33" i="3"/>
  <c r="K33" i="3"/>
  <c r="L33" i="3"/>
  <c r="M33" i="3"/>
  <c r="N33" i="3"/>
  <c r="O33" i="3"/>
  <c r="D34" i="3"/>
  <c r="E34" i="3"/>
  <c r="F34" i="3"/>
  <c r="G34" i="3"/>
  <c r="H34" i="3"/>
  <c r="I34" i="3"/>
  <c r="J34" i="3"/>
  <c r="K34" i="3"/>
  <c r="L34" i="3"/>
  <c r="M34" i="3"/>
  <c r="N34" i="3"/>
  <c r="O34" i="3"/>
  <c r="D36" i="3"/>
  <c r="E36" i="3"/>
  <c r="F36" i="3"/>
  <c r="G36" i="3"/>
  <c r="H36" i="3"/>
  <c r="I36" i="3"/>
  <c r="J36" i="3"/>
  <c r="K36" i="3"/>
  <c r="L36" i="3"/>
  <c r="M36" i="3"/>
  <c r="N36" i="3"/>
  <c r="O36" i="3"/>
  <c r="D37" i="3"/>
  <c r="E37" i="3"/>
  <c r="F37" i="3"/>
  <c r="G37" i="3"/>
  <c r="H37" i="3"/>
  <c r="I37" i="3"/>
  <c r="J37" i="3"/>
  <c r="K37" i="3"/>
  <c r="L37" i="3"/>
  <c r="M37" i="3"/>
  <c r="N37" i="3"/>
  <c r="O37" i="3"/>
  <c r="D40" i="3"/>
  <c r="E40" i="3"/>
  <c r="F40" i="3"/>
  <c r="D41" i="3"/>
  <c r="E41" i="3"/>
  <c r="F41" i="3"/>
  <c r="G41" i="3"/>
  <c r="H41" i="3"/>
  <c r="I41" i="3"/>
  <c r="J41" i="3"/>
  <c r="K41" i="3"/>
  <c r="L41" i="3"/>
  <c r="M41" i="3"/>
  <c r="N41" i="3"/>
  <c r="O41" i="3"/>
  <c r="D43" i="3"/>
  <c r="E43" i="3"/>
  <c r="F43" i="3"/>
  <c r="G43" i="3"/>
  <c r="H43" i="3"/>
  <c r="I43" i="3"/>
  <c r="J43" i="3"/>
  <c r="K43" i="3"/>
  <c r="L43" i="3"/>
  <c r="M43" i="3"/>
  <c r="N43" i="3"/>
  <c r="O43" i="3"/>
  <c r="B3" i="1"/>
  <c r="C3" i="1"/>
  <c r="D3" i="1"/>
  <c r="E3" i="1"/>
  <c r="F3" i="1"/>
  <c r="G3" i="1"/>
  <c r="I3" i="1"/>
  <c r="J3" i="1"/>
  <c r="K3" i="1"/>
  <c r="L3" i="1"/>
  <c r="M3" i="1"/>
  <c r="N3" i="1"/>
  <c r="P3" i="1"/>
  <c r="Q3" i="1"/>
  <c r="R3" i="1"/>
  <c r="S3" i="1"/>
  <c r="T3" i="1"/>
  <c r="U3" i="1"/>
  <c r="W3" i="1"/>
  <c r="X3" i="1"/>
  <c r="Y3" i="1"/>
  <c r="Z3" i="1"/>
  <c r="AA3" i="1"/>
  <c r="AB3" i="1"/>
  <c r="AD3" i="1"/>
  <c r="AE3" i="1"/>
  <c r="AF3" i="1"/>
  <c r="AG3" i="1"/>
  <c r="AH3" i="1"/>
  <c r="AI3" i="1"/>
  <c r="B4" i="1"/>
  <c r="C4" i="1"/>
  <c r="D4" i="1"/>
  <c r="E4" i="1"/>
  <c r="F4" i="1"/>
  <c r="G4" i="1"/>
  <c r="I4" i="1"/>
  <c r="J4" i="1"/>
  <c r="K4" i="1"/>
  <c r="L4" i="1"/>
  <c r="M4" i="1"/>
  <c r="N4" i="1"/>
  <c r="P4" i="1"/>
  <c r="Q4" i="1"/>
  <c r="R4" i="1"/>
  <c r="S4" i="1"/>
  <c r="T4" i="1"/>
  <c r="U4" i="1"/>
  <c r="W4" i="1"/>
  <c r="X4" i="1"/>
  <c r="Y4" i="1"/>
  <c r="Z4" i="1"/>
  <c r="AA4" i="1"/>
  <c r="AB4" i="1"/>
  <c r="AD4" i="1"/>
  <c r="AE4" i="1"/>
  <c r="AF4" i="1"/>
  <c r="AG4" i="1"/>
  <c r="AH4" i="1"/>
  <c r="AI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G4" i="1"/>
  <c r="BI4" i="1"/>
  <c r="B5" i="1"/>
  <c r="C5" i="1"/>
  <c r="D5" i="1"/>
  <c r="E5" i="1"/>
  <c r="F5" i="1"/>
  <c r="G5" i="1"/>
  <c r="I5" i="1"/>
  <c r="J5" i="1"/>
  <c r="K5" i="1"/>
  <c r="L5" i="1"/>
  <c r="M5" i="1"/>
  <c r="N5" i="1"/>
  <c r="P5" i="1"/>
  <c r="Q5" i="1"/>
  <c r="R5" i="1"/>
  <c r="S5" i="1"/>
  <c r="T5" i="1"/>
  <c r="U5" i="1"/>
  <c r="W5" i="1"/>
  <c r="X5" i="1"/>
  <c r="Y5" i="1"/>
  <c r="Z5" i="1"/>
  <c r="AA5" i="1"/>
  <c r="AB5" i="1"/>
  <c r="AD5" i="1"/>
  <c r="AE5" i="1"/>
  <c r="AF5" i="1"/>
  <c r="AG5" i="1"/>
  <c r="AH5" i="1"/>
  <c r="AI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G5" i="1"/>
  <c r="BI5" i="1"/>
  <c r="B6" i="1"/>
  <c r="C6" i="1"/>
  <c r="D6" i="1"/>
  <c r="E6" i="1"/>
  <c r="F6" i="1"/>
  <c r="G6" i="1"/>
  <c r="I6" i="1"/>
  <c r="J6" i="1"/>
  <c r="K6" i="1"/>
  <c r="L6" i="1"/>
  <c r="M6" i="1"/>
  <c r="N6" i="1"/>
  <c r="P6" i="1"/>
  <c r="Q6" i="1"/>
  <c r="R6" i="1"/>
  <c r="S6" i="1"/>
  <c r="T6" i="1"/>
  <c r="U6" i="1"/>
  <c r="W6" i="1"/>
  <c r="X6" i="1"/>
  <c r="Y6" i="1"/>
  <c r="Z6" i="1"/>
  <c r="AA6" i="1"/>
  <c r="AB6" i="1"/>
  <c r="AD6" i="1"/>
  <c r="AE6" i="1"/>
  <c r="AF6" i="1"/>
  <c r="AG6" i="1"/>
  <c r="AH6" i="1"/>
  <c r="AI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G6" i="1"/>
  <c r="BI6" i="1"/>
  <c r="B7" i="1"/>
  <c r="C7" i="1"/>
  <c r="D7" i="1"/>
  <c r="E7" i="1"/>
  <c r="F7" i="1"/>
  <c r="G7" i="1"/>
  <c r="I7" i="1"/>
  <c r="J7" i="1"/>
  <c r="K7" i="1"/>
  <c r="L7" i="1"/>
  <c r="M7" i="1"/>
  <c r="N7" i="1"/>
  <c r="P7" i="1"/>
  <c r="Q7" i="1"/>
  <c r="R7" i="1"/>
  <c r="S7" i="1"/>
  <c r="T7" i="1"/>
  <c r="U7" i="1"/>
  <c r="W7" i="1"/>
  <c r="X7" i="1"/>
  <c r="Y7" i="1"/>
  <c r="Z7" i="1"/>
  <c r="AA7" i="1"/>
  <c r="AB7" i="1"/>
  <c r="AD7" i="1"/>
  <c r="AE7" i="1"/>
  <c r="AF7" i="1"/>
  <c r="AG7" i="1"/>
  <c r="AH7" i="1"/>
  <c r="AI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G7" i="1"/>
  <c r="BI7" i="1"/>
  <c r="B8" i="1"/>
  <c r="C8" i="1"/>
  <c r="D8" i="1"/>
  <c r="E8" i="1"/>
  <c r="F8" i="1"/>
  <c r="G8" i="1"/>
  <c r="I8" i="1"/>
  <c r="J8" i="1"/>
  <c r="K8" i="1"/>
  <c r="L8" i="1"/>
  <c r="M8" i="1"/>
  <c r="N8" i="1"/>
  <c r="P8" i="1"/>
  <c r="Q8" i="1"/>
  <c r="R8" i="1"/>
  <c r="S8" i="1"/>
  <c r="T8" i="1"/>
  <c r="U8" i="1"/>
  <c r="W8" i="1"/>
  <c r="X8" i="1"/>
  <c r="Y8" i="1"/>
  <c r="Z8" i="1"/>
  <c r="AA8" i="1"/>
  <c r="AB8" i="1"/>
  <c r="AD8" i="1"/>
  <c r="AE8" i="1"/>
  <c r="AF8" i="1"/>
  <c r="AG8" i="1"/>
  <c r="AH8" i="1"/>
  <c r="AI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G8" i="1"/>
  <c r="BI8" i="1"/>
  <c r="B9" i="1"/>
  <c r="C9" i="1"/>
  <c r="D9" i="1"/>
  <c r="E9" i="1"/>
  <c r="F9" i="1"/>
  <c r="G9" i="1"/>
  <c r="I9" i="1"/>
  <c r="J9" i="1"/>
  <c r="K9" i="1"/>
  <c r="L9" i="1"/>
  <c r="M9" i="1"/>
  <c r="N9" i="1"/>
  <c r="P9" i="1"/>
  <c r="Q9" i="1"/>
  <c r="R9" i="1"/>
  <c r="S9" i="1"/>
  <c r="T9" i="1"/>
  <c r="U9" i="1"/>
  <c r="W9" i="1"/>
  <c r="X9" i="1"/>
  <c r="Y9" i="1"/>
  <c r="Z9" i="1"/>
  <c r="AA9" i="1"/>
  <c r="AB9" i="1"/>
  <c r="AD9" i="1"/>
  <c r="AE9" i="1"/>
  <c r="AF9" i="1"/>
  <c r="AG9" i="1"/>
  <c r="AH9" i="1"/>
  <c r="AI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G9" i="1"/>
  <c r="BI9" i="1"/>
  <c r="P10" i="1"/>
  <c r="Q10" i="1"/>
  <c r="R10" i="1"/>
  <c r="S10" i="1"/>
  <c r="T10" i="1"/>
  <c r="U10" i="1"/>
  <c r="W10" i="1"/>
  <c r="X10" i="1"/>
  <c r="Y10" i="1"/>
  <c r="Z10" i="1"/>
  <c r="AA10" i="1"/>
  <c r="AB10" i="1"/>
  <c r="AD10" i="1"/>
  <c r="AE10" i="1"/>
  <c r="AF10" i="1"/>
  <c r="AG10" i="1"/>
  <c r="AH10" i="1"/>
  <c r="AI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G10" i="1"/>
  <c r="BI10" i="1"/>
  <c r="B11" i="1"/>
  <c r="C11" i="1"/>
  <c r="D11" i="1"/>
  <c r="E11" i="1"/>
  <c r="F11" i="1"/>
  <c r="G11" i="1"/>
  <c r="I11" i="1"/>
  <c r="J11" i="1"/>
  <c r="K11" i="1"/>
  <c r="L11" i="1"/>
  <c r="M11" i="1"/>
  <c r="N11" i="1"/>
  <c r="P11" i="1"/>
  <c r="Q11" i="1"/>
  <c r="R11" i="1"/>
  <c r="S11" i="1"/>
  <c r="T11" i="1"/>
  <c r="U11" i="1"/>
  <c r="W11" i="1"/>
  <c r="X11" i="1"/>
  <c r="Y11" i="1"/>
  <c r="Z11" i="1"/>
  <c r="AA11" i="1"/>
  <c r="AB11" i="1"/>
  <c r="AD11" i="1"/>
  <c r="AE11" i="1"/>
  <c r="AF11" i="1"/>
  <c r="AG11" i="1"/>
  <c r="AH11" i="1"/>
  <c r="AI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G11" i="1"/>
  <c r="BI11" i="1"/>
  <c r="B12" i="1"/>
  <c r="C12" i="1"/>
  <c r="D12" i="1"/>
  <c r="E12" i="1"/>
  <c r="F12" i="1"/>
  <c r="G12" i="1"/>
  <c r="I12" i="1"/>
  <c r="J12" i="1"/>
  <c r="K12" i="1"/>
  <c r="L12" i="1"/>
  <c r="M12" i="1"/>
  <c r="N12" i="1"/>
  <c r="P12" i="1"/>
  <c r="Q12" i="1"/>
  <c r="R12" i="1"/>
  <c r="S12" i="1"/>
  <c r="T12" i="1"/>
  <c r="U12" i="1"/>
  <c r="W12" i="1"/>
  <c r="X12" i="1"/>
  <c r="Y12" i="1"/>
  <c r="Z12" i="1"/>
  <c r="AA12" i="1"/>
  <c r="AB12" i="1"/>
  <c r="AD12" i="1"/>
  <c r="AE12" i="1"/>
  <c r="AF12" i="1"/>
  <c r="AG12" i="1"/>
  <c r="AH12" i="1"/>
  <c r="AI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G12" i="1"/>
  <c r="BI12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G13" i="1"/>
  <c r="BI13" i="1"/>
  <c r="B16" i="1"/>
  <c r="C16" i="1"/>
  <c r="D16" i="1"/>
  <c r="E16" i="1"/>
  <c r="F16" i="1"/>
  <c r="G16" i="1"/>
  <c r="I16" i="1"/>
  <c r="J16" i="1"/>
  <c r="K16" i="1"/>
  <c r="L16" i="1"/>
  <c r="M16" i="1"/>
  <c r="N16" i="1"/>
  <c r="P16" i="1"/>
  <c r="Q16" i="1"/>
  <c r="R16" i="1"/>
  <c r="S16" i="1"/>
  <c r="T16" i="1"/>
  <c r="U16" i="1"/>
  <c r="W16" i="1"/>
  <c r="X16" i="1"/>
  <c r="Y16" i="1"/>
  <c r="Z16" i="1"/>
  <c r="AA16" i="1"/>
  <c r="AB16" i="1"/>
  <c r="AD16" i="1"/>
  <c r="AE16" i="1"/>
  <c r="AF16" i="1"/>
  <c r="AG16" i="1"/>
  <c r="AH16" i="1"/>
  <c r="AI16" i="1"/>
  <c r="B17" i="1"/>
  <c r="C17" i="1"/>
  <c r="D17" i="1"/>
  <c r="E17" i="1"/>
  <c r="F17" i="1"/>
  <c r="G17" i="1"/>
  <c r="I17" i="1"/>
  <c r="J17" i="1"/>
  <c r="K17" i="1"/>
  <c r="L17" i="1"/>
  <c r="M17" i="1"/>
  <c r="N17" i="1"/>
  <c r="P17" i="1"/>
  <c r="Q17" i="1"/>
  <c r="R17" i="1"/>
  <c r="S17" i="1"/>
  <c r="T17" i="1"/>
  <c r="U17" i="1"/>
  <c r="W17" i="1"/>
  <c r="X17" i="1"/>
  <c r="Y17" i="1"/>
  <c r="Z17" i="1"/>
  <c r="AA17" i="1"/>
  <c r="AB17" i="1"/>
  <c r="AD17" i="1"/>
  <c r="AE17" i="1"/>
  <c r="AF17" i="1"/>
  <c r="AG17" i="1"/>
  <c r="AH17" i="1"/>
  <c r="AI17" i="1"/>
  <c r="B18" i="1"/>
  <c r="C18" i="1"/>
  <c r="D18" i="1"/>
  <c r="E18" i="1"/>
  <c r="F18" i="1"/>
  <c r="G18" i="1"/>
  <c r="I18" i="1"/>
  <c r="J18" i="1"/>
  <c r="K18" i="1"/>
  <c r="L18" i="1"/>
  <c r="M18" i="1"/>
  <c r="N18" i="1"/>
  <c r="S18" i="1"/>
  <c r="T18" i="1"/>
  <c r="U18" i="1"/>
  <c r="Z18" i="1"/>
  <c r="AA18" i="1"/>
  <c r="AB18" i="1"/>
  <c r="AD18" i="1"/>
  <c r="AE18" i="1"/>
  <c r="AF18" i="1"/>
  <c r="AG18" i="1"/>
  <c r="AH18" i="1"/>
  <c r="AI18" i="1"/>
  <c r="B19" i="1"/>
  <c r="C19" i="1"/>
  <c r="D19" i="1"/>
  <c r="E19" i="1"/>
  <c r="F19" i="1"/>
  <c r="G19" i="1"/>
  <c r="I19" i="1"/>
  <c r="J19" i="1"/>
  <c r="K19" i="1"/>
  <c r="L19" i="1"/>
  <c r="M19" i="1"/>
  <c r="N19" i="1"/>
  <c r="P19" i="1"/>
  <c r="Q19" i="1"/>
  <c r="R19" i="1"/>
  <c r="S19" i="1"/>
  <c r="T19" i="1"/>
  <c r="U19" i="1"/>
  <c r="W19" i="1"/>
  <c r="X19" i="1"/>
  <c r="Y19" i="1"/>
  <c r="Z19" i="1"/>
  <c r="AA19" i="1"/>
  <c r="AB19" i="1"/>
  <c r="AD19" i="1"/>
  <c r="AE19" i="1"/>
  <c r="AF19" i="1"/>
  <c r="AG19" i="1"/>
  <c r="AH19" i="1"/>
  <c r="AI19" i="1"/>
  <c r="AX19" i="1"/>
  <c r="AZ19" i="1"/>
  <c r="BB19" i="1"/>
  <c r="BD19" i="1"/>
  <c r="B20" i="1"/>
  <c r="C20" i="1"/>
  <c r="D20" i="1"/>
  <c r="E20" i="1"/>
  <c r="F20" i="1"/>
  <c r="G20" i="1"/>
  <c r="I20" i="1"/>
  <c r="J20" i="1"/>
  <c r="K20" i="1"/>
  <c r="L20" i="1"/>
  <c r="M20" i="1"/>
  <c r="N20" i="1"/>
  <c r="P20" i="1"/>
  <c r="Q20" i="1"/>
  <c r="R20" i="1"/>
  <c r="S20" i="1"/>
  <c r="T20" i="1"/>
  <c r="U20" i="1"/>
  <c r="W20" i="1"/>
  <c r="X20" i="1"/>
  <c r="Y20" i="1"/>
  <c r="Z20" i="1"/>
  <c r="AA20" i="1"/>
  <c r="AB20" i="1"/>
  <c r="AD20" i="1"/>
  <c r="AE20" i="1"/>
  <c r="AF20" i="1"/>
  <c r="AG20" i="1"/>
  <c r="AH20" i="1"/>
  <c r="AI20" i="1"/>
  <c r="AX20" i="1"/>
  <c r="AZ20" i="1"/>
  <c r="BB20" i="1"/>
  <c r="BD20" i="1"/>
  <c r="B21" i="1"/>
  <c r="C21" i="1"/>
  <c r="D21" i="1"/>
  <c r="E21" i="1"/>
  <c r="F21" i="1"/>
  <c r="G21" i="1"/>
  <c r="I21" i="1"/>
  <c r="J21" i="1"/>
  <c r="K21" i="1"/>
  <c r="L21" i="1"/>
  <c r="M21" i="1"/>
  <c r="N21" i="1"/>
  <c r="P21" i="1"/>
  <c r="Q21" i="1"/>
  <c r="R21" i="1"/>
  <c r="S21" i="1"/>
  <c r="T21" i="1"/>
  <c r="U21" i="1"/>
  <c r="W21" i="1"/>
  <c r="X21" i="1"/>
  <c r="Y21" i="1"/>
  <c r="Z21" i="1"/>
  <c r="AA21" i="1"/>
  <c r="AB21" i="1"/>
  <c r="AD21" i="1"/>
  <c r="AE21" i="1"/>
  <c r="AF21" i="1"/>
  <c r="AG21" i="1"/>
  <c r="AH21" i="1"/>
  <c r="AI21" i="1"/>
  <c r="AX21" i="1"/>
  <c r="AZ21" i="1"/>
  <c r="BB21" i="1"/>
  <c r="BD21" i="1"/>
  <c r="B22" i="1"/>
  <c r="C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S22" i="1"/>
  <c r="T22" i="1"/>
  <c r="U22" i="1"/>
  <c r="W22" i="1"/>
  <c r="X22" i="1"/>
  <c r="Y22" i="1"/>
  <c r="Z22" i="1"/>
  <c r="AA22" i="1"/>
  <c r="AB22" i="1"/>
  <c r="AD22" i="1"/>
  <c r="AE22" i="1"/>
  <c r="AF22" i="1"/>
  <c r="AG22" i="1"/>
  <c r="AH22" i="1"/>
  <c r="AI22" i="1"/>
  <c r="AX22" i="1"/>
  <c r="AZ22" i="1"/>
  <c r="BB22" i="1"/>
  <c r="BD22" i="1"/>
  <c r="B23" i="1"/>
  <c r="C23" i="1"/>
  <c r="D23" i="1"/>
  <c r="E23" i="1"/>
  <c r="F23" i="1"/>
  <c r="G23" i="1"/>
  <c r="I23" i="1"/>
  <c r="J23" i="1"/>
  <c r="K23" i="1"/>
  <c r="L23" i="1"/>
  <c r="M23" i="1"/>
  <c r="N23" i="1"/>
  <c r="P23" i="1"/>
  <c r="Q23" i="1"/>
  <c r="R23" i="1"/>
  <c r="S23" i="1"/>
  <c r="T23" i="1"/>
  <c r="U23" i="1"/>
  <c r="W23" i="1"/>
  <c r="X23" i="1"/>
  <c r="Y23" i="1"/>
  <c r="Z23" i="1"/>
  <c r="AA23" i="1"/>
  <c r="AB23" i="1"/>
  <c r="AD23" i="1"/>
  <c r="AE23" i="1"/>
  <c r="AF23" i="1"/>
  <c r="AG23" i="1"/>
  <c r="AH23" i="1"/>
  <c r="AI23" i="1"/>
  <c r="B24" i="1"/>
  <c r="C24" i="1"/>
  <c r="D24" i="1"/>
  <c r="E24" i="1"/>
  <c r="F24" i="1"/>
  <c r="G24" i="1"/>
  <c r="I24" i="1"/>
  <c r="J24" i="1"/>
  <c r="K24" i="1"/>
  <c r="L24" i="1"/>
  <c r="M24" i="1"/>
  <c r="N24" i="1"/>
  <c r="P24" i="1"/>
  <c r="Q24" i="1"/>
  <c r="R24" i="1"/>
  <c r="S24" i="1"/>
  <c r="T24" i="1"/>
  <c r="U24" i="1"/>
  <c r="Z24" i="1"/>
  <c r="AA24" i="1"/>
  <c r="AB24" i="1"/>
  <c r="AD24" i="1"/>
  <c r="AE24" i="1"/>
  <c r="AF24" i="1"/>
  <c r="AG24" i="1"/>
  <c r="AH24" i="1"/>
  <c r="AI24" i="1"/>
  <c r="P25" i="1"/>
  <c r="Q25" i="1"/>
  <c r="R25" i="1"/>
  <c r="S25" i="1"/>
  <c r="T25" i="1"/>
  <c r="U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B26" i="1"/>
  <c r="C26" i="1"/>
  <c r="D26" i="1"/>
  <c r="E26" i="1"/>
  <c r="F26" i="1"/>
  <c r="G26" i="1"/>
  <c r="I26" i="1"/>
  <c r="J26" i="1"/>
  <c r="K26" i="1"/>
  <c r="L26" i="1"/>
  <c r="M26" i="1"/>
  <c r="N26" i="1"/>
  <c r="P26" i="1"/>
  <c r="Q26" i="1"/>
  <c r="R26" i="1"/>
  <c r="S26" i="1"/>
  <c r="T26" i="1"/>
  <c r="U26" i="1"/>
  <c r="W26" i="1"/>
  <c r="X26" i="1"/>
  <c r="Y26" i="1"/>
  <c r="Z26" i="1"/>
  <c r="AA26" i="1"/>
  <c r="AB26" i="1"/>
  <c r="AD26" i="1"/>
  <c r="AE26" i="1"/>
  <c r="AF26" i="1"/>
  <c r="AG26" i="1"/>
  <c r="AH26" i="1"/>
  <c r="AI26" i="1"/>
  <c r="AX26" i="1"/>
  <c r="B27" i="1"/>
  <c r="C27" i="1"/>
  <c r="D27" i="1"/>
  <c r="E27" i="1"/>
  <c r="F27" i="1"/>
  <c r="G27" i="1"/>
  <c r="I27" i="1"/>
  <c r="J27" i="1"/>
  <c r="K27" i="1"/>
  <c r="L27" i="1"/>
  <c r="M27" i="1"/>
  <c r="N27" i="1"/>
  <c r="P27" i="1"/>
  <c r="Q27" i="1"/>
  <c r="R27" i="1"/>
  <c r="S27" i="1"/>
  <c r="T27" i="1"/>
  <c r="U27" i="1"/>
  <c r="W27" i="1"/>
  <c r="X27" i="1"/>
  <c r="Y27" i="1"/>
  <c r="Z27" i="1"/>
  <c r="AA27" i="1"/>
  <c r="AB27" i="1"/>
  <c r="AD27" i="1"/>
  <c r="AE27" i="1"/>
  <c r="AF27" i="1"/>
  <c r="AG27" i="1"/>
  <c r="AH27" i="1"/>
  <c r="AI27" i="1"/>
  <c r="AX29" i="1"/>
  <c r="AZ29" i="1"/>
  <c r="BB29" i="1"/>
  <c r="BD29" i="1"/>
  <c r="AL30" i="1"/>
  <c r="AM30" i="1"/>
  <c r="AN30" i="1"/>
  <c r="AO30" i="1"/>
  <c r="AP30" i="1"/>
  <c r="AQ30" i="1"/>
  <c r="AR30" i="1"/>
  <c r="AS30" i="1"/>
  <c r="AU30" i="1"/>
  <c r="AV30" i="1"/>
  <c r="AW30" i="1"/>
  <c r="AX30" i="1"/>
  <c r="AY30" i="1"/>
  <c r="AZ30" i="1"/>
  <c r="BA30" i="1"/>
  <c r="BB30" i="1"/>
  <c r="BC30" i="1"/>
  <c r="BD30" i="1"/>
  <c r="BE30" i="1"/>
  <c r="BG30" i="1"/>
  <c r="BI30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G31" i="1"/>
  <c r="BI31" i="1"/>
  <c r="B35" i="1"/>
  <c r="C35" i="1"/>
  <c r="D35" i="1"/>
  <c r="E35" i="1"/>
  <c r="I35" i="1"/>
  <c r="J35" i="1"/>
  <c r="K35" i="1"/>
  <c r="L35" i="1"/>
  <c r="B36" i="1"/>
  <c r="C36" i="1"/>
  <c r="D36" i="1"/>
  <c r="E36" i="1"/>
  <c r="I36" i="1"/>
  <c r="J36" i="1"/>
  <c r="K36" i="1"/>
  <c r="L36" i="1"/>
  <c r="B37" i="1"/>
  <c r="C37" i="1"/>
  <c r="D37" i="1"/>
  <c r="E37" i="1"/>
  <c r="I37" i="1"/>
  <c r="J37" i="1"/>
  <c r="K37" i="1"/>
  <c r="L37" i="1"/>
  <c r="B38" i="1"/>
  <c r="C38" i="1"/>
  <c r="D38" i="1"/>
  <c r="E38" i="1"/>
  <c r="I38" i="1"/>
  <c r="J38" i="1"/>
  <c r="K38" i="1"/>
  <c r="L38" i="1"/>
  <c r="B39" i="1"/>
  <c r="C39" i="1"/>
  <c r="D39" i="1"/>
  <c r="E39" i="1"/>
  <c r="I39" i="1"/>
  <c r="J39" i="1"/>
  <c r="K39" i="1"/>
  <c r="L39" i="1"/>
  <c r="B40" i="1"/>
  <c r="C40" i="1"/>
  <c r="D40" i="1"/>
  <c r="E40" i="1"/>
  <c r="I40" i="1"/>
  <c r="J40" i="1"/>
  <c r="K40" i="1"/>
  <c r="L40" i="1"/>
  <c r="B41" i="1"/>
  <c r="C41" i="1"/>
  <c r="D41" i="1"/>
  <c r="E41" i="1"/>
  <c r="I41" i="1"/>
  <c r="J41" i="1"/>
  <c r="K41" i="1"/>
  <c r="L41" i="1"/>
  <c r="B42" i="1"/>
  <c r="C42" i="1"/>
  <c r="D42" i="1"/>
  <c r="E42" i="1"/>
  <c r="I42" i="1"/>
  <c r="J42" i="1"/>
  <c r="K42" i="1"/>
  <c r="L42" i="1"/>
  <c r="B43" i="1"/>
  <c r="C43" i="1"/>
  <c r="D43" i="1"/>
  <c r="E43" i="1"/>
  <c r="I43" i="1"/>
  <c r="J43" i="1"/>
  <c r="K43" i="1"/>
  <c r="L43" i="1"/>
  <c r="B44" i="1"/>
  <c r="C44" i="1"/>
  <c r="D44" i="1"/>
  <c r="E44" i="1"/>
  <c r="I44" i="1"/>
  <c r="J44" i="1"/>
  <c r="K44" i="1"/>
  <c r="L44" i="1"/>
  <c r="B47" i="1"/>
  <c r="C47" i="1"/>
  <c r="D47" i="1"/>
  <c r="E47" i="1"/>
  <c r="F47" i="1"/>
  <c r="I47" i="1"/>
  <c r="J47" i="1"/>
  <c r="K47" i="1"/>
  <c r="L47" i="1"/>
  <c r="M47" i="1"/>
  <c r="B53" i="1"/>
  <c r="C53" i="1"/>
  <c r="D53" i="1"/>
  <c r="E53" i="1"/>
  <c r="I53" i="1"/>
  <c r="J53" i="1"/>
  <c r="K53" i="1"/>
  <c r="L53" i="1"/>
  <c r="B54" i="1"/>
  <c r="C54" i="1"/>
  <c r="D54" i="1"/>
  <c r="E54" i="1"/>
  <c r="I54" i="1"/>
  <c r="J54" i="1"/>
  <c r="K54" i="1"/>
  <c r="L54" i="1"/>
  <c r="B55" i="1"/>
  <c r="C55" i="1"/>
  <c r="D55" i="1"/>
  <c r="E55" i="1"/>
  <c r="I55" i="1"/>
  <c r="J55" i="1"/>
  <c r="K55" i="1"/>
  <c r="L55" i="1"/>
  <c r="B56" i="1"/>
  <c r="C56" i="1"/>
  <c r="D56" i="1"/>
  <c r="E56" i="1"/>
  <c r="I56" i="1"/>
  <c r="J56" i="1"/>
  <c r="K56" i="1"/>
  <c r="L56" i="1"/>
  <c r="B57" i="1"/>
  <c r="C57" i="1"/>
  <c r="D57" i="1"/>
  <c r="E57" i="1"/>
  <c r="I57" i="1"/>
  <c r="J57" i="1"/>
  <c r="K57" i="1"/>
  <c r="L57" i="1"/>
  <c r="B58" i="1"/>
  <c r="C58" i="1"/>
  <c r="D58" i="1"/>
  <c r="E58" i="1"/>
  <c r="I58" i="1"/>
  <c r="J58" i="1"/>
  <c r="K58" i="1"/>
  <c r="L58" i="1"/>
  <c r="B59" i="1"/>
  <c r="C59" i="1"/>
  <c r="D59" i="1"/>
  <c r="E59" i="1"/>
  <c r="I59" i="1"/>
  <c r="J59" i="1"/>
  <c r="K59" i="1"/>
  <c r="L59" i="1"/>
  <c r="B60" i="1"/>
  <c r="C60" i="1"/>
  <c r="D60" i="1"/>
  <c r="E60" i="1"/>
  <c r="I60" i="1"/>
  <c r="J60" i="1"/>
  <c r="K60" i="1"/>
  <c r="L60" i="1"/>
  <c r="B61" i="1"/>
  <c r="C61" i="1"/>
  <c r="D61" i="1"/>
  <c r="E61" i="1"/>
  <c r="I61" i="1"/>
  <c r="J61" i="1"/>
  <c r="K61" i="1"/>
  <c r="L61" i="1"/>
  <c r="B62" i="1"/>
  <c r="C62" i="1"/>
  <c r="D62" i="1"/>
  <c r="E62" i="1"/>
  <c r="I62" i="1"/>
  <c r="J62" i="1"/>
  <c r="K62" i="1"/>
  <c r="L62" i="1"/>
  <c r="B66" i="1"/>
  <c r="C66" i="1"/>
  <c r="D66" i="1"/>
  <c r="E66" i="1"/>
  <c r="F66" i="1"/>
  <c r="I66" i="1"/>
  <c r="J66" i="1"/>
  <c r="K66" i="1"/>
  <c r="L66" i="1"/>
  <c r="M66" i="1"/>
  <c r="F71" i="1"/>
  <c r="B72" i="1"/>
  <c r="C72" i="1"/>
  <c r="D72" i="1"/>
  <c r="E72" i="1"/>
  <c r="F72" i="1"/>
  <c r="F73" i="1"/>
  <c r="F74" i="1"/>
  <c r="F75" i="1"/>
  <c r="F76" i="1"/>
  <c r="F77" i="1"/>
  <c r="E78" i="1"/>
  <c r="F78" i="1"/>
  <c r="F79" i="1"/>
  <c r="F80" i="1"/>
  <c r="F81" i="1"/>
  <c r="B82" i="1"/>
  <c r="C82" i="1"/>
  <c r="D82" i="1"/>
  <c r="E82" i="1"/>
  <c r="F82" i="1"/>
  <c r="F89" i="1"/>
  <c r="B90" i="1"/>
  <c r="C90" i="1"/>
  <c r="D90" i="1"/>
  <c r="E90" i="1"/>
  <c r="F90" i="1"/>
  <c r="F91" i="1"/>
  <c r="F92" i="1"/>
  <c r="F93" i="1"/>
  <c r="F94" i="1"/>
  <c r="F95" i="1"/>
  <c r="E96" i="1"/>
  <c r="F96" i="1"/>
  <c r="F97" i="1"/>
  <c r="F98" i="1"/>
  <c r="F99" i="1"/>
  <c r="B100" i="1"/>
  <c r="C100" i="1"/>
  <c r="D100" i="1"/>
  <c r="E100" i="1"/>
  <c r="F100" i="1"/>
  <c r="F107" i="1"/>
  <c r="F108" i="1"/>
  <c r="F109" i="1"/>
  <c r="F110" i="1"/>
  <c r="F111" i="1"/>
  <c r="F112" i="1"/>
  <c r="F113" i="1"/>
  <c r="F114" i="1"/>
  <c r="F115" i="1"/>
  <c r="F116" i="1"/>
  <c r="E117" i="1"/>
  <c r="F117" i="1"/>
  <c r="B118" i="1"/>
  <c r="C118" i="1"/>
  <c r="D118" i="1"/>
  <c r="E118" i="1"/>
  <c r="F118" i="1"/>
  <c r="B3" i="2"/>
  <c r="C3" i="2"/>
  <c r="D3" i="2"/>
  <c r="E3" i="2"/>
  <c r="G3" i="2"/>
  <c r="H3" i="2"/>
  <c r="I3" i="2"/>
  <c r="J3" i="2"/>
  <c r="L3" i="2"/>
  <c r="M3" i="2"/>
  <c r="N3" i="2"/>
  <c r="O3" i="2"/>
  <c r="Q3" i="2"/>
  <c r="R3" i="2"/>
  <c r="S3" i="2"/>
  <c r="T3" i="2"/>
  <c r="V3" i="2"/>
  <c r="W3" i="2"/>
  <c r="X3" i="2"/>
  <c r="Y3" i="2"/>
  <c r="B4" i="2"/>
  <c r="C4" i="2"/>
  <c r="D4" i="2"/>
  <c r="E4" i="2"/>
  <c r="G4" i="2"/>
  <c r="H4" i="2"/>
  <c r="I4" i="2"/>
  <c r="J4" i="2"/>
  <c r="L4" i="2"/>
  <c r="M4" i="2"/>
  <c r="N4" i="2"/>
  <c r="O4" i="2"/>
  <c r="Q4" i="2"/>
  <c r="R4" i="2"/>
  <c r="S4" i="2"/>
  <c r="T4" i="2"/>
  <c r="V4" i="2"/>
  <c r="W4" i="2"/>
  <c r="X4" i="2"/>
  <c r="Y4" i="2"/>
  <c r="B5" i="2"/>
  <c r="C5" i="2"/>
  <c r="D5" i="2"/>
  <c r="E5" i="2"/>
  <c r="G5" i="2"/>
  <c r="H5" i="2"/>
  <c r="I5" i="2"/>
  <c r="J5" i="2"/>
  <c r="L5" i="2"/>
  <c r="M5" i="2"/>
  <c r="N5" i="2"/>
  <c r="O5" i="2"/>
  <c r="Q5" i="2"/>
  <c r="R5" i="2"/>
  <c r="S5" i="2"/>
  <c r="T5" i="2"/>
  <c r="V5" i="2"/>
  <c r="W5" i="2"/>
  <c r="X5" i="2"/>
  <c r="Y5" i="2"/>
  <c r="B6" i="2"/>
  <c r="C6" i="2"/>
  <c r="D6" i="2"/>
  <c r="E6" i="2"/>
  <c r="G6" i="2"/>
  <c r="H6" i="2"/>
  <c r="I6" i="2"/>
  <c r="J6" i="2"/>
  <c r="L6" i="2"/>
  <c r="M6" i="2"/>
  <c r="N6" i="2"/>
  <c r="O6" i="2"/>
  <c r="Q6" i="2"/>
  <c r="R6" i="2"/>
  <c r="S6" i="2"/>
  <c r="T6" i="2"/>
  <c r="V6" i="2"/>
  <c r="W6" i="2"/>
  <c r="X6" i="2"/>
  <c r="Y6" i="2"/>
  <c r="B7" i="2"/>
  <c r="C7" i="2"/>
  <c r="D7" i="2"/>
  <c r="E7" i="2"/>
  <c r="G7" i="2"/>
  <c r="H7" i="2"/>
  <c r="I7" i="2"/>
  <c r="J7" i="2"/>
  <c r="L7" i="2"/>
  <c r="M7" i="2"/>
  <c r="N7" i="2"/>
  <c r="O7" i="2"/>
  <c r="Q7" i="2"/>
  <c r="R7" i="2"/>
  <c r="S7" i="2"/>
  <c r="T7" i="2"/>
  <c r="V7" i="2"/>
  <c r="W7" i="2"/>
  <c r="X7" i="2"/>
  <c r="Y7" i="2"/>
  <c r="AG11" i="2"/>
  <c r="AL11" i="2"/>
  <c r="AQ11" i="2"/>
  <c r="AC12" i="2"/>
  <c r="AH12" i="2"/>
  <c r="AM12" i="2"/>
  <c r="AR12" i="2"/>
</calcChain>
</file>

<file path=xl/comments1.xml><?xml version="1.0" encoding="utf-8"?>
<comments xmlns="http://schemas.openxmlformats.org/spreadsheetml/2006/main">
  <authors>
    <author>Sayed Khoja</author>
    <author>agreen3</author>
  </authors>
  <commentList>
    <comment ref="AK12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  <comment ref="P16" authorId="1" shapeId="0">
      <text>
        <r>
          <rPr>
            <b/>
            <sz val="8"/>
            <color indexed="81"/>
            <rFont val="Tahoma"/>
          </rPr>
          <t>agreen3:</t>
        </r>
        <r>
          <rPr>
            <sz val="8"/>
            <color indexed="81"/>
            <rFont val="Tahoma"/>
          </rPr>
          <t xml:space="preserve">
credit reserve total (51.1) - show (45) on Crude</t>
        </r>
      </text>
    </comment>
    <comment ref="P26" authorId="1" shapeId="0">
      <text>
        <r>
          <rPr>
            <b/>
            <sz val="8"/>
            <color indexed="81"/>
            <rFont val="Tahoma"/>
          </rPr>
          <t>agreen3:</t>
        </r>
        <r>
          <rPr>
            <sz val="8"/>
            <color indexed="81"/>
            <rFont val="Tahoma"/>
          </rPr>
          <t xml:space="preserve">
credit reserve of (51.1) - show (45) on Crude</t>
        </r>
      </text>
    </comment>
    <comment ref="AK30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</commentList>
</comments>
</file>

<file path=xl/sharedStrings.xml><?xml version="1.0" encoding="utf-8"?>
<sst xmlns="http://schemas.openxmlformats.org/spreadsheetml/2006/main" count="896" uniqueCount="110">
  <si>
    <t>Weather</t>
  </si>
  <si>
    <t>Global Risk Markets</t>
  </si>
  <si>
    <t>Financial Trading</t>
  </si>
  <si>
    <t>Gr Margin</t>
  </si>
  <si>
    <t>YTD</t>
  </si>
  <si>
    <t>Headcount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</si>
  <si>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</si>
  <si>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</si>
  <si>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</si>
  <si>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</si>
  <si>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</si>
  <si>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</si>
  <si>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</si>
  <si>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</si>
  <si>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</si>
  <si>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</si>
  <si>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</si>
  <si>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Total</t>
  </si>
  <si>
    <t>Total Monthly Headcount</t>
  </si>
  <si>
    <t>Enron Global Markets</t>
  </si>
  <si>
    <t>1Q</t>
  </si>
  <si>
    <t>2Q</t>
  </si>
  <si>
    <t>3Q</t>
  </si>
  <si>
    <t>4Q</t>
  </si>
  <si>
    <t>EARNINGS BEFORE TAX</t>
  </si>
  <si>
    <t>PLAN</t>
  </si>
  <si>
    <t>ACTUALS</t>
  </si>
  <si>
    <t>Fin Trading</t>
  </si>
  <si>
    <t>Risk Markets</t>
  </si>
  <si>
    <t>($ millions)</t>
  </si>
  <si>
    <t>2Q YTD</t>
  </si>
  <si>
    <t>3Q YTD</t>
  </si>
  <si>
    <t xml:space="preserve">4Q YTD </t>
  </si>
  <si>
    <t>Other</t>
  </si>
  <si>
    <t>Crude &amp; Products</t>
  </si>
  <si>
    <t>Finance / Office of Chair</t>
  </si>
  <si>
    <t>Dir Exp</t>
  </si>
  <si>
    <t>GROSS MARGIN</t>
  </si>
  <si>
    <t>Total Gross Margin</t>
  </si>
  <si>
    <t>Total Earnings before Tax</t>
  </si>
  <si>
    <t>Freight</t>
  </si>
  <si>
    <t>Middle East</t>
  </si>
  <si>
    <t>Coal / Emissions</t>
  </si>
  <si>
    <t>LNG / Puerto Rico</t>
  </si>
  <si>
    <t>Emissions</t>
  </si>
  <si>
    <t>Puerto Rico</t>
  </si>
  <si>
    <t>LNG</t>
  </si>
  <si>
    <t>Coal</t>
  </si>
  <si>
    <t>Actual</t>
  </si>
  <si>
    <t>Plan</t>
  </si>
  <si>
    <t>2000 GROSS MARGIN</t>
  </si>
  <si>
    <t>DIRECT EXPENSES</t>
  </si>
  <si>
    <t>2000 act</t>
  </si>
  <si>
    <r>
      <t>EBIT</t>
    </r>
    <r>
      <rPr>
        <u/>
        <sz val="10"/>
        <rFont val="Tahoma"/>
        <family val="2"/>
      </rPr>
      <t xml:space="preserve"> (GM less Direct Exp)</t>
    </r>
  </si>
  <si>
    <t>Exp</t>
  </si>
  <si>
    <t>Plan EBIT</t>
  </si>
  <si>
    <t>Actual EBIT</t>
  </si>
  <si>
    <t>as of April 12, 2001</t>
  </si>
  <si>
    <t>LNG/Middle East/Puerto Rico</t>
  </si>
  <si>
    <t>Coal/Emissions</t>
  </si>
  <si>
    <t>Jan</t>
  </si>
  <si>
    <t>ENRON GLOBAL MARKETS</t>
  </si>
  <si>
    <t>FUNDS FLOW AND CAPITAL EMPLOYED/ROIC DATA</t>
  </si>
  <si>
    <t>MONTHLY 2001</t>
  </si>
  <si>
    <t>(Millions of Dollars)</t>
  </si>
  <si>
    <t>Funds Flow</t>
  </si>
  <si>
    <t>Sep</t>
  </si>
  <si>
    <t>Actual - Monthly</t>
  </si>
  <si>
    <t>Actual - Cumulative</t>
  </si>
  <si>
    <t>Plan - Monthly</t>
  </si>
  <si>
    <t>Plan - Cumulative</t>
  </si>
  <si>
    <t>Capital Employed/ROIC</t>
  </si>
  <si>
    <t>Net Income Before Capital Charge - YTD</t>
  </si>
  <si>
    <t>Annualized Net Income - Before Capital Charge</t>
  </si>
  <si>
    <t>Net Income Before Interest - YTD</t>
  </si>
  <si>
    <t>Annualized Net Income Before Interest</t>
  </si>
  <si>
    <t>Capital Employed As Reported in B/S Package</t>
  </si>
  <si>
    <t>Debt</t>
  </si>
  <si>
    <t>Equity</t>
  </si>
  <si>
    <t>Average Capital Employed</t>
  </si>
  <si>
    <t>Average Equity</t>
  </si>
  <si>
    <t>Capital Employed w/ Corp Adjustment- YTD Balance</t>
  </si>
  <si>
    <t>Average Capital Employed - Corp Credit For Prepay</t>
  </si>
  <si>
    <t>ROIC %</t>
  </si>
  <si>
    <t>ROIC % Used for Graph</t>
  </si>
  <si>
    <t>ROE %</t>
  </si>
  <si>
    <t>ROE % Used For Graph</t>
  </si>
  <si>
    <t>as of April 27, 2001</t>
  </si>
  <si>
    <t>Net Income - YTD</t>
  </si>
  <si>
    <t>Annualized Net Income</t>
  </si>
  <si>
    <t xml:space="preserve">  </t>
  </si>
  <si>
    <t>Phy Volume</t>
  </si>
  <si>
    <t>Fin Volume</t>
  </si>
  <si>
    <t>Deal Count</t>
  </si>
  <si>
    <t>EOL Count</t>
  </si>
  <si>
    <t xml:space="preserve"> </t>
  </si>
  <si>
    <t>Finance/Office of Chair/Drift</t>
  </si>
  <si>
    <t>Confidential</t>
  </si>
  <si>
    <t>Japan</t>
  </si>
  <si>
    <t>Finance / Chair / ME / Other /Drift</t>
  </si>
  <si>
    <t>as of July 6, 2001</t>
  </si>
  <si>
    <t xml:space="preserve">Actual Data </t>
  </si>
  <si>
    <t>Headcount Forecast</t>
  </si>
  <si>
    <t>Coal / Vessel</t>
  </si>
  <si>
    <t>Insurance Risk Markets</t>
  </si>
  <si>
    <t>Net Cash Flow</t>
  </si>
  <si>
    <t>Coal Domestic</t>
  </si>
  <si>
    <t>Coal Int'l (includes Vessel)</t>
  </si>
  <si>
    <t>Sum of Coal &amp; Emissions</t>
  </si>
  <si>
    <t>as of November 23,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</si>
</sst>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9" formatCode="0.0"/>
    <numFmt numFmtId="170" formatCode="mm/dd/yy_)"/>
    <numFmt numFmtId="171" formatCode="hh:mm\ AM/PM_)"/>
  </numFmts>
  <fonts count="27" x14ac:knownFonts="1">
    <font>
      <sz val="10"/>
      <name val="Tahoma"/>
    </font>
    <font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0"/>
      <name val="Arial"/>
      <family val="2"/>
    </font>
    <font>
      <sz val="12"/>
      <name val="Arial"/>
      <family val="2"/>
    </font>
    <font>
      <b/>
      <sz val="20"/>
      <color indexed="9"/>
      <name val="Arial"/>
      <family val="2"/>
    </font>
    <font>
      <sz val="20"/>
      <name val="Tahoma"/>
    </font>
    <font>
      <b/>
      <sz val="16"/>
      <color indexed="9"/>
      <name val="Arial"/>
      <family val="2"/>
    </font>
    <font>
      <sz val="16"/>
      <name val="Tahoma"/>
    </font>
    <font>
      <b/>
      <i/>
      <sz val="9"/>
      <name val="Tahoma"/>
      <family val="2"/>
    </font>
    <font>
      <b/>
      <u/>
      <sz val="10"/>
      <name val="Tahoma"/>
      <family val="2"/>
    </font>
    <font>
      <b/>
      <i/>
      <sz val="12"/>
      <color indexed="9"/>
      <name val="Arial"/>
      <family val="2"/>
    </font>
    <font>
      <b/>
      <sz val="10"/>
      <color indexed="12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Tahoma"/>
      <family val="2"/>
    </font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i/>
      <sz val="16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Fill="1" applyBorder="1"/>
    <xf numFmtId="0" fontId="5" fillId="0" borderId="0" xfId="0" applyFont="1"/>
    <xf numFmtId="0" fontId="5" fillId="0" borderId="3" xfId="0" applyFont="1" applyBorder="1" applyAlignment="1">
      <alignment horizontal="centerContinuous"/>
    </xf>
    <xf numFmtId="0" fontId="5" fillId="0" borderId="0" xfId="0" applyFont="1" applyBorder="1" applyAlignment="1"/>
    <xf numFmtId="0" fontId="6" fillId="0" borderId="0" xfId="0" applyFont="1"/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9" fillId="4" borderId="0" xfId="0" applyFont="1" applyFill="1" applyBorder="1" applyAlignment="1">
      <alignment horizontal="centerContinuous"/>
    </xf>
    <xf numFmtId="0" fontId="11" fillId="4" borderId="0" xfId="0" applyFont="1" applyFill="1" applyBorder="1" applyAlignment="1">
      <alignment horizontal="centerContinuous"/>
    </xf>
    <xf numFmtId="0" fontId="13" fillId="0" borderId="0" xfId="0" applyFont="1" applyAlignment="1">
      <alignment horizontal="centerContinuous"/>
    </xf>
    <xf numFmtId="164" fontId="3" fillId="2" borderId="2" xfId="1" applyNumberFormat="1" applyFont="1" applyFill="1" applyBorder="1"/>
    <xf numFmtId="164" fontId="3" fillId="3" borderId="2" xfId="1" applyNumberFormat="1" applyFont="1" applyFill="1" applyBorder="1"/>
    <xf numFmtId="164" fontId="3" fillId="3" borderId="6" xfId="1" applyNumberFormat="1" applyFont="1" applyFill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0" xfId="1" applyNumberFormat="1" applyFont="1" applyFill="1" applyBorder="1"/>
    <xf numFmtId="164" fontId="4" fillId="0" borderId="0" xfId="1" applyNumberFormat="1" applyFont="1" applyFill="1" applyBorder="1"/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15" fillId="4" borderId="0" xfId="0" applyFont="1" applyFill="1" applyBorder="1" applyAlignment="1">
      <alignment horizontal="right"/>
    </xf>
    <xf numFmtId="0" fontId="15" fillId="4" borderId="0" xfId="0" applyFont="1" applyFill="1" applyBorder="1" applyAlignment="1">
      <alignment horizontal="centerContinuous"/>
    </xf>
    <xf numFmtId="164" fontId="2" fillId="0" borderId="0" xfId="0" applyNumberFormat="1" applyFont="1"/>
    <xf numFmtId="164" fontId="16" fillId="0" borderId="0" xfId="0" applyNumberFormat="1" applyFont="1"/>
    <xf numFmtId="164" fontId="4" fillId="2" borderId="7" xfId="1" applyNumberFormat="1" applyFont="1" applyFill="1" applyBorder="1"/>
    <xf numFmtId="164" fontId="4" fillId="2" borderId="8" xfId="1" applyNumberFormat="1" applyFont="1" applyFill="1" applyBorder="1"/>
    <xf numFmtId="164" fontId="4" fillId="3" borderId="8" xfId="1" applyNumberFormat="1" applyFont="1" applyFill="1" applyBorder="1"/>
    <xf numFmtId="164" fontId="4" fillId="3" borderId="9" xfId="1" applyNumberFormat="1" applyFont="1" applyFill="1" applyBorder="1"/>
    <xf numFmtId="164" fontId="4" fillId="3" borderId="10" xfId="1" applyNumberFormat="1" applyFont="1" applyFill="1" applyBorder="1"/>
    <xf numFmtId="164" fontId="3" fillId="0" borderId="7" xfId="0" applyNumberFormat="1" applyFon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0" fontId="2" fillId="0" borderId="4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164" fontId="3" fillId="0" borderId="4" xfId="0" applyNumberFormat="1" applyFont="1" applyBorder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3" fillId="0" borderId="17" xfId="0" applyNumberFormat="1" applyFont="1" applyBorder="1"/>
    <xf numFmtId="164" fontId="3" fillId="0" borderId="0" xfId="0" applyNumberFormat="1" applyFont="1" applyBorder="1"/>
    <xf numFmtId="164" fontId="3" fillId="0" borderId="18" xfId="0" applyNumberFormat="1" applyFont="1" applyBorder="1"/>
    <xf numFmtId="164" fontId="3" fillId="0" borderId="5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0" fontId="3" fillId="0" borderId="19" xfId="0" applyFont="1" applyFill="1" applyBorder="1"/>
    <xf numFmtId="0" fontId="3" fillId="0" borderId="20" xfId="0" applyFont="1" applyBorder="1"/>
    <xf numFmtId="0" fontId="14" fillId="0" borderId="21" xfId="0" applyFont="1" applyBorder="1"/>
    <xf numFmtId="0" fontId="3" fillId="0" borderId="20" xfId="0" applyFont="1" applyFill="1" applyBorder="1"/>
    <xf numFmtId="0" fontId="3" fillId="0" borderId="22" xfId="0" applyFont="1" applyFill="1" applyBorder="1"/>
    <xf numFmtId="0" fontId="3" fillId="0" borderId="21" xfId="0" applyFont="1" applyFill="1" applyBorder="1"/>
    <xf numFmtId="0" fontId="3" fillId="0" borderId="0" xfId="0" applyFont="1" applyFill="1"/>
    <xf numFmtId="169" fontId="3" fillId="0" borderId="0" xfId="0" applyNumberFormat="1" applyFont="1"/>
    <xf numFmtId="0" fontId="2" fillId="0" borderId="2" xfId="0" applyFont="1" applyFill="1" applyBorder="1"/>
    <xf numFmtId="0" fontId="3" fillId="5" borderId="0" xfId="0" applyFont="1" applyFill="1"/>
    <xf numFmtId="0" fontId="3" fillId="5" borderId="0" xfId="0" applyFont="1" applyFill="1" applyBorder="1"/>
    <xf numFmtId="164" fontId="2" fillId="5" borderId="0" xfId="0" applyNumberFormat="1" applyFont="1" applyFill="1"/>
    <xf numFmtId="164" fontId="4" fillId="5" borderId="0" xfId="1" applyNumberFormat="1" applyFont="1" applyFill="1" applyBorder="1"/>
    <xf numFmtId="164" fontId="3" fillId="5" borderId="0" xfId="1" applyNumberFormat="1" applyFont="1" applyFill="1" applyBorder="1"/>
    <xf numFmtId="0" fontId="3" fillId="6" borderId="0" xfId="0" applyFont="1" applyFill="1"/>
    <xf numFmtId="0" fontId="2" fillId="0" borderId="20" xfId="0" applyFont="1" applyBorder="1" applyAlignment="1">
      <alignment horizontal="left"/>
    </xf>
    <xf numFmtId="164" fontId="3" fillId="3" borderId="23" xfId="1" applyNumberFormat="1" applyFont="1" applyFill="1" applyBorder="1"/>
    <xf numFmtId="164" fontId="3" fillId="3" borderId="24" xfId="1" applyNumberFormat="1" applyFont="1" applyFill="1" applyBorder="1"/>
    <xf numFmtId="17" fontId="2" fillId="0" borderId="5" xfId="0" applyNumberFormat="1" applyFont="1" applyBorder="1" applyAlignment="1">
      <alignment horizontal="center"/>
    </xf>
    <xf numFmtId="0" fontId="20" fillId="0" borderId="0" xfId="2"/>
    <xf numFmtId="0" fontId="21" fillId="0" borderId="0" xfId="2" applyFont="1"/>
    <xf numFmtId="0" fontId="22" fillId="0" borderId="0" xfId="2" applyFont="1" applyAlignment="1">
      <alignment horizontal="left"/>
    </xf>
    <xf numFmtId="170" fontId="22" fillId="0" borderId="0" xfId="2" applyNumberFormat="1" applyFont="1" applyAlignment="1" applyProtection="1">
      <alignment horizontal="left"/>
    </xf>
    <xf numFmtId="171" fontId="22" fillId="0" borderId="0" xfId="2" applyNumberFormat="1" applyFont="1" applyAlignment="1" applyProtection="1">
      <alignment horizontal="left"/>
    </xf>
    <xf numFmtId="0" fontId="21" fillId="0" borderId="4" xfId="2" applyFont="1" applyBorder="1"/>
    <xf numFmtId="0" fontId="21" fillId="0" borderId="13" xfId="2" applyFont="1" applyBorder="1"/>
    <xf numFmtId="0" fontId="20" fillId="0" borderId="13" xfId="2" applyBorder="1"/>
    <xf numFmtId="0" fontId="20" fillId="0" borderId="14" xfId="2" applyBorder="1"/>
    <xf numFmtId="0" fontId="20" fillId="0" borderId="17" xfId="2" applyBorder="1"/>
    <xf numFmtId="0" fontId="20" fillId="0" borderId="0" xfId="2" applyBorder="1"/>
    <xf numFmtId="0" fontId="20" fillId="0" borderId="18" xfId="2" applyBorder="1"/>
    <xf numFmtId="164" fontId="24" fillId="7" borderId="0" xfId="1" applyNumberFormat="1" applyFont="1" applyFill="1" applyBorder="1"/>
    <xf numFmtId="164" fontId="24" fillId="7" borderId="18" xfId="1" applyNumberFormat="1" applyFont="1" applyFill="1" applyBorder="1"/>
    <xf numFmtId="0" fontId="20" fillId="0" borderId="5" xfId="2" applyBorder="1"/>
    <xf numFmtId="0" fontId="20" fillId="0" borderId="15" xfId="2" applyBorder="1"/>
    <xf numFmtId="0" fontId="25" fillId="0" borderId="0" xfId="2" applyFont="1" applyBorder="1" applyAlignment="1">
      <alignment horizontal="center"/>
    </xf>
    <xf numFmtId="17" fontId="20" fillId="0" borderId="0" xfId="2" applyNumberFormat="1" applyBorder="1"/>
    <xf numFmtId="164" fontId="24" fillId="0" borderId="0" xfId="1" applyNumberFormat="1" applyFont="1" applyFill="1" applyBorder="1"/>
    <xf numFmtId="164" fontId="24" fillId="0" borderId="18" xfId="1" applyNumberFormat="1" applyFont="1" applyFill="1" applyBorder="1"/>
    <xf numFmtId="0" fontId="7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right"/>
    </xf>
    <xf numFmtId="0" fontId="7" fillId="0" borderId="1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/>
    <xf numFmtId="17" fontId="2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23" fillId="0" borderId="0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164" fontId="0" fillId="0" borderId="0" xfId="1" applyNumberFormat="1" applyFont="1" applyBorder="1"/>
    <xf numFmtId="164" fontId="0" fillId="0" borderId="18" xfId="1" applyNumberFormat="1" applyFon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25" fillId="0" borderId="0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10" fontId="0" fillId="0" borderId="0" xfId="3" applyNumberFormat="1" applyFont="1" applyBorder="1" applyAlignment="1">
      <alignment horizontal="left"/>
    </xf>
    <xf numFmtId="10" fontId="0" fillId="0" borderId="18" xfId="3" applyNumberFormat="1" applyFont="1" applyBorder="1" applyAlignment="1">
      <alignment horizontal="left"/>
    </xf>
    <xf numFmtId="10" fontId="0" fillId="0" borderId="0" xfId="3" applyNumberFormat="1" applyFont="1" applyBorder="1"/>
    <xf numFmtId="10" fontId="0" fillId="0" borderId="18" xfId="3" applyNumberFormat="1" applyFont="1" applyBorder="1"/>
    <xf numFmtId="10" fontId="0" fillId="0" borderId="15" xfId="0" applyNumberFormat="1" applyBorder="1"/>
    <xf numFmtId="10" fontId="0" fillId="0" borderId="16" xfId="0" applyNumberFormat="1" applyBorder="1"/>
    <xf numFmtId="17" fontId="0" fillId="0" borderId="0" xfId="0" applyNumberFormat="1" applyBorder="1"/>
    <xf numFmtId="0" fontId="0" fillId="0" borderId="0" xfId="0" applyBorder="1"/>
    <xf numFmtId="0" fontId="24" fillId="7" borderId="0" xfId="0" applyFont="1" applyFill="1" applyBorder="1"/>
    <xf numFmtId="0" fontId="15" fillId="4" borderId="0" xfId="0" quotePrefix="1" applyFont="1" applyFill="1" applyBorder="1" applyAlignment="1">
      <alignment horizontal="right"/>
    </xf>
    <xf numFmtId="0" fontId="21" fillId="0" borderId="0" xfId="2" quotePrefix="1" applyFont="1" applyAlignment="1">
      <alignment horizontal="left"/>
    </xf>
    <xf numFmtId="0" fontId="6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3" fillId="2" borderId="2" xfId="1" applyNumberFormat="1" applyFont="1" applyFill="1" applyBorder="1"/>
    <xf numFmtId="165" fontId="3" fillId="0" borderId="0" xfId="1" applyNumberFormat="1" applyFont="1" applyBorder="1"/>
    <xf numFmtId="165" fontId="3" fillId="2" borderId="6" xfId="1" applyNumberFormat="1" applyFont="1" applyFill="1" applyBorder="1"/>
    <xf numFmtId="165" fontId="3" fillId="0" borderId="0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/>
    <xf numFmtId="165" fontId="3" fillId="0" borderId="0" xfId="0" applyNumberFormat="1" applyFont="1"/>
    <xf numFmtId="165" fontId="0" fillId="0" borderId="0" xfId="0" applyNumberFormat="1" applyFill="1" applyBorder="1"/>
    <xf numFmtId="165" fontId="4" fillId="2" borderId="7" xfId="1" applyNumberFormat="1" applyFont="1" applyFill="1" applyBorder="1"/>
    <xf numFmtId="165" fontId="4" fillId="2" borderId="25" xfId="1" applyNumberFormat="1" applyFont="1" applyFill="1" applyBorder="1"/>
    <xf numFmtId="165" fontId="4" fillId="0" borderId="0" xfId="1" applyNumberFormat="1" applyFont="1" applyBorder="1"/>
    <xf numFmtId="165" fontId="2" fillId="0" borderId="0" xfId="0" applyNumberFormat="1" applyFont="1" applyFill="1" applyBorder="1"/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4" fillId="0" borderId="0" xfId="1" applyNumberFormat="1" applyFont="1" applyFill="1" applyBorder="1"/>
    <xf numFmtId="0" fontId="3" fillId="0" borderId="2" xfId="0" quotePrefix="1" applyFont="1" applyFill="1" applyBorder="1" applyAlignment="1">
      <alignment horizontal="left"/>
    </xf>
    <xf numFmtId="0" fontId="11" fillId="4" borderId="0" xfId="0" applyFont="1" applyFill="1" applyBorder="1" applyAlignment="1">
      <alignment horizontal="center"/>
    </xf>
    <xf numFmtId="0" fontId="11" fillId="4" borderId="0" xfId="0" quotePrefix="1" applyFont="1" applyFill="1" applyBorder="1" applyAlignment="1">
      <alignment horizontal="center"/>
    </xf>
    <xf numFmtId="0" fontId="15" fillId="4" borderId="0" xfId="0" quotePrefix="1" applyFont="1" applyFill="1" applyBorder="1" applyAlignment="1">
      <alignment horizontal="left"/>
    </xf>
    <xf numFmtId="0" fontId="26" fillId="4" borderId="0" xfId="0" applyFont="1" applyFill="1" applyBorder="1" applyAlignment="1">
      <alignment horizontal="left"/>
    </xf>
    <xf numFmtId="169" fontId="0" fillId="0" borderId="0" xfId="0" applyNumberFormat="1" applyBorder="1"/>
    <xf numFmtId="164" fontId="3" fillId="2" borderId="6" xfId="1" applyNumberFormat="1" applyFont="1" applyFill="1" applyBorder="1"/>
    <xf numFmtId="164" fontId="4" fillId="2" borderId="9" xfId="1" applyNumberFormat="1" applyFont="1" applyFill="1" applyBorder="1"/>
    <xf numFmtId="164" fontId="4" fillId="2" borderId="10" xfId="1" applyNumberFormat="1" applyFont="1" applyFill="1" applyBorder="1"/>
    <xf numFmtId="0" fontId="7" fillId="0" borderId="0" xfId="0" applyFont="1" applyBorder="1" applyAlignment="1">
      <alignment horizontal="center"/>
    </xf>
    <xf numFmtId="10" fontId="0" fillId="0" borderId="26" xfId="3" applyNumberFormat="1" applyFont="1" applyBorder="1"/>
    <xf numFmtId="0" fontId="21" fillId="0" borderId="4" xfId="2" quotePrefix="1" applyFont="1" applyBorder="1" applyAlignment="1">
      <alignment horizontal="left"/>
    </xf>
    <xf numFmtId="0" fontId="21" fillId="0" borderId="17" xfId="2" applyFont="1" applyBorder="1"/>
    <xf numFmtId="164" fontId="1" fillId="0" borderId="0" xfId="1" applyNumberFormat="1" applyBorder="1"/>
    <xf numFmtId="164" fontId="1" fillId="0" borderId="18" xfId="1" applyNumberFormat="1" applyBorder="1"/>
    <xf numFmtId="0" fontId="20" fillId="0" borderId="0" xfId="2" applyFill="1"/>
    <xf numFmtId="0" fontId="20" fillId="0" borderId="17" xfId="2" applyFill="1" applyBorder="1"/>
    <xf numFmtId="0" fontId="25" fillId="0" borderId="0" xfId="2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18" xfId="0" applyFont="1" applyFill="1" applyBorder="1" applyAlignment="1">
      <alignment horizontal="center"/>
    </xf>
    <xf numFmtId="0" fontId="21" fillId="0" borderId="4" xfId="2" applyFont="1" applyBorder="1" applyAlignment="1">
      <alignment horizontal="left"/>
    </xf>
    <xf numFmtId="164" fontId="1" fillId="0" borderId="0" xfId="1" applyNumberFormat="1" applyFill="1" applyBorder="1"/>
    <xf numFmtId="0" fontId="0" fillId="0" borderId="0" xfId="0" applyFill="1" applyBorder="1"/>
    <xf numFmtId="10" fontId="1" fillId="0" borderId="0" xfId="3" applyNumberFormat="1" applyFill="1" applyBorder="1"/>
    <xf numFmtId="10" fontId="1" fillId="0" borderId="18" xfId="3" applyNumberFormat="1" applyFill="1" applyBorder="1"/>
    <xf numFmtId="0" fontId="23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0" fillId="0" borderId="16" xfId="2" applyBorder="1"/>
    <xf numFmtId="0" fontId="21" fillId="0" borderId="17" xfId="2" applyFont="1" applyFill="1" applyBorder="1"/>
    <xf numFmtId="0" fontId="20" fillId="0" borderId="5" xfId="2" applyFill="1" applyBorder="1"/>
    <xf numFmtId="0" fontId="25" fillId="0" borderId="15" xfId="2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18" xfId="0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Funds Flow and ROE Graph Template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YTD Current Gross Margin</a:t>
            </a:r>
          </a:p>
        </c:rich>
      </c:tx>
      <c:layout>
        <c:manualLayout>
          <c:xMode val="edge"/>
          <c:yMode val="edge"/>
          <c:x val="0.22525616038969212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7996870331226"/>
          <c:y val="0.18414345246494923"/>
          <c:w val="0.86177546209692812"/>
          <c:h val="0.53196997378763111"/>
        </c:manualLayout>
      </c:layout>
      <c:barChart>
        <c:barDir val="col"/>
        <c:grouping val="clustered"/>
        <c:varyColors val="0"/>
        <c:ser>
          <c:idx val="1"/>
          <c:order val="0"/>
          <c:tx>
            <c:v>Actual-to-Date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798645476687051"/>
                  <c:y val="0.578005836903868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3A-4642-BD0B-1F156B41910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31075794478419"/>
                  <c:y val="0.526854877885826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3A-4642-BD0B-1F156B41910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034154718625616"/>
                  <c:y val="0.59079357665837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3A-4642-BD0B-1F156B41910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249179461840289"/>
                  <c:y val="0.58056338485477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3A-4642-BD0B-1F156B41910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587069535140868"/>
                  <c:y val="0.560103001247553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3A-4642-BD0B-1F156B41910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972742884711368"/>
                  <c:y val="0.59335112460928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3A-4642-BD0B-1F156B41910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163875989791086"/>
                  <c:y val="0.58056338485477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3A-4642-BD0B-1F156B41910B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3037603520294114"/>
                  <c:y val="0.65984737133273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3A-4642-BD0B-1F156B41910B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716790806306338"/>
                  <c:y val="0.65728982338183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B3A-4642-BD0B-1F156B41910B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225329485962734"/>
                  <c:y val="0.46291617911327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3A-4642-BD0B-1F156B41910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Input'!$E$35:$E$44</c:f>
              <c:numCache>
                <c:formatCode>_(* #,##0.0_);_(* \(#,##0.0\);_(* "-"??_);_(@_)</c:formatCode>
                <c:ptCount val="10"/>
                <c:pt idx="0">
                  <c:v>27.134721000000006</c:v>
                </c:pt>
                <c:pt idx="1">
                  <c:v>79.333107850000005</c:v>
                </c:pt>
                <c:pt idx="2">
                  <c:v>17.039000000000001</c:v>
                </c:pt>
                <c:pt idx="3">
                  <c:v>6.0778972799999993</c:v>
                </c:pt>
                <c:pt idx="4">
                  <c:v>39.495207000000001</c:v>
                </c:pt>
                <c:pt idx="5">
                  <c:v>2.8037999999999998</c:v>
                </c:pt>
                <c:pt idx="6">
                  <c:v>7.448734</c:v>
                </c:pt>
                <c:pt idx="7">
                  <c:v>2.3249999999999998E-3</c:v>
                </c:pt>
                <c:pt idx="8">
                  <c:v>-30.281074999999998</c:v>
                </c:pt>
                <c:pt idx="9">
                  <c:v>149.05371713000002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3A-4642-BD0B-1F156B41910B}"/>
            </c:ext>
          </c:extLst>
        </c:ser>
        <c:ser>
          <c:idx val="2"/>
          <c:order val="1"/>
          <c:tx>
            <c:v>Plan thru Qtr End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8B3A-4642-BD0B-1F156B41910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76793955972993"/>
                  <c:y val="0.54220016559123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B3A-4642-BD0B-1F156B41910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317447236834105"/>
                  <c:y val="0.506394494278610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B3A-4642-BD0B-1F156B41910B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4300411539778719"/>
                  <c:y val="0.57289074100206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B3A-4642-BD0B-1F156B41910B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91979598825790954"/>
                  <c:y val="0.19181609631765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B3A-4642-BD0B-1F156B41910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Input'!$L$35:$L$44</c:f>
              <c:numCache>
                <c:formatCode>_(* #,##0.0_);_(* \(#,##0.0\);_(* "-"??_);_(@_)</c:formatCode>
                <c:ptCount val="10"/>
                <c:pt idx="0">
                  <c:v>150</c:v>
                </c:pt>
                <c:pt idx="1">
                  <c:v>75</c:v>
                </c:pt>
                <c:pt idx="2">
                  <c:v>33.000002000000002</c:v>
                </c:pt>
                <c:pt idx="3">
                  <c:v>37.5</c:v>
                </c:pt>
                <c:pt idx="4">
                  <c:v>104.41500000000001</c:v>
                </c:pt>
                <c:pt idx="5">
                  <c:v>20.8215</c:v>
                </c:pt>
                <c:pt idx="6">
                  <c:v>60.513998000000001</c:v>
                </c:pt>
                <c:pt idx="7">
                  <c:v>7.5</c:v>
                </c:pt>
                <c:pt idx="8">
                  <c:v>19.276197</c:v>
                </c:pt>
                <c:pt idx="9">
                  <c:v>508.02669700000007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B3A-4642-BD0B-1F156B4191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188136"/>
        <c:axId val="1"/>
      </c:barChart>
      <c:catAx>
        <c:axId val="191188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40925762425274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88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982964302944608"/>
          <c:y val="0.8925842348648233"/>
          <c:w val="0.366894503665028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76884768892775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6051051263742"/>
          <c:y val="0.19346751469829129"/>
          <c:w val="0.78839656136392233"/>
          <c:h val="0.52512611132393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52914816515255"/>
                  <c:y val="0.31909577099588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7E-4F4C-8EB7-34925119B5D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037561858036693"/>
                  <c:y val="0.32160833612183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7E-4F4C-8EB7-34925119B5D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351560293202306"/>
                  <c:y val="0.31909577099588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7E-4F4C-8EB7-34925119B5D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177504547435402"/>
                  <c:y val="0.324120901247786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7E-4F4C-8EB7-34925119B5D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832800195312654"/>
                  <c:y val="0.33668372687754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7E-4F4C-8EB7-34925119B5D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317447236834105"/>
                  <c:y val="0.32160833612183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7E-4F4C-8EB7-34925119B5D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730419363950642"/>
                  <c:y val="0.20100521007614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7E-4F4C-8EB7-34925119B5D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385715011827922"/>
                  <c:y val="0.19346751469829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7E-4F4C-8EB7-34925119B5D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041010659705179"/>
                  <c:y val="0.188442384446387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7E-4F4C-8EB7-34925119B5D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2184360488514976"/>
                  <c:y val="0.185929819320435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7E-4F4C-8EB7-34925119B5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Input'!$AL$4,'IS Input'!$AN$4,'IS Input'!$AP$4,'IS Input'!$AR$4,'IS Input'!$AT$4,'IS Input'!$AV$4,'IS Input'!$AX$4,'IS Input'!$AZ$4,'IS Input'!$BB$4,'IS Input'!$BD$4,'IS Input'!$BF$4,'IS Input'!$BH$4)</c:f>
              <c:numCache>
                <c:formatCode>General</c:formatCode>
                <c:ptCount val="12"/>
                <c:pt idx="0">
                  <c:v>112</c:v>
                </c:pt>
                <c:pt idx="1">
                  <c:v>111</c:v>
                </c:pt>
                <c:pt idx="2">
                  <c:v>111.5</c:v>
                </c:pt>
                <c:pt idx="3">
                  <c:v>110.5</c:v>
                </c:pt>
                <c:pt idx="4">
                  <c:v>105</c:v>
                </c:pt>
                <c:pt idx="5">
                  <c:v>111</c:v>
                </c:pt>
                <c:pt idx="6">
                  <c:v>126</c:v>
                </c:pt>
                <c:pt idx="7">
                  <c:v>131</c:v>
                </c:pt>
                <c:pt idx="8">
                  <c:v>132</c:v>
                </c:pt>
                <c:pt idx="9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E-4F4C-8EB7-34925119B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88128"/>
        <c:axId val="1"/>
      </c:barChart>
      <c:lineChart>
        <c:grouping val="standard"/>
        <c:varyColors val="0"/>
        <c:ser>
          <c:idx val="2"/>
          <c:order val="1"/>
          <c:tx>
            <c:v>Plan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6"/>
              <c:layout>
                <c:manualLayout>
                  <c:xMode val="edge"/>
                  <c:yMode val="edge"/>
                  <c:x val="0.55802094278355541"/>
                  <c:y val="0.344221422255401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E7E-4F4C-8EB7-34925119B5D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945444107165337"/>
                  <c:y val="0.344221422255401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E7E-4F4C-8EB7-34925119B5D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8430091148686756"/>
                  <c:y val="0.341708857129449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E7E-4F4C-8EB7-34925119B5D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5085386796564035"/>
                  <c:y val="0.33668372687754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E7E-4F4C-8EB7-34925119B5DA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0716790806306338"/>
                  <c:y val="0.33668372687754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E7E-4F4C-8EB7-34925119B5DA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7372086454183606"/>
                  <c:y val="0.341708857129449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7E-4F4C-8EB7-34925119B5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Input'!$AM$4,'IS Input'!$AO$4,'IS Input'!$AQ$4,'IS Input'!$AS$4,'IS Input'!$AU$4,'IS Input'!$AW$4,'IS Input'!$AY$4,'IS Input'!$BA$4,'IS Input'!$BC$4,'IS Input'!$BE$4,'IS Input'!$BG$4,'IS Input'!$BI$4)</c:f>
              <c:numCache>
                <c:formatCode>General</c:formatCode>
                <c:ptCount val="12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E7E-4F4C-8EB7-34925119B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88128"/>
        <c:axId val="1"/>
      </c:lineChart>
      <c:catAx>
        <c:axId val="18168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145732457820527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688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16749144048922"/>
          <c:y val="0.90201088021670861"/>
          <c:w val="0.37883990610993679"/>
          <c:h val="7.286438865260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12840453732111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4625941447704"/>
          <c:y val="0.15345287705412436"/>
          <c:w val="0.79966412134048137"/>
          <c:h val="0.6342718918237140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6296343867080503"/>
                  <c:y val="0.36317180902809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CC-43B1-AF3B-AC73119004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Input'!$D$3,'IS Input'!$K$3,'IS Input'!$R$3,'IS Input'!$Y$3,'IS Input'!$AF$3)</c:f>
              <c:numCache>
                <c:formatCode>_(* #,##0.0_);_(* \(#,##0.0\);_(* "-"??_);_(@_)</c:formatCode>
                <c:ptCount val="5"/>
                <c:pt idx="0">
                  <c:v>46.307111499999998</c:v>
                </c:pt>
                <c:pt idx="1">
                  <c:v>17.788537999999996</c:v>
                </c:pt>
                <c:pt idx="2">
                  <c:v>13.858067999999999</c:v>
                </c:pt>
                <c:pt idx="3">
                  <c:v>-68.419218999999998</c:v>
                </c:pt>
                <c:pt idx="4">
                  <c:v>9.534498499999998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C-43B1-AF3B-AC7311900404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Input'!$G$3,'IS Input'!$N$3,'IS Input'!$U$3,'IS Input'!$AB$3,'IS Input'!$AI$3)</c:f>
              <c:numCache>
                <c:formatCode>_(* #,##0.0_);_(* \(#,##0.0\);_(* "-"??_);_(@_)</c:formatCode>
                <c:ptCount val="5"/>
                <c:pt idx="0">
                  <c:v>23.249787999999999</c:v>
                </c:pt>
                <c:pt idx="1">
                  <c:v>15.526515999999999</c:v>
                </c:pt>
                <c:pt idx="2">
                  <c:v>15.606718000000001</c:v>
                </c:pt>
                <c:pt idx="3">
                  <c:v>28.078257000000001</c:v>
                </c:pt>
                <c:pt idx="4">
                  <c:v>82.46127899999999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C-43B1-AF3B-AC73119004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96488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5151530720135437"/>
                  <c:y val="0.419437863947939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CC-43B1-AF3B-AC731190040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858622704320536"/>
                  <c:y val="0.49872185042590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CC-43B1-AF3B-AC731190040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010153424455973"/>
                  <c:y val="0.544757713542141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CC-43B1-AF3B-AC731190040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3804779365903674"/>
                  <c:y val="0.419437863947939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CC-43B1-AF3B-AC731190040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185272715428118"/>
                  <c:y val="0.50895204222951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CC-43B1-AF3B-AC73119004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Input'!$B$107:$F$107</c:f>
              <c:numCache>
                <c:formatCode>_(* #,##0.0_);_(* \(#,##0.0\);_(* "-"??_);_(@_)</c:formatCode>
                <c:ptCount val="5"/>
                <c:pt idx="0">
                  <c:v>19.7</c:v>
                </c:pt>
                <c:pt idx="1">
                  <c:v>-7.2009999999999996</c:v>
                </c:pt>
                <c:pt idx="2">
                  <c:v>-22.509</c:v>
                </c:pt>
                <c:pt idx="3">
                  <c:v>-1.51</c:v>
                </c:pt>
                <c:pt idx="4">
                  <c:v>-11.520000000000001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CC-43B1-AF3B-AC73119004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964888"/>
        <c:axId val="1"/>
      </c:lineChart>
      <c:catAx>
        <c:axId val="19096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29668055751548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964888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717194032194126"/>
          <c:y val="0.87212385125760661"/>
          <c:w val="0.60606122880541746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051627261845408"/>
          <c:y val="3.75000801088137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56587313089892E-2"/>
          <c:y val="0.13500028839172934"/>
          <c:w val="0.85395386025182196"/>
          <c:h val="0.700001495364522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Team'!$D$13:$O$13</c:f>
              <c:numCache>
                <c:formatCode>_(* #,##0.0_);_(* \(#,##0.0\);_(* "-"??_);_(@_)</c:formatCode>
                <c:ptCount val="12"/>
                <c:pt idx="0">
                  <c:v>-95.409000000000006</c:v>
                </c:pt>
                <c:pt idx="1">
                  <c:v>40.747999999999998</c:v>
                </c:pt>
                <c:pt idx="2">
                  <c:v>-136.43799999999999</c:v>
                </c:pt>
                <c:pt idx="3">
                  <c:v>23.298999999999999</c:v>
                </c:pt>
                <c:pt idx="4">
                  <c:v>-37.631</c:v>
                </c:pt>
                <c:pt idx="5">
                  <c:v>10.903</c:v>
                </c:pt>
                <c:pt idx="6">
                  <c:v>-25.443000000000001</c:v>
                </c:pt>
                <c:pt idx="7">
                  <c:v>-39.478000000000002</c:v>
                </c:pt>
                <c:pt idx="8">
                  <c:v>19.797000000000001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0-45B4-9DB1-C8E109389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68824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Team'!$D$14:$L$14</c:f>
              <c:numCache>
                <c:formatCode>_(* #,##0.0_);_(* \(#,##0.0\);_(* "-"??_);_(@_)</c:formatCode>
                <c:ptCount val="9"/>
                <c:pt idx="0">
                  <c:v>-95.409000000000006</c:v>
                </c:pt>
                <c:pt idx="1">
                  <c:v>-54.661000000000008</c:v>
                </c:pt>
                <c:pt idx="2">
                  <c:v>-191.09899999999999</c:v>
                </c:pt>
                <c:pt idx="3">
                  <c:v>-167.79999999999998</c:v>
                </c:pt>
                <c:pt idx="4">
                  <c:v>-205.43099999999998</c:v>
                </c:pt>
                <c:pt idx="5">
                  <c:v>-194.52799999999999</c:v>
                </c:pt>
                <c:pt idx="6">
                  <c:v>-219.971</c:v>
                </c:pt>
                <c:pt idx="7">
                  <c:v>-259.44900000000001</c:v>
                </c:pt>
                <c:pt idx="8">
                  <c:v>-239.65200000000002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0-45B4-9DB1-C8E109389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8824"/>
        <c:axId val="1"/>
      </c:lineChart>
      <c:catAx>
        <c:axId val="19096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2027519158476368E-2"/>
              <c:y val="0.435000929262238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9688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45736181115847"/>
          <c:y val="0.91500195465505441"/>
          <c:w val="0.79553448148207973"/>
          <c:h val="7.25001548770398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627988537879741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8374572024461"/>
          <c:y val="0.15345287705412436"/>
          <c:w val="0.78498358923680578"/>
          <c:h val="0.6342718918237140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29023178380288"/>
                  <c:y val="0.447570891407862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E0-4F4E-B9D3-EEF239D0C23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989778581766763"/>
                  <c:y val="0.388747288537115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E0-4F4E-B9D3-EEF239D0C23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157020048711512"/>
                  <c:y val="0.434783151653352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E0-4F4E-B9D3-EEF239D0C23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00369877521303"/>
                  <c:y val="0.319693493862759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E0-4F4E-B9D3-EEF239D0C23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808908557177704"/>
                  <c:y val="0.2429670553356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E0-4F4E-B9D3-EEF239D0C23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Input'!$B$11,'volumes Input'!$G$11,'volumes Input'!$L$11,'volumes Input'!$Q$11,'volumes Input'!$V$11,'volumes Input'!$AA$11,'volumes Input'!$AF$11,'volumes Input'!$AK$11,'volumes Input'!$AP$11,'volumes Input'!$AU$11,'volumes Input'!$AZ$11,'volumes Input'!$BE$11)</c:f>
              <c:numCache>
                <c:formatCode>_(* #,##0_);_(* \(#,##0\);_(* "-"??_);_(@_)</c:formatCode>
                <c:ptCount val="12"/>
                <c:pt idx="0">
                  <c:v>35889.035000000003</c:v>
                </c:pt>
                <c:pt idx="1">
                  <c:v>38708.027999999998</c:v>
                </c:pt>
                <c:pt idx="2">
                  <c:v>37305.792000000001</c:v>
                </c:pt>
                <c:pt idx="3">
                  <c:v>51131.207000000002</c:v>
                </c:pt>
                <c:pt idx="4">
                  <c:v>60815.773999999998</c:v>
                </c:pt>
                <c:pt idx="5">
                  <c:v>52706.375999999997</c:v>
                </c:pt>
                <c:pt idx="6">
                  <c:v>50733.235000000001</c:v>
                </c:pt>
                <c:pt idx="7">
                  <c:v>59849.841</c:v>
                </c:pt>
                <c:pt idx="8">
                  <c:v>46513.447999999997</c:v>
                </c:pt>
                <c:pt idx="9">
                  <c:v>69486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E0-4F4E-B9D3-EEF239D0C2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96685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Input'!$B$19,'volumes Input'!$G$19,'volumes Input'!$L$19,'volumes Input'!$Q$19,'volumes Input'!$V$19,'volumes Input'!$AA$19,'volumes Input'!$AF$19,'volumes Input'!$AK$19,'volumes Input'!$AP$19,'volumes Input'!$AU$19,'volumes Input'!$AZ$19,'volumes Input'!$BE$19)</c:f>
              <c:numCache>
                <c:formatCode>_(* #,##0_);_(* \(#,##0\);_(* "-"??_);_(@_)</c:formatCode>
                <c:ptCount val="12"/>
                <c:pt idx="0">
                  <c:v>50965.917999999998</c:v>
                </c:pt>
                <c:pt idx="1">
                  <c:v>39570.201999999997</c:v>
                </c:pt>
                <c:pt idx="2">
                  <c:v>38112.879000000001</c:v>
                </c:pt>
                <c:pt idx="3">
                  <c:v>28915.627</c:v>
                </c:pt>
                <c:pt idx="4">
                  <c:v>41715.71</c:v>
                </c:pt>
                <c:pt idx="5">
                  <c:v>36391.862999999998</c:v>
                </c:pt>
                <c:pt idx="6">
                  <c:v>37776.135999999999</c:v>
                </c:pt>
                <c:pt idx="7">
                  <c:v>43826.925999999999</c:v>
                </c:pt>
                <c:pt idx="8">
                  <c:v>42724.756999999998</c:v>
                </c:pt>
                <c:pt idx="9">
                  <c:v>52145.502</c:v>
                </c:pt>
                <c:pt idx="10">
                  <c:v>66226.271999999997</c:v>
                </c:pt>
                <c:pt idx="11">
                  <c:v>43836.364999999998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E0-4F4E-B9D3-EEF239D0C2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966856"/>
        <c:axId val="1"/>
      </c:lineChart>
      <c:catAx>
        <c:axId val="19096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3580567131262902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966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914696527950797"/>
          <c:y val="0.87212385125760661"/>
          <c:w val="0.6313998435165612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Transaction Count</a:t>
            </a:r>
          </a:p>
        </c:rich>
      </c:tx>
      <c:layout>
        <c:manualLayout>
          <c:xMode val="edge"/>
          <c:yMode val="edge"/>
          <c:x val="0.25925952565565086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24932085474791"/>
          <c:y val="0.1760207370444854"/>
          <c:w val="0.7912466042737395"/>
          <c:h val="0.5765316894500535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161632768144468"/>
                  <c:y val="0.255102517455775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64-4C8C-9A2B-C043850D073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558945738868319"/>
                  <c:y val="0.301020970597815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64-4C8C-9A2B-C043850D073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451207685587654"/>
                  <c:y val="0.27040866850312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64-4C8C-9A2B-C043850D073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690272362985698"/>
                  <c:y val="0.35714352443808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64-4C8C-9A2B-C043850D073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919234992374704"/>
                  <c:y val="0.211735089488293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64-4C8C-9A2B-C043850D073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Input'!$D$11,'volumes Input'!$I$11,'volumes Input'!$N$11,'volumes Input'!$S$11,'volumes Input'!$X$11,'volumes Input'!$AC$11,'volumes Input'!$AH$11,'volumes Input'!$AM$11,'volumes Input'!$AR$11,'volumes Input'!$AW$11,'volumes Input'!$BB$11,'volumes Input'!$BG$11)</c:f>
              <c:numCache>
                <c:formatCode>_(* #,##0_);_(* \(#,##0\);_(* "-"??_);_(@_)</c:formatCode>
                <c:ptCount val="12"/>
                <c:pt idx="0">
                  <c:v>10780</c:v>
                </c:pt>
                <c:pt idx="1">
                  <c:v>9908</c:v>
                </c:pt>
                <c:pt idx="2">
                  <c:v>10584</c:v>
                </c:pt>
                <c:pt idx="3">
                  <c:v>8289</c:v>
                </c:pt>
                <c:pt idx="4">
                  <c:v>12021</c:v>
                </c:pt>
                <c:pt idx="5">
                  <c:v>9375</c:v>
                </c:pt>
                <c:pt idx="6">
                  <c:v>10180</c:v>
                </c:pt>
                <c:pt idx="7">
                  <c:v>12418</c:v>
                </c:pt>
                <c:pt idx="8">
                  <c:v>11062</c:v>
                </c:pt>
                <c:pt idx="9">
                  <c:v>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64-4C8C-9A2B-C043850D07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962592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Input'!$D$19,'volumes Input'!$I$19,'volumes Input'!$N$19,'volumes Input'!$S$19,'volumes Input'!$X$19,'volumes Input'!$AC$19,'volumes Input'!$AH$19,'volumes Input'!$AM$19,'volumes Input'!$AR$19,'volumes Input'!$AW$19,'volumes Input'!$BB$19,'volumes Input'!$BG$19)</c:f>
              <c:numCache>
                <c:formatCode>_(* #,##0_);_(* \(#,##0\);_(* "-"??_);_(@_)</c:formatCode>
                <c:ptCount val="12"/>
                <c:pt idx="0">
                  <c:v>3050</c:v>
                </c:pt>
                <c:pt idx="1">
                  <c:v>2694</c:v>
                </c:pt>
                <c:pt idx="2">
                  <c:v>3172</c:v>
                </c:pt>
                <c:pt idx="3">
                  <c:v>2620</c:v>
                </c:pt>
                <c:pt idx="4">
                  <c:v>5180</c:v>
                </c:pt>
                <c:pt idx="5">
                  <c:v>6303</c:v>
                </c:pt>
                <c:pt idx="6">
                  <c:v>3683</c:v>
                </c:pt>
                <c:pt idx="7">
                  <c:v>4563</c:v>
                </c:pt>
                <c:pt idx="8">
                  <c:v>5556</c:v>
                </c:pt>
                <c:pt idx="9">
                  <c:v>6026</c:v>
                </c:pt>
                <c:pt idx="10">
                  <c:v>5283</c:v>
                </c:pt>
                <c:pt idx="11">
                  <c:v>5326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64-4C8C-9A2B-C043850D07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962592"/>
        <c:axId val="1"/>
      </c:lineChart>
      <c:catAx>
        <c:axId val="1909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962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57914983488638"/>
          <c:y val="0.86989958452419569"/>
          <c:w val="0.61111173904546257"/>
          <c:h val="0.104592032156868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57679395597299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188850846619"/>
          <c:y val="0.19693119221945959"/>
          <c:w val="0.77303818679189795"/>
          <c:h val="0.51662468608221868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05131540245328"/>
                  <c:y val="0.22250667172848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C4-4943-9F1B-AFDF95D2C58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13653554998763"/>
                  <c:y val="0.2455246032865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C4-4943-9F1B-AFDF95D2C58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279885378797413"/>
                  <c:y val="0.27621517869742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C4-4943-9F1B-AFDF95D2C58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593883813963026"/>
                  <c:y val="0.39386238443891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C4-4943-9F1B-AFDF95D2C58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078530855484467"/>
                  <c:y val="0.230179315581186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C4-4943-9F1B-AFDF95D2C58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904475109717552"/>
                  <c:y val="0.18670100041585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C4-4943-9F1B-AFDF95D2C58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559770757594815"/>
                  <c:y val="0.16879816475953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C4-4943-9F1B-AFDF95D2C58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044417799116267"/>
                  <c:y val="0.179028356563145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C4-4943-9F1B-AFDF95D2C58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846470415214397"/>
                  <c:y val="0.33248123361726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943-9F1B-AFDF95D2C589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1672414669447493"/>
                  <c:y val="0.335038781568171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943-9F1B-AFDF95D2C5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Input'!$E$11,'volumes Input'!$J$11,'volumes Input'!$O$11,'volumes Input'!$T$11,'volumes Input'!$Y$11,'volumes Input'!$AD$11,'volumes Input'!$AI$11,'volumes Input'!$AN$11,'volumes Input'!$AS$11,'volumes Input'!$AX$11,'volumes Input'!$BC$11,'volumes Input'!$BH$11)</c:f>
              <c:numCache>
                <c:formatCode>_(* #,##0_);_(* \(#,##0\);_(* "-"??_);_(@_)</c:formatCode>
                <c:ptCount val="12"/>
                <c:pt idx="0">
                  <c:v>6293</c:v>
                </c:pt>
                <c:pt idx="1">
                  <c:v>5954</c:v>
                </c:pt>
                <c:pt idx="2">
                  <c:v>5560</c:v>
                </c:pt>
                <c:pt idx="3">
                  <c:v>3845</c:v>
                </c:pt>
                <c:pt idx="4">
                  <c:v>6451</c:v>
                </c:pt>
                <c:pt idx="5">
                  <c:v>7138</c:v>
                </c:pt>
                <c:pt idx="6">
                  <c:v>7574</c:v>
                </c:pt>
                <c:pt idx="7">
                  <c:v>7543</c:v>
                </c:pt>
                <c:pt idx="8">
                  <c:v>4994</c:v>
                </c:pt>
                <c:pt idx="9">
                  <c:v>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C4-4943-9F1B-AFDF95D2C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183544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Input'!$E$19,'volumes Input'!$J$19,'volumes Input'!$O$19,'volumes Input'!$T$19,'volumes Input'!$Y$19,'volumes Input'!$AD$19,'volumes Input'!$AI$19,'volumes Input'!$AN$19,'volumes Input'!$AS$19,'volumes Input'!$AX$19,'volumes Input'!$BC$19,'volumes Input'!$BH$19)</c:f>
              <c:numCache>
                <c:formatCode>_(* #,##0_);_(* \(#,##0\);_(* "-"??_);_(@_)</c:formatCode>
                <c:ptCount val="12"/>
                <c:pt idx="0">
                  <c:v>176</c:v>
                </c:pt>
                <c:pt idx="1">
                  <c:v>270</c:v>
                </c:pt>
                <c:pt idx="2">
                  <c:v>221</c:v>
                </c:pt>
                <c:pt idx="3">
                  <c:v>570</c:v>
                </c:pt>
                <c:pt idx="4">
                  <c:v>2106</c:v>
                </c:pt>
                <c:pt idx="5">
                  <c:v>1631</c:v>
                </c:pt>
                <c:pt idx="6">
                  <c:v>1141</c:v>
                </c:pt>
                <c:pt idx="7">
                  <c:v>1308</c:v>
                </c:pt>
                <c:pt idx="8">
                  <c:v>2131</c:v>
                </c:pt>
                <c:pt idx="9">
                  <c:v>2575</c:v>
                </c:pt>
                <c:pt idx="10">
                  <c:v>2565</c:v>
                </c:pt>
                <c:pt idx="11">
                  <c:v>2470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C4-4943-9F1B-AFDF95D2C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83544"/>
        <c:axId val="1"/>
      </c:lineChart>
      <c:catAx>
        <c:axId val="19118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83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69992175828065"/>
          <c:y val="0.90025687871752946"/>
          <c:w val="0.378839906109936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Volumes</a:t>
            </a:r>
          </a:p>
        </c:rich>
      </c:tx>
      <c:layout>
        <c:manualLayout>
          <c:xMode val="edge"/>
          <c:yMode val="edge"/>
          <c:x val="0.24915850517556057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8231402805114"/>
          <c:y val="0.15089532910322231"/>
          <c:w val="0.75084252235337845"/>
          <c:h val="0.6342718918237140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9328242680963"/>
                  <c:y val="0.33248123361726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78-4E46-A618-AF170743A70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707091984185097"/>
                  <c:y val="0.2711000827956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78-4E46-A618-AF170743A70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420901541560564"/>
                  <c:y val="0.19693119221945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378-4E46-A618-AF170743A70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165017242963124"/>
                  <c:y val="0.232736863532088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378-4E46-A618-AF170743A70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8892884834762"/>
                  <c:y val="0.1892585483667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78-4E46-A618-AF170743A70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969745232419852"/>
                  <c:y val="0.21739157582667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78-4E46-A618-AF170743A70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367058203143702"/>
                  <c:y val="0.26342743894291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78-4E46-A618-AF170743A70E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7912517419184328"/>
                  <c:y val="0.18158590451404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78-4E46-A618-AF170743A70E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983231755247528"/>
                  <c:y val="0.219949123777578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78-4E46-A618-AF170743A70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Input'!$C$11,'volumes Input'!$H$11,'volumes Input'!$M$11,'volumes Input'!$R$11,'volumes Input'!$W$11,'volumes Input'!$AB$11,'volumes Input'!$AG$11,'volumes Input'!$AL$11,'volumes Input'!$AQ$11,'volumes Input'!$AV$11,'volumes Input'!$BA$11,'volumes Input'!$BF$11)</c:f>
              <c:numCache>
                <c:formatCode>_(* #,##0_);_(* \(#,##0\);_(* "-"??_);_(@_)</c:formatCode>
                <c:ptCount val="12"/>
                <c:pt idx="0">
                  <c:v>314627.52600000001</c:v>
                </c:pt>
                <c:pt idx="1">
                  <c:v>325890.158</c:v>
                </c:pt>
                <c:pt idx="2">
                  <c:v>415352.16600000003</c:v>
                </c:pt>
                <c:pt idx="3">
                  <c:v>390818.951</c:v>
                </c:pt>
                <c:pt idx="4">
                  <c:v>422219.23499999999</c:v>
                </c:pt>
                <c:pt idx="5">
                  <c:v>405347.087</c:v>
                </c:pt>
                <c:pt idx="6">
                  <c:v>385803</c:v>
                </c:pt>
                <c:pt idx="7">
                  <c:v>443047</c:v>
                </c:pt>
                <c:pt idx="8">
                  <c:v>413870</c:v>
                </c:pt>
                <c:pt idx="9">
                  <c:v>352307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78-4E46-A618-AF170743A7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18288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Input'!$C$19,'volumes Input'!$H$19,'volumes Input'!$M$19,'volumes Input'!$R$19,'volumes Input'!$W$19,'volumes Input'!$AB$19,'volumes Input'!$AG$19,'volumes Input'!$AL$19,'volumes Input'!$AQ$19,'volumes Input'!$AV$19,'volumes Input'!$BA$19,'volumes Input'!$BF$19)</c:f>
              <c:numCache>
                <c:formatCode>_(* #,##0_);_(* \(#,##0\);_(* "-"??_);_(@_)</c:formatCode>
                <c:ptCount val="12"/>
                <c:pt idx="0">
                  <c:v>199515.98300000001</c:v>
                </c:pt>
                <c:pt idx="1">
                  <c:v>171546.61799999999</c:v>
                </c:pt>
                <c:pt idx="2">
                  <c:v>193331.08100000001</c:v>
                </c:pt>
                <c:pt idx="3">
                  <c:v>150072.62700000001</c:v>
                </c:pt>
                <c:pt idx="4">
                  <c:v>245942.07500000001</c:v>
                </c:pt>
                <c:pt idx="5">
                  <c:v>308437.321</c:v>
                </c:pt>
                <c:pt idx="6">
                  <c:v>253779.674</c:v>
                </c:pt>
                <c:pt idx="7">
                  <c:v>308730.99200000003</c:v>
                </c:pt>
                <c:pt idx="8">
                  <c:v>285951.80099999998</c:v>
                </c:pt>
                <c:pt idx="9">
                  <c:v>310339.72200000001</c:v>
                </c:pt>
                <c:pt idx="10">
                  <c:v>311093.02799999999</c:v>
                </c:pt>
                <c:pt idx="11">
                  <c:v>297885.80800000002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78-4E46-A618-AF170743A7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182888"/>
        <c:axId val="1"/>
      </c:lineChart>
      <c:catAx>
        <c:axId val="19118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360614261077192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82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47500176221215"/>
          <c:y val="0.87212385125760661"/>
          <c:w val="0.60606122880541746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344829338895"/>
          <c:y val="0.15345287705412436"/>
          <c:w val="0.81228736625373821"/>
          <c:h val="0.6445020836273223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38226621015943"/>
                  <c:y val="0.52429732993492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BE-41ED-AC5C-93ACE8C1D04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276478239386331"/>
                  <c:y val="0.455243535260568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BE-41ED-AC5C-93ACE8C1D04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Input'!$B$4,'IS Input'!$I$4,'IS Input'!$P$4,'IS Input'!$W$4,'IS Input'!$AD$4)</c:f>
              <c:numCache>
                <c:formatCode>_(* #,##0.0_);_(* \(#,##0.0\);_(* "-"??_);_(@_)</c:formatCode>
                <c:ptCount val="5"/>
                <c:pt idx="0">
                  <c:v>14.040902329999998</c:v>
                </c:pt>
                <c:pt idx="1">
                  <c:v>26.214523520000004</c:v>
                </c:pt>
                <c:pt idx="2">
                  <c:v>32.464047000000001</c:v>
                </c:pt>
                <c:pt idx="3">
                  <c:v>6.6136349999999995</c:v>
                </c:pt>
                <c:pt idx="4">
                  <c:v>79.333107850000005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E-41ED-AC5C-93ACE8C1D041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Input'!$E$4,'IS Input'!$L$4,'IS Input'!$S$4,'IS Input'!$Z$4,'IS Input'!$AG$4)</c:f>
              <c:numCache>
                <c:formatCode>_(* #,##0.0_);_(* \(#,##0.0\);_(* "-"??_);_(@_)</c:formatCode>
                <c:ptCount val="5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BE-41ED-AC5C-93ACE8C1D0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03490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2354967432613385"/>
                  <c:y val="0.58312093280567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BE-41ED-AC5C-93ACE8C1D04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467611344466043"/>
                  <c:y val="0.71867097420348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BE-41ED-AC5C-93ACE8C1D04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5290148459288058"/>
                  <c:y val="0.624041700020105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BE-41ED-AC5C-93ACE8C1D04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283334180465905"/>
                  <c:y val="0.265984986893815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BE-41ED-AC5C-93ACE8C1D04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884032273251089"/>
                  <c:y val="0.28133027459922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BE-41ED-AC5C-93ACE8C1D04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Input'!$B$72:$F$72</c:f>
              <c:numCache>
                <c:formatCode>_(* #,##0.0_);_(* \(#,##0.0\);_(* "-"??_);_(@_)</c:formatCode>
                <c:ptCount val="5"/>
                <c:pt idx="0">
                  <c:v>6.0329999999999995</c:v>
                </c:pt>
                <c:pt idx="1">
                  <c:v>-2.9089999999999998</c:v>
                </c:pt>
                <c:pt idx="2">
                  <c:v>1.4</c:v>
                </c:pt>
                <c:pt idx="3">
                  <c:v>52.971000000000004</c:v>
                </c:pt>
                <c:pt idx="4">
                  <c:v>57.495000000000005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BE-41ED-AC5C-93ACE8C1D0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034904"/>
        <c:axId val="1"/>
      </c:lineChart>
      <c:catAx>
        <c:axId val="18103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920767214433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034904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76793955972993"/>
          <c:y val="0.88491159101211714"/>
          <c:w val="0.52047824938527343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7220990239485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22537114822017"/>
          <c:y val="0.15136536030724279"/>
          <c:w val="0.81058088019017993"/>
          <c:h val="0.63027543472196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40968997447771"/>
                  <c:y val="0.295286522566588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F1-4D32-9925-576AB803414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525616038969212"/>
                  <c:y val="0.292805123217289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F1-4D32-9925-576AB803414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180911686846478"/>
                  <c:y val="0.287842324518691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F1-4D32-9925-576AB803414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836207334723746"/>
                  <c:y val="0.290323723867990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F1-4D32-9925-576AB803414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832800195312654"/>
                  <c:y val="0.27295392842289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F1-4D32-9925-576AB803414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658744449545755"/>
                  <c:y val="0.287842324518691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F1-4D32-9925-576AB803414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6314040097423024"/>
                  <c:y val="0.27295392842289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F1-4D32-9925-576AB803414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092201075386188"/>
                  <c:y val="0.225807340786214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F1-4D32-9925-576AB803414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894253691484318"/>
                  <c:y val="0.233251538834111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F1-4D32-9925-576AB803414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6450575647410646"/>
                  <c:y val="9.429317527336436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F1-4D32-9925-576AB80341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Input'!$AL$5,'IS Input'!$AN$5,'IS Input'!$AP$5,'IS Input'!$AR$5,'IS Input'!$AT$5,'IS Input'!$AV$5,'IS Input'!$AX$5,'IS Input'!$AZ$5,'IS Input'!$BB$5,'IS Input'!$BD$5,'IS Input'!$BF$5,'IS Input'!$BH$5)</c:f>
              <c:numCache>
                <c:formatCode>General</c:formatCode>
                <c:ptCount val="12"/>
                <c:pt idx="0">
                  <c:v>66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71</c:v>
                </c:pt>
                <c:pt idx="5">
                  <c:v>68</c:v>
                </c:pt>
                <c:pt idx="6">
                  <c:v>73</c:v>
                </c:pt>
                <c:pt idx="7">
                  <c:v>81</c:v>
                </c:pt>
                <c:pt idx="8">
                  <c:v>82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F1-4D32-9925-576AB80341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273560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9"/>
              <c:layout>
                <c:manualLayout>
                  <c:xMode val="edge"/>
                  <c:yMode val="edge"/>
                  <c:x val="0.79692899168171372"/>
                  <c:y val="0.230770139484812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F1-4D32-9925-576AB803414A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5153654571557846"/>
                  <c:y val="0.230770139484812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BF1-4D32-9925-576AB803414A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90273112762232666"/>
                  <c:y val="0.225807340786214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F1-4D32-9925-576AB80341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Input'!$AM$5,'IS Input'!$AO$5,'IS Input'!$AQ$5,'IS Input'!$AS$5,'IS Input'!$AU$5,'IS Input'!$AW$5,'IS Input'!$AY$5,'IS Input'!$BA$5,'IS Input'!$BC$5,'IS Input'!$BE$5,'IS Input'!$BG$5,'IS Input'!$BI$5)</c:f>
              <c:numCache>
                <c:formatCode>General</c:formatCode>
                <c:ptCount val="12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87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F1-4D32-9925-576AB80341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273560"/>
        <c:axId val="1"/>
      </c:lineChart>
      <c:catAx>
        <c:axId val="18127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5597290953374104E-2"/>
              <c:y val="0.419356490031541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273560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81937994895543"/>
          <c:y val="0.90819216184345675"/>
          <c:w val="0.36689450366502879"/>
          <c:h val="7.19605811296727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88054578843778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1660111987745"/>
          <c:y val="0.14833778115232019"/>
          <c:w val="0.82462108260583444"/>
          <c:h val="0.5984662205110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82977644650839"/>
                  <c:y val="0.49104920657319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47-4DF3-9C90-74D147B0369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Input'!$D$4,'IS Input'!$K$4,'IS Input'!$R$4,'IS Input'!$Y$4,'IS Input'!$AF$4)</c:f>
              <c:numCache>
                <c:formatCode>_(* #,##0.0_);_(* \(#,##0.0\);_(* "-"??_);_(@_)</c:formatCode>
                <c:ptCount val="5"/>
                <c:pt idx="0">
                  <c:v>5.9568273299999985</c:v>
                </c:pt>
                <c:pt idx="1">
                  <c:v>17.966857520000001</c:v>
                </c:pt>
                <c:pt idx="2">
                  <c:v>21.846977999999996</c:v>
                </c:pt>
                <c:pt idx="3">
                  <c:v>-3.0091260000000011</c:v>
                </c:pt>
                <c:pt idx="4">
                  <c:v>42.761536849999992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7-4DF3-9C90-74D147B0369D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Input'!$G$4,'IS Input'!$N$4,'IS Input'!$U$4,'IS Input'!$AB$4,'IS Input'!$AI$4)</c:f>
              <c:numCache>
                <c:formatCode>_(* #,##0.0_);_(* \(#,##0.0\);_(* "-"??_);_(@_)</c:formatCode>
                <c:ptCount val="5"/>
                <c:pt idx="0">
                  <c:v>9.2528780000000008</c:v>
                </c:pt>
                <c:pt idx="1">
                  <c:v>9.2219840000000008</c:v>
                </c:pt>
                <c:pt idx="2">
                  <c:v>9.1264590000000005</c:v>
                </c:pt>
                <c:pt idx="3">
                  <c:v>9.1272389999999994</c:v>
                </c:pt>
                <c:pt idx="4">
                  <c:v>36.728560000000002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7-4DF3-9C90-74D147B036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33990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165270130652372"/>
                  <c:y val="0.59079357665837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47-4DF3-9C90-74D147B0369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256346167741182"/>
                  <c:y val="0.68286530289085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47-4DF3-9C90-74D147B0369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62566549461254"/>
                  <c:y val="0.618926604118301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47-4DF3-9C90-74D147B0369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47727730748543"/>
                  <c:y val="0.22250667172848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47-4DF3-9C90-74D147B0369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677962466134728"/>
                  <c:y val="0.34526897337177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47-4DF3-9C90-74D147B0369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Input'!$B$108:$F$108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-7.9</c:v>
                </c:pt>
                <c:pt idx="2">
                  <c:v>-4.7</c:v>
                </c:pt>
                <c:pt idx="3">
                  <c:v>42.9</c:v>
                </c:pt>
                <c:pt idx="4">
                  <c:v>30.299999999999997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47-4DF3-9C90-74D147B036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339904"/>
        <c:axId val="1"/>
      </c:lineChart>
      <c:catAx>
        <c:axId val="1813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8785858691071963E-2"/>
              <c:y val="0.398977480340723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339904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318735251972426"/>
          <c:y val="0.87723894715941086"/>
          <c:w val="0.49409811289061245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Gross Margin</a:t>
            </a:r>
          </a:p>
        </c:rich>
      </c:tx>
      <c:layout>
        <c:manualLayout>
          <c:xMode val="edge"/>
          <c:yMode val="edge"/>
          <c:x val="0.25925952565565086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4421845429644"/>
          <c:y val="0.16836766152081209"/>
          <c:w val="0.8720547681144617"/>
          <c:h val="0.6122460418938621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1313163488279905"/>
                  <c:y val="0.510205034911551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32-43E2-8E27-546ECDADC8E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989949328437915"/>
                  <c:y val="0.548470412529918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32-43E2-8E27-546ECDADC8E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161684144591415"/>
                  <c:y val="0.65816449503590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32-43E2-8E27-546ECDADC8E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333418960744887"/>
                  <c:y val="0.5408173370062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32-43E2-8E27-546ECDADC8E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Input'!$B$47:$F$47</c:f>
              <c:numCache>
                <c:formatCode>_(* #,##0.0_);_(* \(#,##0.0\);_(* "-"??_);_(@_)</c:formatCode>
                <c:ptCount val="5"/>
                <c:pt idx="0">
                  <c:v>100.66806961</c:v>
                </c:pt>
                <c:pt idx="1">
                  <c:v>94.209201520000008</c:v>
                </c:pt>
                <c:pt idx="2">
                  <c:v>31.038480000000007</c:v>
                </c:pt>
                <c:pt idx="3">
                  <c:v>-76.862033999999994</c:v>
                </c:pt>
                <c:pt idx="4">
                  <c:v>149.05371713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2-43E2-8E27-546ECDADC8EF}"/>
            </c:ext>
          </c:extLst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Input'!$I$47:$M$47</c:f>
              <c:numCache>
                <c:formatCode>_(* #,##0.0_);_(* \(#,##0.0\);_(* "-"??_);_(@_)</c:formatCode>
                <c:ptCount val="5"/>
                <c:pt idx="0">
                  <c:v>97.298749999999998</c:v>
                </c:pt>
                <c:pt idx="1">
                  <c:v>111.60342199999999</c:v>
                </c:pt>
                <c:pt idx="2">
                  <c:v>123.813053</c:v>
                </c:pt>
                <c:pt idx="3">
                  <c:v>175.31147199999998</c:v>
                </c:pt>
                <c:pt idx="4" formatCode="0.0">
                  <c:v>508.02669700000001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32-43E2-8E27-546ECDADC8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18715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14142867212641"/>
                  <c:y val="0.571429639100937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032-43E2-8E27-546ECDADC8E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649864170949582"/>
                  <c:y val="0.548470412529918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32-43E2-8E27-546ECDADC8E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020255472464993"/>
                  <c:y val="0.62245014259209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32-43E2-8E27-546ECDADC8E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488282779252049"/>
                  <c:y val="0.502551959387878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32-43E2-8E27-546ECDADC8E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165068619410076"/>
                  <c:y val="0.415817103452914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32-43E2-8E27-546ECDADC8E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Input'!$B$82:$F$82</c:f>
              <c:numCache>
                <c:formatCode>_(* #,##0.0_);_(* \(#,##0.0\);_(* "-"??_);_(@_)</c:formatCode>
                <c:ptCount val="5"/>
                <c:pt idx="0">
                  <c:v>71.01400000000001</c:v>
                </c:pt>
                <c:pt idx="1">
                  <c:v>29.604999999999997</c:v>
                </c:pt>
                <c:pt idx="2">
                  <c:v>20.097000000000001</c:v>
                </c:pt>
                <c:pt idx="3">
                  <c:v>83.498000000000019</c:v>
                </c:pt>
                <c:pt idx="4">
                  <c:v>204.21400000000003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32-43E2-8E27-546ECDADC8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187152"/>
        <c:axId val="1"/>
      </c:lineChart>
      <c:catAx>
        <c:axId val="19118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158171034529147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87152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313163488279905"/>
          <c:y val="0.86479753417508021"/>
          <c:w val="0.4595964318441082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102739726027399"/>
          <c:y val="3.7313557471775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315068493150679E-2"/>
          <c:y val="0.1368163773965109"/>
          <c:w val="0.85445205479452058"/>
          <c:h val="0.69900730997126492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Team'!$D$22:$O$22</c:f>
              <c:numCache>
                <c:formatCode>_(* #,##0.0_);_(* \(#,##0.0\);_(* "-"??_);_(@_)</c:formatCode>
                <c:ptCount val="12"/>
                <c:pt idx="0">
                  <c:v>12.599</c:v>
                </c:pt>
                <c:pt idx="1">
                  <c:v>-6.7300000000000013</c:v>
                </c:pt>
                <c:pt idx="2">
                  <c:v>-16.241</c:v>
                </c:pt>
                <c:pt idx="3">
                  <c:v>-31.310000000000002</c:v>
                </c:pt>
                <c:pt idx="4">
                  <c:v>-73.048000000000002</c:v>
                </c:pt>
                <c:pt idx="5">
                  <c:v>7.5369999999999999</c:v>
                </c:pt>
                <c:pt idx="6">
                  <c:v>2.3749999999999991</c:v>
                </c:pt>
                <c:pt idx="7">
                  <c:v>7.3559999999999999</c:v>
                </c:pt>
                <c:pt idx="8">
                  <c:v>-14.707000000000001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6-4749-85D3-1AADEE7D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91720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Team'!$D$23:$L$23</c:f>
              <c:numCache>
                <c:formatCode>_(* #,##0.0_);_(* \(#,##0.0\);_(* "-"??_);_(@_)</c:formatCode>
                <c:ptCount val="9"/>
                <c:pt idx="0">
                  <c:v>12.599</c:v>
                </c:pt>
                <c:pt idx="1">
                  <c:v>5.8689999999999998</c:v>
                </c:pt>
                <c:pt idx="2">
                  <c:v>-10.372</c:v>
                </c:pt>
                <c:pt idx="3">
                  <c:v>-41.682000000000009</c:v>
                </c:pt>
                <c:pt idx="4">
                  <c:v>-114.73</c:v>
                </c:pt>
                <c:pt idx="5">
                  <c:v>-107.19300000000001</c:v>
                </c:pt>
                <c:pt idx="6">
                  <c:v>-104.81800000000001</c:v>
                </c:pt>
                <c:pt idx="7">
                  <c:v>-97.462000000000018</c:v>
                </c:pt>
                <c:pt idx="8">
                  <c:v>-112.169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6-4749-85D3-1AADEE7D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91720"/>
        <c:axId val="1"/>
      </c:lineChart>
      <c:catAx>
        <c:axId val="18069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86301369863015E-2"/>
              <c:y val="0.435324837170716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06917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869863013698633"/>
          <c:y val="0.91542594330756377"/>
          <c:w val="0.79280821917808231"/>
          <c:h val="7.2139544445433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461562538538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725965668636"/>
          <c:y val="0.15384625015415299"/>
          <c:w val="0.79522250561815555"/>
          <c:h val="0.6435901464782067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Input'!$B$18,'IS Input'!$I$18,'IS Input'!$P$18,'IS Input'!$W$18,'IS Input'!$AD$18)</c:f>
              <c:numCache>
                <c:formatCode>_(* #,##0.0_);_(* \(#,##0.0\);_(* "-"??_);_(@_)</c:formatCode>
                <c:ptCount val="5"/>
                <c:pt idx="0">
                  <c:v>-6.2381530000000005</c:v>
                </c:pt>
                <c:pt idx="1">
                  <c:v>0</c:v>
                </c:pt>
                <c:pt idx="4">
                  <c:v>-6.2381530000000005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9-4375-A2EF-3EE21D9DF462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Input'!$E$18,'IS Input'!$L$18,'IS Input'!$S$18,'IS Input'!$Z$18,'IS Input'!$AG$18)</c:f>
              <c:numCache>
                <c:formatCode>_(* #,##0.0_);_(* \(#,##0.0\);_(* "-"??_);_(@_)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9-4375-A2EF-3EE21D9DF4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15023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89421202922691"/>
                  <c:y val="0.56153881306265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59-4375-A2EF-3EE21D9DF46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34852811410795"/>
                  <c:y val="0.551282396385714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59-4375-A2EF-3EE21D9DF46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529064840637696"/>
                  <c:y val="0.497436208831761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59-4375-A2EF-3EE21D9DF46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081979657152959"/>
                  <c:y val="0.525641354693356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59-4375-A2EF-3EE21D9DF46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Input'!$B$73:$F$73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59-4375-A2EF-3EE21D9DF4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150232"/>
        <c:axId val="1"/>
      </c:lineChart>
      <c:catAx>
        <c:axId val="19215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17948979585449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15023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16749144048922"/>
          <c:y val="0.88974414672485136"/>
          <c:w val="0.43515394620735975"/>
          <c:h val="8.46154375847841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9472869434159"/>
          <c:y val="0.1760207370444854"/>
          <c:w val="0.81144864523392002"/>
          <c:h val="0.5459193873553603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Input'!$C$18,'IS Input'!$J$18,'IS Input'!$Q$18,'IS Input'!$X$18,'IS Input'!$AE$18)</c:f>
              <c:numCache>
                <c:formatCode>_(* #,##0.0_);_(* \(#,##0.0\);_(* "-"??_);_(@_)</c:formatCode>
                <c:ptCount val="5"/>
                <c:pt idx="0">
                  <c:v>0.57050299999999998</c:v>
                </c:pt>
                <c:pt idx="1">
                  <c:v>0</c:v>
                </c:pt>
                <c:pt idx="4">
                  <c:v>0.57050299999999998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6-45CF-9947-6449A264712A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Input'!$F$18,'IS Input'!$M$18,'IS Input'!$T$18,'IS Input'!$AA$18,'IS Input'!$AH$18)</c:f>
              <c:numCache>
                <c:formatCode>_(* #,##0.0_);_(* \(#,##0.0\);_(* "-"??_);_(@_)</c:formatCode>
                <c:ptCount val="5"/>
                <c:pt idx="0">
                  <c:v>1.213619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6-45CF-9947-6449A26471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15416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2457925258778028"/>
                  <c:y val="0.72959319992351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36-45CF-9947-6449A264712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303061440270873"/>
                  <c:y val="0.660715520210459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36-45CF-9947-6449A264712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138095573754685"/>
                  <c:y val="0.66326654538501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36-45CF-9947-6449A264712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2963027659229476"/>
                  <c:y val="0.66326654538501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36-45CF-9947-6449A264712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383929200790035"/>
                  <c:y val="0.670919620908690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36-45CF-9947-6449A264712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Input'!$B$91:$F$91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36-45CF-9947-6449A26471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154168"/>
        <c:axId val="1"/>
      </c:lineChart>
      <c:catAx>
        <c:axId val="19215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10715053103799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154168"/>
        <c:crosses val="autoZero"/>
        <c:crossBetween val="between"/>
        <c:majorUnit val="3"/>
        <c:minorUnit val="3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0303061440270873"/>
          <c:y val="0.87245060969875354"/>
          <c:w val="0.43771088747057929"/>
          <c:h val="9.9489981807752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7996870331226"/>
          <c:y val="0.13043494549600571"/>
          <c:w val="0.79692899168171372"/>
          <c:h val="0.59335112460928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Input'!$AL$21,'IS Input'!$AN$21,'IS Input'!$AP$21,'IS Input'!$AR$21,'IS Input'!$AT$21,'IS Input'!$AV$21,'IS Input'!$AX$21,'IS Input'!$AZ$21,'IS Input'!$BB$21,'IS Input'!$BD$21,'IS Input'!$BF$21,'IS Input'!$BH$21)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7.5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9-4EE7-A1F2-BCD5B0007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23544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Input'!$AM$21,'IS Input'!$AO$21,'IS Input'!$AQ$21,'IS Input'!$AS$21,'IS Input'!$AU$21,'IS Input'!$AW$21,'IS Input'!$AY$21,'IS Input'!$BA$21,'IS Input'!$BC$21,'IS Input'!$BE$21,'IS Input'!$BG$21,'IS Input'!$BI$21)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9-4EE7-A1F2-BCD5B0007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23544"/>
        <c:axId val="1"/>
      </c:lineChart>
      <c:catAx>
        <c:axId val="15202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89080488981583E-2"/>
              <c:y val="0.378517096733506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2023544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105829633030509"/>
          <c:y val="0.90025687871752946"/>
          <c:w val="0.3412972127116547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53928625887093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09564987705469"/>
          <c:y val="0.12020475369239741"/>
          <c:w val="0.83959114327067053"/>
          <c:h val="0.6291567959219098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Input'!$D$18,'IS Input'!$K$18,'IS Input'!$R$18,'IS Input'!$Y$18,'IS Input'!$AF$18)</c:f>
              <c:numCache>
                <c:formatCode>_(* #,##0.0_);_(* \(#,##0.0\);_(* "-"??_);_(@_)</c:formatCode>
                <c:ptCount val="5"/>
                <c:pt idx="0">
                  <c:v>-7.5603530000000001</c:v>
                </c:pt>
                <c:pt idx="1">
                  <c:v>0</c:v>
                </c:pt>
                <c:pt idx="4">
                  <c:v>-7.5603530000000001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5-47B4-837E-87D3A3B7777D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24589730920144"/>
                  <c:y val="0.337596329519073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15-47B4-837E-87D3A3B7777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942036967754239"/>
                  <c:y val="0.40665012419342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15-47B4-837E-87D3A3B7777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Input'!$G$18,'IS Input'!$N$18,'IS Input'!$U$18,'IS Input'!$AB$18,'IS Input'!$AI$18)</c:f>
              <c:numCache>
                <c:formatCode>_(* #,##0.0_);_(* \(#,##0.0\);_(* "-"??_);_(@_)</c:formatCode>
                <c:ptCount val="5"/>
                <c:pt idx="0">
                  <c:v>2.9156240000000002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2.9156240000000002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5-47B4-837E-87D3A3B777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02256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139942689398706"/>
                  <c:y val="0.365729356978996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15-47B4-837E-87D3A3B7777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781609779631651"/>
                  <c:y val="0.396419932389821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15-47B4-837E-87D3A3B7777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017119021570224"/>
                  <c:y val="0.35294161722448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15-47B4-837E-87D3A3B7777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570033838085465"/>
                  <c:y val="0.36828690492989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15-47B4-837E-87D3A3B7777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15-47B4-837E-87D3A3B777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022560"/>
        <c:axId val="1"/>
      </c:lineChart>
      <c:catAx>
        <c:axId val="15202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0477832762699284E-2"/>
              <c:y val="0.386189740586212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2022560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68965867778995"/>
          <c:y val="0.87468139920850874"/>
          <c:w val="0.44880583471582597"/>
          <c:h val="9.71868221342787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Volumes</a:t>
            </a:r>
          </a:p>
        </c:rich>
      </c:tx>
      <c:layout>
        <c:manualLayout>
          <c:xMode val="edge"/>
          <c:yMode val="edge"/>
          <c:x val="0.250853451343066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1617603803599"/>
          <c:y val="0.15345287705412436"/>
          <c:w val="0.79351601955459716"/>
          <c:h val="0.6445020836273223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38226621015943"/>
                  <c:y val="0.248082151237501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DE-4035-AA8F-C5132DAE543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66913251680868"/>
                  <c:y val="0.29156046640283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DE-4035-AA8F-C5132DAE543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522208899558133"/>
                  <c:y val="0.28388782255013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DE-4035-AA8F-C5132DAE543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006855941079569"/>
                  <c:y val="0.163683068857732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DE-4035-AA8F-C5132DAE54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Input'!$B$12,'volumes Input'!$G$12,'volumes Input'!$L$12,'volumes Input'!$Q$12,'volumes Input'!$V$12,'volumes Input'!$AA$12,'volumes Input'!$AF$12,'volumes Input'!$AK$12,'volumes Input'!$AP$12,'volumes Input'!$AU$12,'volumes Input'!$AZ$12,'volumes Input'!$BE$12)</c:f>
              <c:numCache>
                <c:formatCode>_(* #,##0_);_(* \(#,##0\);_(* "-"??_);_(@_)</c:formatCode>
                <c:ptCount val="12"/>
                <c:pt idx="0">
                  <c:v>6936.7209999999995</c:v>
                </c:pt>
                <c:pt idx="1">
                  <c:v>6270.9809999999998</c:v>
                </c:pt>
                <c:pt idx="2">
                  <c:v>6325.1130000000003</c:v>
                </c:pt>
                <c:pt idx="3">
                  <c:v>8004.107</c:v>
                </c:pt>
                <c:pt idx="4">
                  <c:v>5662.8159999999998</c:v>
                </c:pt>
                <c:pt idx="5">
                  <c:v>8026.9459999999999</c:v>
                </c:pt>
                <c:pt idx="6">
                  <c:v>7527.6289999999999</c:v>
                </c:pt>
                <c:pt idx="7">
                  <c:v>7200.54</c:v>
                </c:pt>
                <c:pt idx="8">
                  <c:v>7909.201</c:v>
                </c:pt>
                <c:pt idx="9">
                  <c:v>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E-4035-AA8F-C5132DAE54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695000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Input'!$B$20,'volumes Input'!$G$20,'volumes Input'!$L$20,'volumes Input'!$Q$20,'volumes Input'!$V$20,'volumes Input'!$AA$20,'volumes Input'!$AF$20,'volumes Input'!$AK$20,'volumes Input'!$AP$20,'volumes Input'!$AU$20,'volumes Input'!$AZ$20,'volumes Input'!$BE$20)</c:f>
              <c:numCache>
                <c:formatCode>_(* #,##0_);_(* \(#,##0\);_(* "-"??_);_(@_)</c:formatCode>
                <c:ptCount val="12"/>
                <c:pt idx="0">
                  <c:v>2692.75</c:v>
                </c:pt>
                <c:pt idx="1">
                  <c:v>2549.8310000000001</c:v>
                </c:pt>
                <c:pt idx="2">
                  <c:v>2692.4870000000001</c:v>
                </c:pt>
                <c:pt idx="3">
                  <c:v>2809.5619999999999</c:v>
                </c:pt>
                <c:pt idx="4">
                  <c:v>2954.2559999999999</c:v>
                </c:pt>
                <c:pt idx="5">
                  <c:v>3265.875</c:v>
                </c:pt>
                <c:pt idx="6">
                  <c:v>2893.06</c:v>
                </c:pt>
                <c:pt idx="7">
                  <c:v>3103.223</c:v>
                </c:pt>
                <c:pt idx="8">
                  <c:v>3022.7930000000001</c:v>
                </c:pt>
                <c:pt idx="9">
                  <c:v>4236.09</c:v>
                </c:pt>
                <c:pt idx="10">
                  <c:v>5082.3209999999999</c:v>
                </c:pt>
                <c:pt idx="11">
                  <c:v>5140.7190000000001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DE-4035-AA8F-C5132DAE54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695000"/>
        <c:axId val="1"/>
      </c:lineChart>
      <c:catAx>
        <c:axId val="18069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3375963295190735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0695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791831197864896"/>
          <c:y val="0.88491159101211714"/>
          <c:w val="0.52047824938527343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481513829614743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957491744319"/>
          <c:y val="0.16836766152081209"/>
          <c:w val="0.80303112816717814"/>
          <c:h val="0.6326542432903242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62976282782543"/>
                  <c:y val="0.573980664275495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19-4696-B556-CE57EE0FD89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528639594841232"/>
                  <c:y val="0.62500116776665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19-4696-B556-CE57EE0FD89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262653248234763"/>
                  <c:y val="0.640307318813997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19-4696-B556-CE57EE0FD89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828316560293447"/>
                  <c:y val="0.68367474678147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19-4696-B556-CE57EE0FD89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730680555021813"/>
                  <c:y val="0.660715520210459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19-4696-B556-CE57EE0FD89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030357520474036"/>
                  <c:y val="0.517858110435225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19-4696-B556-CE57EE0FD89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Input'!$D$12,'volumes Input'!$I$12,'volumes Input'!$N$12,'volumes Input'!$S$12,'volumes Input'!$X$12,'volumes Input'!$AC$12,'volumes Input'!$AH$12,'volumes Input'!$AM$12,'volumes Input'!$AR$12,'volumes Input'!$AW$12,'volumes Input'!$BB$12,'volumes Input'!$BG$12)</c:f>
              <c:numCache>
                <c:formatCode>_(* #,##0_);_(* \(#,##0\);_(* "-"??_);_(@_)</c:formatCode>
                <c:ptCount val="12"/>
                <c:pt idx="0">
                  <c:v>331</c:v>
                </c:pt>
                <c:pt idx="1">
                  <c:v>220</c:v>
                </c:pt>
                <c:pt idx="2">
                  <c:v>189</c:v>
                </c:pt>
                <c:pt idx="3">
                  <c:v>116</c:v>
                </c:pt>
                <c:pt idx="4">
                  <c:v>144</c:v>
                </c:pt>
                <c:pt idx="5">
                  <c:v>125</c:v>
                </c:pt>
                <c:pt idx="6">
                  <c:v>372</c:v>
                </c:pt>
                <c:pt idx="7">
                  <c:v>909</c:v>
                </c:pt>
                <c:pt idx="8">
                  <c:v>468</c:v>
                </c:pt>
                <c:pt idx="9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19-4696-B556-CE57EE0FD8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69204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5.892261946719337E-2"/>
                  <c:y val="0.92602213836446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19-4696-B556-CE57EE0FD89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5151530720135437"/>
                  <c:y val="0.87245060969875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19-4696-B556-CE57EE0FD89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3569047786877351"/>
                  <c:y val="0.721940124399845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19-4696-B556-CE57EE0FD89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0976462805610228"/>
                  <c:y val="0.6989808978288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19-4696-B556-CE57EE0FD89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195323386990214"/>
                  <c:y val="0.716838074050730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19-4696-B556-CE57EE0FD89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Input'!$D$20,'volumes Input'!$I$20,'volumes Input'!$N$20,'volumes Input'!$S$20,'volumes Input'!$X$20,'volumes Input'!$AC$20,'volumes Input'!$AH$20,'volumes Input'!$AM$20,'volumes Input'!$AR$20,'volumes Input'!$AW$20,'volumes Input'!$BB$20,'volumes Input'!$BG$20)</c:f>
              <c:numCache>
                <c:formatCode>_(* #,##0_);_(* \(#,##0\);_(* "-"??_);_(@_)</c:formatCode>
                <c:ptCount val="12"/>
                <c:pt idx="0">
                  <c:v>93</c:v>
                </c:pt>
                <c:pt idx="1">
                  <c:v>92</c:v>
                </c:pt>
                <c:pt idx="2">
                  <c:v>81</c:v>
                </c:pt>
                <c:pt idx="3">
                  <c:v>96</c:v>
                </c:pt>
                <c:pt idx="4">
                  <c:v>90</c:v>
                </c:pt>
                <c:pt idx="5">
                  <c:v>71</c:v>
                </c:pt>
                <c:pt idx="6">
                  <c:v>106</c:v>
                </c:pt>
                <c:pt idx="7">
                  <c:v>473</c:v>
                </c:pt>
                <c:pt idx="8">
                  <c:v>473</c:v>
                </c:pt>
                <c:pt idx="9">
                  <c:v>955</c:v>
                </c:pt>
                <c:pt idx="10">
                  <c:v>421</c:v>
                </c:pt>
                <c:pt idx="11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19-4696-B556-CE57EE0FD8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692048"/>
        <c:axId val="1"/>
      </c:lineChart>
      <c:catAx>
        <c:axId val="18069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06920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4747500176221215"/>
          <c:y val="0.90051188661888881"/>
          <c:w val="0.55555612640496599"/>
          <c:h val="7.90817804112905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57679395597299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7348263975399"/>
          <c:y val="0.15345287705412436"/>
          <c:w val="0.82423276869864615"/>
          <c:h val="0.64705963157822444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310591295754534"/>
                  <c:y val="0.624041700020105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B8-44DA-A19D-69254670E24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77832762699283"/>
                  <c:y val="0.68542285084175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5B8-44DA-A19D-69254670E24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815722835999862"/>
                  <c:y val="0.7058832344489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B8-44DA-A19D-69254670E24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641667090232953"/>
                  <c:y val="0.687980398792657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B8-44DA-A19D-69254670E24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467611344466043"/>
                  <c:y val="0.726343618056188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B8-44DA-A19D-69254670E24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293555598699134"/>
                  <c:y val="0.71867097420348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B8-44DA-A19D-69254670E24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242365183018125"/>
                  <c:y val="0.68286530289085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B8-44DA-A19D-69254670E242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433498288097843"/>
                  <c:y val="0.58823602870747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B8-44DA-A19D-69254670E242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8259442542330928"/>
                  <c:y val="0.662404919283636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B8-44DA-A19D-69254670E242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4914738190208197"/>
                  <c:y val="0.667520015185440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B8-44DA-A19D-69254670E24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Input'!$E$12,'volumes Input'!$J$12,'volumes Input'!$O$12,'volumes Input'!$T$12,'volumes Input'!$Y$12,'volumes Input'!$AD$12,'volumes Input'!$AI$12,'volumes Input'!$AN$12,'volumes Input'!$AS$12,'volumes Input'!$AX$12,'volumes Input'!$BC$12,'volumes Input'!$BH$12)</c:f>
              <c:numCache>
                <c:formatCode>_(* #,##0_);_(* \(#,##0\);_(* "-"??_);_(@_)</c:formatCode>
                <c:ptCount val="12"/>
                <c:pt idx="0">
                  <c:v>130</c:v>
                </c:pt>
                <c:pt idx="1">
                  <c:v>46</c:v>
                </c:pt>
                <c:pt idx="2">
                  <c:v>11</c:v>
                </c:pt>
                <c:pt idx="3">
                  <c:v>15</c:v>
                </c:pt>
                <c:pt idx="4">
                  <c:v>10</c:v>
                </c:pt>
                <c:pt idx="5">
                  <c:v>6</c:v>
                </c:pt>
                <c:pt idx="6">
                  <c:v>43</c:v>
                </c:pt>
                <c:pt idx="7">
                  <c:v>203</c:v>
                </c:pt>
                <c:pt idx="8">
                  <c:v>116</c:v>
                </c:pt>
                <c:pt idx="9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B8-44DA-A19D-69254670E2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691080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Input'!$E$20,'volumes Input'!$J$20,'volumes Input'!$O$20,'volumes Input'!$T$20,'volumes Input'!$Y$20,'volumes Input'!$AD$20,'volumes Input'!$AI$20,'volumes Input'!$AN$20,'volumes Input'!$AS$20,'volumes Input'!$AX$20,'volumes Input'!$BC$20,'volumes Input'!$BH$20)</c:f>
              <c:numCache>
                <c:formatCode>_(* #,##0_);_(* \(#,##0\);_(* "-"??_);_(@_)</c:formatCode>
                <c:ptCount val="12"/>
                <c:pt idx="0">
                  <c:v>38</c:v>
                </c:pt>
                <c:pt idx="1">
                  <c:v>26</c:v>
                </c:pt>
                <c:pt idx="2">
                  <c:v>20</c:v>
                </c:pt>
                <c:pt idx="3">
                  <c:v>31</c:v>
                </c:pt>
                <c:pt idx="4">
                  <c:v>13</c:v>
                </c:pt>
                <c:pt idx="5">
                  <c:v>15</c:v>
                </c:pt>
                <c:pt idx="6">
                  <c:v>79</c:v>
                </c:pt>
                <c:pt idx="7">
                  <c:v>380</c:v>
                </c:pt>
                <c:pt idx="8">
                  <c:v>385</c:v>
                </c:pt>
                <c:pt idx="9">
                  <c:v>817</c:v>
                </c:pt>
                <c:pt idx="10">
                  <c:v>208</c:v>
                </c:pt>
                <c:pt idx="11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B8-44DA-A19D-69254670E2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691080"/>
        <c:axId val="1"/>
      </c:lineChart>
      <c:catAx>
        <c:axId val="18169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691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228694963116405"/>
          <c:y val="0.90537197461933361"/>
          <c:w val="0.366894503665028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13829607441806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6635962430318"/>
          <c:y val="0.19181609631765545"/>
          <c:w val="0.80944400746584966"/>
          <c:h val="0.5933511246092807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71172635318527"/>
                  <c:y val="0.57289074100206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F7-4378-8401-F50D8E54BAC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910636859534451"/>
                  <c:y val="0.434783151653352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F7-4378-8401-F50D8E54BAC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075906990186823"/>
                  <c:y val="0.67263511108724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F7-4378-8401-F50D8E54BAC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146737046180692"/>
                  <c:y val="0.301790658206444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F7-4378-8401-F50D8E54BAC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Input'!$C$12,'volumes Input'!$H$12,'volumes Input'!$M$12,'volumes Input'!$R$12,'volumes Input'!$W$12,'volumes Input'!$AB$12,'volumes Input'!$AG$12,'volumes Input'!$AL$12,'volumes Input'!$AQ$12,'volumes Input'!$AV$12,'volumes Input'!$BA$12,'volumes Input'!$BF$12)</c:f>
              <c:numCache>
                <c:formatCode>_(* #,##0_);_(* \(#,##0\);_(* "-"??_);_(@_)</c:formatCode>
                <c:ptCount val="12"/>
                <c:pt idx="0">
                  <c:v>767.6</c:v>
                </c:pt>
                <c:pt idx="1">
                  <c:v>1460</c:v>
                </c:pt>
                <c:pt idx="2">
                  <c:v>1795.8</c:v>
                </c:pt>
                <c:pt idx="3">
                  <c:v>240</c:v>
                </c:pt>
                <c:pt idx="4">
                  <c:v>2170.0120000000002</c:v>
                </c:pt>
                <c:pt idx="5">
                  <c:v>2483.6</c:v>
                </c:pt>
                <c:pt idx="6">
                  <c:v>287.5</c:v>
                </c:pt>
                <c:pt idx="7">
                  <c:v>277.5</c:v>
                </c:pt>
                <c:pt idx="8">
                  <c:v>277.5</c:v>
                </c:pt>
                <c:pt idx="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F7-4378-8401-F50D8E54BA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686160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Input'!$C$20,'volumes Input'!$H$20,'volumes Input'!$M$20,'volumes Input'!$R$20,'volumes Input'!$W$20,'volumes Input'!$AB$20,'volumes Input'!$AG$20,'volumes Input'!$AL$20,'volumes Input'!$AQ$20,'volumes Input'!$AV$20,'volumes Input'!$BA$20,'volumes Input'!$BF$20)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F7-4378-8401-F50D8E54BA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686160"/>
        <c:axId val="1"/>
      </c:lineChart>
      <c:catAx>
        <c:axId val="18168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1804391775543642E-2"/>
              <c:y val="0.35549916517538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686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993271924860635"/>
          <c:y val="0.87723894715941086"/>
          <c:w val="0.49409811289061245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6599519330447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4105232196259"/>
          <c:y val="0.16752645837652741"/>
          <c:w val="0.84129762933422891"/>
          <c:h val="0.5902085995111504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1911289388539715"/>
                  <c:y val="0.49484738474297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B6-4D63-9F9D-45DACACECBB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017119021570224"/>
                  <c:y val="0.75000306750106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B6-4D63-9F9D-45DACACECB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Input'!$B$5,'IS Input'!$I$5,'IS Input'!$P$5,'IS Input'!$W$5,'IS Input'!$AD$5)</c:f>
              <c:numCache>
                <c:formatCode>_(* #,##0.0_);_(* \(#,##0.0\);_(* "-"??_);_(@_)</c:formatCode>
                <c:ptCount val="5"/>
                <c:pt idx="0">
                  <c:v>8.7249999999999996</c:v>
                </c:pt>
                <c:pt idx="1">
                  <c:v>8.8580000000000005</c:v>
                </c:pt>
                <c:pt idx="2">
                  <c:v>8.9260000000000002</c:v>
                </c:pt>
                <c:pt idx="3">
                  <c:v>-9.4700000000000006</c:v>
                </c:pt>
                <c:pt idx="4">
                  <c:v>17.039000000000001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6-4D63-9F9D-45DACACECBB7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Input'!$E$5,'IS Input'!$L$5,'IS Input'!$S$5,'IS Input'!$Z$5,'IS Input'!$AG$5)</c:f>
              <c:numCache>
                <c:formatCode>_(* #,##0.0_);_(* \(#,##0.0\);_(* "-"??_);_(@_)</c:formatCode>
                <c:ptCount val="5"/>
                <c:pt idx="0">
                  <c:v>8.5092510000000008</c:v>
                </c:pt>
                <c:pt idx="1">
                  <c:v>7.0788189999999993</c:v>
                </c:pt>
                <c:pt idx="2">
                  <c:v>8.6593520000000002</c:v>
                </c:pt>
                <c:pt idx="3">
                  <c:v>8.75258</c:v>
                </c:pt>
                <c:pt idx="4">
                  <c:v>33.000002000000002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B6-4D63-9F9D-45DACACECB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41558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624589730920144"/>
                  <c:y val="0.585053939253411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B6-4D63-9F9D-45DACACECBB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372044791926184"/>
                  <c:y val="0.587631269382280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B6-4D63-9F9D-45DACACECBB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413013789373953"/>
                  <c:y val="0.579899278995671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B6-4D63-9F9D-45DACACECBB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187767627926041"/>
                  <c:y val="0.510311365516191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B6-4D63-9F9D-45DACACECBB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395978092318572"/>
                  <c:y val="0.396908839845926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B6-4D63-9F9D-45DACACECB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Input'!$B$74:$F$74</c:f>
              <c:numCache>
                <c:formatCode>_(* #,##0.0_);_(* \(#,##0.0\);_(* "-"??_);_(@_)</c:formatCode>
                <c:ptCount val="5"/>
                <c:pt idx="0">
                  <c:v>5.6660000000000004</c:v>
                </c:pt>
                <c:pt idx="1">
                  <c:v>3.794</c:v>
                </c:pt>
                <c:pt idx="2">
                  <c:v>3.4359999999999999</c:v>
                </c:pt>
                <c:pt idx="3">
                  <c:v>6.2149999999999999</c:v>
                </c:pt>
                <c:pt idx="4">
                  <c:v>19.111000000000001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B6-4D63-9F9D-45DACACECB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15584"/>
        <c:axId val="1"/>
      </c:lineChart>
      <c:catAx>
        <c:axId val="19441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399486169974796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41558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228694963116405"/>
          <c:y val="0.84536428226924598"/>
          <c:w val="0.43003448801668498"/>
          <c:h val="7.98972339949592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 - 4Q</a:t>
            </a:r>
          </a:p>
        </c:rich>
      </c:tx>
      <c:layout>
        <c:manualLayout>
          <c:xMode val="edge"/>
          <c:yMode val="edge"/>
          <c:x val="0.31144813146945072"/>
          <c:y val="3.8461562538538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52874234773513"/>
          <c:y val="0.16666677100033239"/>
          <c:w val="0.87037126470111359"/>
          <c:h val="0.5487182922164790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Actual-to-Date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875442325519938"/>
                  <c:y val="0.46666695880093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C2-48DE-B6CB-540C85AF955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292959392261841"/>
                  <c:y val="0.543590083878007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C2-48DE-B6CB-540C85AF955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215527483008266"/>
                  <c:y val="0.479487479647110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C2-48DE-B6CB-540C85AF955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643146597759206"/>
                  <c:y val="0.474359271308638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C2-48DE-B6CB-540C85AF955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218911957826922"/>
                  <c:y val="0.4820515838163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C2-48DE-B6CB-540C85AF955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478180731243029"/>
                  <c:y val="0.474359271308638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C2-48DE-B6CB-540C85AF955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3569099163324292"/>
                  <c:y val="0.479487479647110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C2-48DE-B6CB-540C85AF955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13476247538297"/>
                  <c:y val="0.58974395892425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C2-48DE-B6CB-540C85AF9553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888980224794567"/>
                  <c:y val="0.67179529233980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C2-48DE-B6CB-540C85AF955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Input'!$W$3:$W$12</c:f>
              <c:numCache>
                <c:formatCode>_(* #,##0.0_);_(* \(#,##0.0\);_(* "-"??_);_(@_)</c:formatCode>
                <c:ptCount val="10"/>
                <c:pt idx="0">
                  <c:v>-51.497475999999999</c:v>
                </c:pt>
                <c:pt idx="1">
                  <c:v>6.6136349999999995</c:v>
                </c:pt>
                <c:pt idx="2">
                  <c:v>-9.4700000000000006</c:v>
                </c:pt>
                <c:pt idx="3">
                  <c:v>0.85842700000000005</c:v>
                </c:pt>
                <c:pt idx="4">
                  <c:v>3.3159999999999998</c:v>
                </c:pt>
                <c:pt idx="5">
                  <c:v>-0.15209600000000001</c:v>
                </c:pt>
                <c:pt idx="6">
                  <c:v>2.3210000000000002</c:v>
                </c:pt>
                <c:pt idx="7">
                  <c:v>1.4759999999999999E-3</c:v>
                </c:pt>
                <c:pt idx="8">
                  <c:v>-28.853000000000002</c:v>
                </c:pt>
                <c:pt idx="9">
                  <c:v>-76.862033999999994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C2-48DE-B6CB-540C85AF9553}"/>
            </c:ext>
          </c:extLst>
        </c:ser>
        <c:ser>
          <c:idx val="1"/>
          <c:order val="1"/>
          <c:tx>
            <c:v>Qtr 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09779013461249"/>
                  <c:y val="0.4179489795854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EC2-48DE-B6CB-540C85AF955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737398128212187"/>
                  <c:y val="0.453846437954751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EC2-48DE-B6CB-540C85AF955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Input'!$Z$3:$Z$12</c:f>
              <c:numCache>
                <c:formatCode>_(* #,##0.0_);_(* \(#,##0.0\);_(* "-"??_);_(@_)</c:formatCode>
                <c:ptCount val="10"/>
                <c:pt idx="0">
                  <c:v>45</c:v>
                </c:pt>
                <c:pt idx="1">
                  <c:v>18.75</c:v>
                </c:pt>
                <c:pt idx="2">
                  <c:v>8.75258</c:v>
                </c:pt>
                <c:pt idx="3">
                  <c:v>8.875</c:v>
                </c:pt>
                <c:pt idx="4">
                  <c:v>29.545000000000002</c:v>
                </c:pt>
                <c:pt idx="5">
                  <c:v>13.3055</c:v>
                </c:pt>
                <c:pt idx="6">
                  <c:v>44</c:v>
                </c:pt>
                <c:pt idx="7">
                  <c:v>3.75</c:v>
                </c:pt>
                <c:pt idx="8">
                  <c:v>3.3333919999999999</c:v>
                </c:pt>
                <c:pt idx="9">
                  <c:v>175.31147199999998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C2-48DE-B6CB-540C85AF95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184528"/>
        <c:axId val="1"/>
      </c:barChart>
      <c:catAx>
        <c:axId val="19118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683503413348382E-2"/>
              <c:y val="0.394872042062326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84528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562330213686969"/>
          <c:y val="0.88461593838637964"/>
          <c:w val="0.28114507002917977"/>
          <c:h val="7.4359020907840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7313557471775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22537114822017"/>
          <c:y val="0.15920451187957632"/>
          <c:w val="0.77303818679189795"/>
          <c:h val="0.65671861150325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870320391091944"/>
                  <c:y val="0.485076247133084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E8-4CC3-AEB6-45B7A78F09C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7542693398282018"/>
                  <c:y val="0.562190932574753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E8-4CC3-AEB6-45B7A78F09C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607554033864758"/>
                  <c:y val="0.440299978166953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E8-4CC3-AEB6-45B7A78F09C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0580255256318705"/>
                  <c:y val="0.405473991193295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E8-4CC3-AEB6-45B7A78F09C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7235550904195973"/>
                  <c:y val="0.291045748279850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E8-4CC3-AEB6-45B7A78F09C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Input'!$AL$6,'IS Input'!$AN$6,'IS Input'!$AP$6,'IS Input'!$AR$6,'IS Input'!$AT$6,'IS Input'!$AV$6,'IS Input'!$AX$6,'IS Input'!$AZ$6,'IS Input'!$BB$6,'IS Input'!$BD$6,'IS Input'!$BF$6,'IS Input'!$BH$6)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25</c:v>
                </c:pt>
                <c:pt idx="6">
                  <c:v>31</c:v>
                </c:pt>
                <c:pt idx="7">
                  <c:v>34</c:v>
                </c:pt>
                <c:pt idx="8">
                  <c:v>44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E8-4CC3-AEB6-45B7A78F0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88552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4471018483877125"/>
                  <c:y val="0.470150824144373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EE8-4CC3-AEB6-45B7A78F09C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539286258870936"/>
                  <c:y val="0.534827657095451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EE8-4CC3-AEB6-45B7A78F09C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682636087680721"/>
                  <c:y val="0.542290368589806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EE8-4CC3-AEB6-45B7A78F09C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33793173555799"/>
                  <c:y val="0.557215791578516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EE8-4CC3-AEB6-45B7A78F09C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3310632958011936"/>
                  <c:y val="0.455225401155663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EE8-4CC3-AEB6-45B7A78F09C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9795279999533388"/>
                  <c:y val="0.460200542151900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E8-4CC3-AEB6-45B7A78F09C9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6621224253766473"/>
                  <c:y val="0.45771297165378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E8-4CC3-AEB6-45B7A78F09C9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1570033838085465"/>
                  <c:y val="0.462688112650018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E8-4CC3-AEB6-45B7A78F09C9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8225329485962734"/>
                  <c:y val="0.462688112650018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E8-4CC3-AEB6-45B7A78F09C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Input'!$AM$6,'IS Input'!$AO$6,'IS Input'!$AQ$6,'IS Input'!$AS$6,'IS Input'!$AU$6,'IS Input'!$AW$6,'IS Input'!$AY$6,'IS Input'!$BA$6,'IS Input'!$BC$6,'IS Input'!$BE$6,'IS Input'!$BG$6,'IS Input'!$BI$6)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EE8-4CC3-AEB6-45B7A78F0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88552"/>
        <c:axId val="1"/>
      </c:lineChart>
      <c:catAx>
        <c:axId val="19498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5836207334723751E-2"/>
              <c:y val="0.4402999781669532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98855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764532420318854"/>
          <c:y val="0.91542594330756377"/>
          <c:w val="0.36689450366502879"/>
          <c:h val="7.2139544445433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88054578843778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75221831537513"/>
          <c:y val="0.1687981647595368"/>
          <c:w val="0.74873570690591107"/>
          <c:h val="0.6470596315782244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6087711999519134"/>
                  <c:y val="0.43478315165335241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5F-4E85-A401-66E896A0A21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269864073696751"/>
                  <c:y val="0.45524353526056899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25F-4E85-A401-66E896A0A217}"/>
                </c:ext>
              </c:extLst>
            </c:dLbl>
            <c:numFmt formatCode="#,##0.0_);\(#,##0.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Input'!$D$5,'IS Input'!$K$5,'IS Input'!$R$5,'IS Input'!$Y$5,'IS Input'!$AF$5)</c:f>
              <c:numCache>
                <c:formatCode>_(* #,##0.0_);_(* \(#,##0.0\);_(* "-"??_);_(@_)</c:formatCode>
                <c:ptCount val="5"/>
                <c:pt idx="0">
                  <c:v>5.8390690000000003</c:v>
                </c:pt>
                <c:pt idx="1">
                  <c:v>6.6469309999999995</c:v>
                </c:pt>
                <c:pt idx="2">
                  <c:v>5.1617360000000012</c:v>
                </c:pt>
                <c:pt idx="3">
                  <c:v>-13.106833</c:v>
                </c:pt>
                <c:pt idx="4">
                  <c:v>4.5409030000000019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F-4E85-A401-66E896A0A217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Input'!$G$5,'IS Input'!$N$5,'IS Input'!$U$5,'IS Input'!$AB$5,'IS Input'!$AI$5)</c:f>
              <c:numCache>
                <c:formatCode>_(* #,##0.0_);_(* \(#,##0.0\);_(* "-"??_);_(@_)</c:formatCode>
                <c:ptCount val="5"/>
                <c:pt idx="0">
                  <c:v>4.4609819999999996</c:v>
                </c:pt>
                <c:pt idx="1">
                  <c:v>3.838187</c:v>
                </c:pt>
                <c:pt idx="2">
                  <c:v>5.3528970000000005</c:v>
                </c:pt>
                <c:pt idx="3">
                  <c:v>5.4157469999999996</c:v>
                </c:pt>
                <c:pt idx="4">
                  <c:v>19.067813000000001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5F-4E85-A401-66E896A0A2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99052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1247905195978556"/>
                  <c:y val="0.526854877885826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25F-4E85-A401-66E896A0A21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738638653742715"/>
                  <c:y val="0.59079357665837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5F-4E85-A401-66E896A0A21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241177120839186"/>
                  <c:y val="0.58823602870747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25F-4E85-A401-66E896A0A21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273228111266447"/>
                  <c:y val="0.450128439358764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5F-4E85-A401-66E896A0A21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556548335241926"/>
                  <c:y val="0.437340699604254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5F-4E85-A401-66E896A0A21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Input'!$B$110:$F$110</c:f>
              <c:numCache>
                <c:formatCode>_(* #,##0.0_);_(* \(#,##0.0\);_(* "-"??_);_(@_)</c:formatCode>
                <c:ptCount val="5"/>
                <c:pt idx="0">
                  <c:v>3.0569999999999999</c:v>
                </c:pt>
                <c:pt idx="1">
                  <c:v>2.3969999999999998</c:v>
                </c:pt>
                <c:pt idx="2">
                  <c:v>2.2349999999999999</c:v>
                </c:pt>
                <c:pt idx="3">
                  <c:v>3.6760000000000002</c:v>
                </c:pt>
                <c:pt idx="4">
                  <c:v>11.365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5F-4E85-A401-66E896A0A2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990520"/>
        <c:axId val="1"/>
      </c:lineChart>
      <c:catAx>
        <c:axId val="19499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804391775543642E-2"/>
              <c:y val="0.4475708914078627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99052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7776029863399"/>
          <c:y val="0.90281442666843159"/>
          <c:w val="0.45025322915287891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213689909559431"/>
          <c:y val="3.7313557471775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88892598529563E-2"/>
          <c:y val="0.1368163773965109"/>
          <c:w val="0.86666702835663245"/>
          <c:h val="0.69900730997126492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Team'!$D$58:$O$58</c:f>
              <c:numCache>
                <c:formatCode>_(* #,##0.0_);_(* \(#,##0.0\);_(* "-"??_);_(@_)</c:formatCode>
                <c:ptCount val="12"/>
                <c:pt idx="0">
                  <c:v>-18.495999999999999</c:v>
                </c:pt>
                <c:pt idx="1">
                  <c:v>-30.257999999999999</c:v>
                </c:pt>
                <c:pt idx="2">
                  <c:v>19.824999999999999</c:v>
                </c:pt>
                <c:pt idx="3">
                  <c:v>-1.018</c:v>
                </c:pt>
                <c:pt idx="4">
                  <c:v>0.28399999999999997</c:v>
                </c:pt>
                <c:pt idx="5">
                  <c:v>-12.212</c:v>
                </c:pt>
                <c:pt idx="6">
                  <c:v>-7.532</c:v>
                </c:pt>
                <c:pt idx="7">
                  <c:v>-3.2250000000000001</c:v>
                </c:pt>
                <c:pt idx="8">
                  <c:v>15.262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8-49E4-A2A7-1CC7B13B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88880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Team'!$D$59:$L$59</c:f>
              <c:numCache>
                <c:formatCode>_(* #,##0.0_);_(* \(#,##0.0\);_(* "-"??_);_(@_)</c:formatCode>
                <c:ptCount val="9"/>
                <c:pt idx="0">
                  <c:v>-18.495999999999999</c:v>
                </c:pt>
                <c:pt idx="1">
                  <c:v>-48.753999999999998</c:v>
                </c:pt>
                <c:pt idx="2">
                  <c:v>-28.928999999999998</c:v>
                </c:pt>
                <c:pt idx="3">
                  <c:v>-29.946999999999999</c:v>
                </c:pt>
                <c:pt idx="4">
                  <c:v>-29.663</c:v>
                </c:pt>
                <c:pt idx="5">
                  <c:v>-41.875</c:v>
                </c:pt>
                <c:pt idx="6">
                  <c:v>-49.406999999999996</c:v>
                </c:pt>
                <c:pt idx="7">
                  <c:v>-52.631999999999998</c:v>
                </c:pt>
                <c:pt idx="8">
                  <c:v>-37.369999999999997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8-49E4-A2A7-1CC7B13B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88880"/>
        <c:axId val="1"/>
      </c:lineChart>
      <c:catAx>
        <c:axId val="19498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65816959559028E-2"/>
              <c:y val="0.435324837170716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9888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504279140073761"/>
          <c:y val="0.91542594330756377"/>
          <c:w val="0.7914533217536901"/>
          <c:h val="7.2139544445433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818214512284415"/>
          <c:y val="4.8469478316597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957491744319"/>
          <c:y val="0.16581663634625432"/>
          <c:w val="0.82323316912735889"/>
          <c:h val="0.5994909160210732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62976282782543"/>
                  <c:y val="0.428572229325703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C3-4528-AD7E-853ED2FA91E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865340277510909"/>
                  <c:y val="0.400510952405568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C3-4528-AD7E-853ED2FA91E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441105637578628"/>
                  <c:y val="0.5408173370062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C3-4528-AD7E-853ED2FA91E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006768949637317"/>
                  <c:y val="0.58928681532284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C3-4528-AD7E-853ED2FA91E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582534309705033"/>
                  <c:y val="0.474490682467743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C3-4528-AD7E-853ED2FA91E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474796256424368"/>
                  <c:y val="0.428572229325703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C3-4528-AD7E-853ED2FA91E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111173904546268"/>
                  <c:y val="0.459184531420396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C3-4528-AD7E-853ED2FA91E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Input'!$D$13,'volumes Input'!$I$13,'volumes Input'!$N$13,'volumes Input'!$S$13,'volumes Input'!$X$13,'volumes Input'!$AC$13,'volumes Input'!$AH$13,'volumes Input'!$AM$13,'volumes Input'!$AR$13,'volumes Input'!$AW$13,'volumes Input'!$BB$13,'volumes Input'!$BG$13)</c:f>
              <c:numCache>
                <c:formatCode>_(* #,##0_);_(* \(#,##0\);_(* "-"??_);_(@_)</c:formatCode>
                <c:ptCount val="12"/>
                <c:pt idx="0">
                  <c:v>138</c:v>
                </c:pt>
                <c:pt idx="1">
                  <c:v>154</c:v>
                </c:pt>
                <c:pt idx="2">
                  <c:v>86</c:v>
                </c:pt>
                <c:pt idx="3">
                  <c:v>58</c:v>
                </c:pt>
                <c:pt idx="4">
                  <c:v>123</c:v>
                </c:pt>
                <c:pt idx="5">
                  <c:v>147</c:v>
                </c:pt>
                <c:pt idx="6">
                  <c:v>142</c:v>
                </c:pt>
                <c:pt idx="7">
                  <c:v>135</c:v>
                </c:pt>
                <c:pt idx="8">
                  <c:v>77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C3-4528-AD7E-853ED2FA91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99412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Input'!$D$21,'volumes Input'!$I$21,'volumes Input'!$N$21,'volumes Input'!$S$21,'volumes Input'!$X$21,'volumes Input'!$AC$21,'volumes Input'!$AH$21,'volumes Input'!$AM$21,'volumes Input'!$AR$21,'volumes Input'!$AW$21,'volumes Input'!$BB$21,'volumes Input'!$BG$21)</c:f>
              <c:numCache>
                <c:formatCode>_(* #,##0_);_(* \(#,##0\);_(* "-"??_);_(@_)</c:formatCode>
                <c:ptCount val="12"/>
                <c:pt idx="0">
                  <c:v>58</c:v>
                </c:pt>
                <c:pt idx="1">
                  <c:v>129</c:v>
                </c:pt>
                <c:pt idx="2">
                  <c:v>63</c:v>
                </c:pt>
                <c:pt idx="3">
                  <c:v>25</c:v>
                </c:pt>
                <c:pt idx="4">
                  <c:v>167</c:v>
                </c:pt>
                <c:pt idx="5">
                  <c:v>179</c:v>
                </c:pt>
                <c:pt idx="6">
                  <c:v>192</c:v>
                </c:pt>
                <c:pt idx="7">
                  <c:v>157</c:v>
                </c:pt>
                <c:pt idx="8">
                  <c:v>138</c:v>
                </c:pt>
                <c:pt idx="9">
                  <c:v>256</c:v>
                </c:pt>
                <c:pt idx="10">
                  <c:v>131</c:v>
                </c:pt>
                <c:pt idx="11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C3-4528-AD7E-853ED2FA91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994128"/>
        <c:axId val="1"/>
      </c:lineChart>
      <c:catAx>
        <c:axId val="19499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994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798010416266363"/>
          <c:y val="0.89540983626977333"/>
          <c:w val="0.43266037723053413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57679395597299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2159413128778"/>
          <c:y val="0.15345287705412436"/>
          <c:w val="0.79863547774527199"/>
          <c:h val="0.6572898233818326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457348263975399"/>
                  <c:y val="0.626599247971007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59-4D28-B5FD-1003339D250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112643911852664"/>
                  <c:y val="0.624041700020105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59-4D28-B5FD-1003339D250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97290953374102"/>
                  <c:y val="0.68542285084175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59-4D28-B5FD-1003339D250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081937994895543"/>
                  <c:y val="0.69309549469446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59-4D28-B5FD-1003339D250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907882249128634"/>
                  <c:y val="0.59079357665837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59-4D28-B5FD-1003339D250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389122151238998"/>
                  <c:y val="0.631714343872811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59-4D28-B5FD-1003339D250E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334524596146914"/>
                  <c:y val="0.68542285084175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59-4D28-B5FD-1003339D250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Input'!$E$13,'volumes Input'!$J$13,'volumes Input'!$O$13,'volumes Input'!$T$13,'volumes Input'!$Y$13,'volumes Input'!$AD$13,'volumes Input'!$AI$13,'volumes Input'!$AN$13,'volumes Input'!$AS$13,'volumes Input'!$AX$13,'volumes Input'!$BC$13,'volumes Input'!$BH$13)</c:f>
              <c:numCache>
                <c:formatCode>_(* #,##0_);_(* \(#,##0\);_(* "-"??_);_(@_)</c:formatCode>
                <c:ptCount val="12"/>
                <c:pt idx="0">
                  <c:v>62</c:v>
                </c:pt>
                <c:pt idx="1">
                  <c:v>50</c:v>
                </c:pt>
                <c:pt idx="2">
                  <c:v>27</c:v>
                </c:pt>
                <c:pt idx="3">
                  <c:v>32</c:v>
                </c:pt>
                <c:pt idx="4">
                  <c:v>82</c:v>
                </c:pt>
                <c:pt idx="5">
                  <c:v>90</c:v>
                </c:pt>
                <c:pt idx="6">
                  <c:v>58</c:v>
                </c:pt>
                <c:pt idx="7">
                  <c:v>63</c:v>
                </c:pt>
                <c:pt idx="8">
                  <c:v>42</c:v>
                </c:pt>
                <c:pt idx="9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59-4D28-B5FD-1003339D2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9445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Input'!$E$21,'volumes Input'!$J$21,'volumes Input'!$O$21,'volumes Input'!$T$21,'volumes Input'!$Y$21,'volumes Input'!$AD$21,'volumes Input'!$AI$21,'volumes Input'!$AN$21,'volumes Input'!$AS$21,'volumes Input'!$AX$21,'volumes Input'!$BC$21,'volumes Input'!$BH$21)</c:f>
              <c:numCache>
                <c:formatCode>_(* #,##0_);_(* \(#,##0\);_(* "-"??_);_(@_)</c:formatCode>
                <c:ptCount val="1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124</c:v>
                </c:pt>
                <c:pt idx="7">
                  <c:v>126</c:v>
                </c:pt>
                <c:pt idx="8">
                  <c:v>54</c:v>
                </c:pt>
                <c:pt idx="9">
                  <c:v>28</c:v>
                </c:pt>
                <c:pt idx="10">
                  <c:v>54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59-4D28-B5FD-1003339D2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94456"/>
        <c:axId val="1"/>
      </c:lineChart>
      <c:catAx>
        <c:axId val="19499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994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058046356760577"/>
          <c:y val="0.91304461847203988"/>
          <c:w val="0.366894503665028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094302906899924"/>
          <c:y val="3.80711839431807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530720135437"/>
          <c:y val="0.17005128827954066"/>
          <c:w val="0.77272806672690741"/>
          <c:h val="0.6446720481045272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814830037465762"/>
                  <c:y val="0.629443574527254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D5-4A1B-86E3-98AED9A195E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033690618845748"/>
                  <c:y val="0.40609262872726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D5-4A1B-86E3-98AED9A195E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767704272239273"/>
                  <c:y val="0.591372390584074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D5-4A1B-86E3-98AED9A195E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680170314976672"/>
                  <c:y val="0.708124021343161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D5-4A1B-86E3-98AED9A195E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235731579026324"/>
                  <c:y val="0.647210127034072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D5-4A1B-86E3-98AED9A195E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872109227148224"/>
                  <c:y val="0.50507770697953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D5-4A1B-86E3-98AED9A195E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Input'!$C$13,'volumes Input'!$H$13,'volumes Input'!$M$13,'volumes Input'!$R$13,'volumes Input'!$W$13,'volumes Input'!$AB$13,'volumes Input'!$AG$13,'volumes Input'!$AL$13,'volumes Input'!$AQ$13,'volumes Input'!$AV$13,'volumes Input'!$BA$13,'volumes Input'!$BF$13)</c:f>
              <c:numCache>
                <c:formatCode>_(* #,##0_);_(* \(#,##0\);_(* "-"??_);_(@_)</c:formatCode>
                <c:ptCount val="12"/>
                <c:pt idx="0">
                  <c:v>62850</c:v>
                </c:pt>
                <c:pt idx="1">
                  <c:v>167500</c:v>
                </c:pt>
                <c:pt idx="2">
                  <c:v>59750</c:v>
                </c:pt>
                <c:pt idx="3">
                  <c:v>19350</c:v>
                </c:pt>
                <c:pt idx="4">
                  <c:v>56520</c:v>
                </c:pt>
                <c:pt idx="5">
                  <c:v>109335.9</c:v>
                </c:pt>
                <c:pt idx="6">
                  <c:v>113660</c:v>
                </c:pt>
                <c:pt idx="7">
                  <c:v>79850</c:v>
                </c:pt>
                <c:pt idx="8">
                  <c:v>110140</c:v>
                </c:pt>
                <c:pt idx="9">
                  <c:v>259335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5-4A1B-86E3-98AED9A195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998392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Input'!$C$21,'volumes Input'!$H$21,'volumes Input'!$M$21,'volumes Input'!$R$21,'volumes Input'!$W$21,'volumes Input'!$AB$21,'volumes Input'!$AG$21,'volumes Input'!$AL$21,'volumes Input'!$AQ$21,'volumes Input'!$AV$21,'volumes Input'!$BA$21,'volumes Input'!$BF$21)</c:f>
              <c:numCache>
                <c:formatCode>_(* #,##0_);_(* \(#,##0\);_(* "-"??_);_(@_)</c:formatCode>
                <c:ptCount val="12"/>
                <c:pt idx="0">
                  <c:v>116753.04700000001</c:v>
                </c:pt>
                <c:pt idx="1">
                  <c:v>137559.875</c:v>
                </c:pt>
                <c:pt idx="2">
                  <c:v>70954.87</c:v>
                </c:pt>
                <c:pt idx="3">
                  <c:v>5092.2049999999999</c:v>
                </c:pt>
                <c:pt idx="4">
                  <c:v>8410.2759999999998</c:v>
                </c:pt>
                <c:pt idx="5">
                  <c:v>9251.1270000000004</c:v>
                </c:pt>
                <c:pt idx="6">
                  <c:v>42465.186999999998</c:v>
                </c:pt>
                <c:pt idx="7">
                  <c:v>26001.776000000002</c:v>
                </c:pt>
                <c:pt idx="8">
                  <c:v>95942.337</c:v>
                </c:pt>
                <c:pt idx="9">
                  <c:v>27649.072</c:v>
                </c:pt>
                <c:pt idx="10">
                  <c:v>18296.404999999999</c:v>
                </c:pt>
                <c:pt idx="11">
                  <c:v>40429.214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D5-4A1B-86E3-98AED9A195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998392"/>
        <c:axId val="1"/>
      </c:lineChart>
      <c:catAx>
        <c:axId val="19499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(Notional Volume $000's)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281726761179537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998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828316560293447"/>
          <c:y val="0.89847994105906537"/>
          <c:w val="0.44949541136401805"/>
          <c:h val="8.37566046749976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775172406335354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7563215656297"/>
          <c:y val="0.18414345246494923"/>
          <c:w val="0.79727527076975935"/>
          <c:h val="0.5984662205110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368013129541512"/>
                  <c:y val="0.65728982338183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46-46EC-8FEA-433B711F5EC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Input'!$B$6,'IS Input'!$I$6,'IS Input'!$P$6,'IS Input'!$W$6,'IS Input'!$AD$6)</c:f>
              <c:numCache>
                <c:formatCode>_(* #,##0.0_);_(* \(#,##0.0\);_(* "-"??_);_(@_)</c:formatCode>
                <c:ptCount val="5"/>
                <c:pt idx="0">
                  <c:v>1.6720152800000001</c:v>
                </c:pt>
                <c:pt idx="1">
                  <c:v>2.5505689999999999</c:v>
                </c:pt>
                <c:pt idx="2">
                  <c:v>0.99688599999999972</c:v>
                </c:pt>
                <c:pt idx="3">
                  <c:v>0.85842700000000005</c:v>
                </c:pt>
                <c:pt idx="4">
                  <c:v>6.0778972799999993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6-46EC-8FEA-433B711F5ECC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Input'!$E$6,'IS Input'!$L$6,'IS Input'!$S$6,'IS Input'!$Z$6,'IS Input'!$AG$6)</c:f>
              <c:numCache>
                <c:formatCode>_(* #,##0.0_);_(* \(#,##0.0\);_(* "-"??_);_(@_)</c:formatCode>
                <c:ptCount val="5"/>
                <c:pt idx="0">
                  <c:v>4.875</c:v>
                </c:pt>
                <c:pt idx="1">
                  <c:v>11.875</c:v>
                </c:pt>
                <c:pt idx="2">
                  <c:v>11.875</c:v>
                </c:pt>
                <c:pt idx="3">
                  <c:v>8.875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46-46EC-8FEA-433B711F5E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25832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Mode val="edge"/>
                  <c:yMode val="edge"/>
                  <c:x val="0.39182331683129201"/>
                  <c:y val="0.75703419346701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46-46EC-8FEA-433B711F5EC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9608288979678086"/>
                  <c:y val="0.6112539602655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46-46EC-8FEA-433B711F5EC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Input'!$B$75:$F$75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1.22</c:v>
                </c:pt>
                <c:pt idx="2">
                  <c:v>0</c:v>
                </c:pt>
                <c:pt idx="3">
                  <c:v>0</c:v>
                </c:pt>
                <c:pt idx="4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46-46EC-8FEA-433B711F5E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258320"/>
        <c:axId val="1"/>
      </c:lineChart>
      <c:catAx>
        <c:axId val="19325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3628637107175373E-2"/>
              <c:y val="0.442455795506058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25832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27297201862126"/>
          <c:y val="0.86956630330670459"/>
          <c:w val="0.43781996706800885"/>
          <c:h val="9.2071726232474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7037059363582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7996870331226"/>
          <c:y val="0.18024702223610042"/>
          <c:w val="0.80034196380883027"/>
          <c:h val="0.61234604814456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Input'!$AL$7,'IS Input'!$AN$7,'IS Input'!$AP$7,'IS Input'!$AR$7,'IS Input'!$AT$7,'IS Input'!$AV$7,'IS Input'!$AX$7,'IS Input'!$AZ$7,'IS Input'!$BB$7,'IS Input'!$BD$7,'IS Input'!$BF$7,'IS Input'!$BH$7)</c:f>
              <c:numCache>
                <c:formatCode>General</c:formatCode>
                <c:ptCount val="12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F-4478-8750-20CD84162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65208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5"/>
              <c:layout>
                <c:manualLayout>
                  <c:xMode val="edge"/>
                  <c:yMode val="edge"/>
                  <c:x val="0.47440312566920001"/>
                  <c:y val="0.224691493472399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3F-4478-8750-20CD841623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Input'!$AM$7,'IS Input'!$AO$7,'IS Input'!$AQ$7,'IS Input'!$AS$7,'IS Input'!$AU$7,'IS Input'!$AW$7,'IS Input'!$AY$7,'IS Input'!$BA$7,'IS Input'!$BC$7,'IS Input'!$BE$7,'IS Input'!$BG$7,'IS Input'!$BI$7)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36</c:v>
                </c:pt>
                <c:pt idx="4">
                  <c:v>36</c:v>
                </c:pt>
                <c:pt idx="5">
                  <c:v>40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F-4478-8750-20CD84162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65208"/>
        <c:axId val="1"/>
      </c:lineChart>
      <c:catAx>
        <c:axId val="19326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924917946184029E-2"/>
              <c:y val="0.446913849653892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26520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423235207607198"/>
          <c:y val="0.9037042484714074"/>
          <c:w val="0.42662151588956837"/>
          <c:h val="7.16049814362590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88054578843778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1172635318527"/>
          <c:y val="0.19181609631765545"/>
          <c:w val="0.77571717382143923"/>
          <c:h val="0.5831209328056724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3642547438137804"/>
                  <c:y val="0.641944535676420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22-418F-81B3-D9D374F767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Input'!$D$6,'IS Input'!$K$6,'IS Input'!$R$6,'IS Input'!$Y$6,'IS Input'!$AF$6)</c:f>
              <c:numCache>
                <c:formatCode>_(* #,##0.0_);_(* \(#,##0.0\);_(* "-"??_);_(@_)</c:formatCode>
                <c:ptCount val="5"/>
                <c:pt idx="0">
                  <c:v>0.33799628000000009</c:v>
                </c:pt>
                <c:pt idx="1">
                  <c:v>0.60499100000000006</c:v>
                </c:pt>
                <c:pt idx="2">
                  <c:v>-1.6838440000000001</c:v>
                </c:pt>
                <c:pt idx="3">
                  <c:v>-2.6119809999999997</c:v>
                </c:pt>
                <c:pt idx="4">
                  <c:v>-3.3528377199999997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2-418F-81B3-D9D374F76704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Input'!$G$6,'IS Input'!$N$6,'IS Input'!$U$6,'IS Input'!$AB$6,'IS Input'!$AI$6)</c:f>
              <c:numCache>
                <c:formatCode>_(* #,##0.0_);_(* \(#,##0.0\);_(* "-"??_);_(@_)</c:formatCode>
                <c:ptCount val="5"/>
                <c:pt idx="0">
                  <c:v>2.2590210000000002</c:v>
                </c:pt>
                <c:pt idx="1">
                  <c:v>8.6151859999999996</c:v>
                </c:pt>
                <c:pt idx="2">
                  <c:v>8.401542000000001</c:v>
                </c:pt>
                <c:pt idx="3">
                  <c:v>5.404592000000001</c:v>
                </c:pt>
                <c:pt idx="4">
                  <c:v>24.680341000000002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2-418F-81B3-D9D374F767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26160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4114686055753437"/>
                  <c:y val="0.65473227543093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22-418F-81B3-D9D374F7670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279956186405806"/>
                  <c:y val="0.65728982338183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22-418F-81B3-D9D374F7670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300202167500744"/>
                  <c:y val="0.667520015185440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22-418F-81B3-D9D374F7670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983179812151575"/>
                  <c:y val="0.695653042645363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22-418F-81B3-D9D374F7670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811181606359852"/>
                  <c:y val="0.74424645371250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22-418F-81B3-D9D374F767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Input'!$B$111:$F$111</c:f>
              <c:numCache>
                <c:formatCode>_(* #,##0.0_);_(* \(#,##0.0\);_(* "-"??_);_(@_)</c:formatCode>
                <c:ptCount val="5"/>
                <c:pt idx="0">
                  <c:v>-1.5489999999999999</c:v>
                </c:pt>
                <c:pt idx="1">
                  <c:v>-0.52800000000000002</c:v>
                </c:pt>
                <c:pt idx="2">
                  <c:v>-1.4179999999999999</c:v>
                </c:pt>
                <c:pt idx="3">
                  <c:v>-3.0990000000000002</c:v>
                </c:pt>
                <c:pt idx="4">
                  <c:v>-6.5940000000000003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22-418F-81B3-D9D374F767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261600"/>
        <c:axId val="1"/>
      </c:lineChart>
      <c:catAx>
        <c:axId val="19326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8785858691071963E-2"/>
              <c:y val="0.419437863947939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261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016881943525264"/>
          <c:y val="0.87468139920850874"/>
          <c:w val="0.43844883737733525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153612909300436"/>
          <c:y val="3.71287128712871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498358923680581E-2"/>
          <c:y val="0.13613861386138615"/>
          <c:w val="0.8771338366689525"/>
          <c:h val="0.69801980198019808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Team'!$D$67:$O$67</c:f>
              <c:numCache>
                <c:formatCode>_(* #,##0.0_);_(* \(#,##0.0\);_(* "-"??_);_(@_)</c:formatCode>
                <c:ptCount val="12"/>
                <c:pt idx="0">
                  <c:v>0.311</c:v>
                </c:pt>
                <c:pt idx="1">
                  <c:v>-0.70499999999999996</c:v>
                </c:pt>
                <c:pt idx="2">
                  <c:v>0.122</c:v>
                </c:pt>
                <c:pt idx="3">
                  <c:v>-0.72399999999999998</c:v>
                </c:pt>
                <c:pt idx="4">
                  <c:v>-0.876</c:v>
                </c:pt>
                <c:pt idx="5">
                  <c:v>3.5150000000000001</c:v>
                </c:pt>
                <c:pt idx="6">
                  <c:v>-1.008</c:v>
                </c:pt>
                <c:pt idx="7">
                  <c:v>0.33700000000000002</c:v>
                </c:pt>
                <c:pt idx="8">
                  <c:v>-1.292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7-4D52-8EAA-15289015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62912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Team'!$D$68:$L$68</c:f>
              <c:numCache>
                <c:formatCode>_(* #,##0.0_);_(* \(#,##0.0\);_(* "-"??_);_(@_)</c:formatCode>
                <c:ptCount val="9"/>
                <c:pt idx="0">
                  <c:v>0.311</c:v>
                </c:pt>
                <c:pt idx="1">
                  <c:v>-0.39399999999999996</c:v>
                </c:pt>
                <c:pt idx="2">
                  <c:v>-0.27199999999999996</c:v>
                </c:pt>
                <c:pt idx="3">
                  <c:v>-0.996</c:v>
                </c:pt>
                <c:pt idx="4">
                  <c:v>-1.8719999999999999</c:v>
                </c:pt>
                <c:pt idx="5">
                  <c:v>1.6430000000000002</c:v>
                </c:pt>
                <c:pt idx="6">
                  <c:v>0.63500000000000023</c:v>
                </c:pt>
                <c:pt idx="7">
                  <c:v>0.9720000000000002</c:v>
                </c:pt>
                <c:pt idx="8">
                  <c:v>-0.31999999999999984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7-4D52-8EAA-15289015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62912"/>
        <c:axId val="1"/>
      </c:lineChart>
      <c:catAx>
        <c:axId val="19326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35643564356435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2629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65188850846619"/>
          <c:y val="0.91584158415841566"/>
          <c:w val="0.79010304742748072"/>
          <c:h val="7.17821782178217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EBIT</a:t>
            </a:r>
          </a:p>
        </c:rich>
      </c:tx>
      <c:layout>
        <c:manualLayout>
          <c:xMode val="edge"/>
          <c:yMode val="edge"/>
          <c:x val="0.34680170314976672"/>
          <c:y val="3.8168033774734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4421845429644"/>
          <c:y val="0.16793934860882984"/>
          <c:w val="0.8720547681144617"/>
          <c:h val="0.5852431845459221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4142867212641"/>
                  <c:y val="0.422392907107056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B5-481D-B33E-6F5AB0BD0AA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313163488279905"/>
                  <c:y val="0.432571049446985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B5-481D-B33E-6F5AB0BD0AA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53248645768238"/>
                  <c:y val="0.562342364281081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B5-481D-B33E-6F5AB0BD0AA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491667254070711"/>
                  <c:y val="0.641222967415532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B5-481D-B33E-6F5AB0BD0AA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Input'!$B$66:$F$66</c:f>
              <c:numCache>
                <c:formatCode>_(* #,##0.0_);_(* \(#,##0.0\);_(* "-"??_);_(@_)</c:formatCode>
                <c:ptCount val="5"/>
                <c:pt idx="0">
                  <c:v>46.315662610000004</c:v>
                </c:pt>
                <c:pt idx="1">
                  <c:v>34.129964519999994</c:v>
                </c:pt>
                <c:pt idx="2">
                  <c:v>-31.105953999999983</c:v>
                </c:pt>
                <c:pt idx="3">
                  <c:v>-154.59859599999999</c:v>
                </c:pt>
                <c:pt idx="4">
                  <c:v>-105.25892286999998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B5-481D-B33E-6F5AB0BD0AAF}"/>
            </c:ext>
          </c:extLst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528639594841232"/>
                  <c:y val="0.427481978277021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B5-481D-B33E-6F5AB0BD0AA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Input'!$I$66:$M$66</c:f>
              <c:numCache>
                <c:formatCode>_(* #,##0.0_);_(* \(#,##0.0\);_(* "-"??_);_(@_)</c:formatCode>
                <c:ptCount val="5"/>
                <c:pt idx="0">
                  <c:v>44.988539999999993</c:v>
                </c:pt>
                <c:pt idx="1">
                  <c:v>56.023991000000009</c:v>
                </c:pt>
                <c:pt idx="2">
                  <c:v>65.211130999999995</c:v>
                </c:pt>
                <c:pt idx="3">
                  <c:v>102.71491</c:v>
                </c:pt>
                <c:pt idx="4" formatCode="0.0">
                  <c:v>268.93857200000002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B5-481D-B33E-6F5AB0BD0A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57564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2121224576108351"/>
                  <c:y val="0.559797828696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B5-481D-B33E-6F5AB0BD0AA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037075093664401"/>
                  <c:y val="0.539441544016241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B5-481D-B33E-6F5AB0BD0AA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30357520474036"/>
                  <c:y val="0.5547087575261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B5-481D-B33E-6F5AB0BD0AA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824983461921738"/>
                  <c:y val="0.417303835937092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B5-481D-B33E-6F5AB0BD0AA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165068619410076"/>
                  <c:y val="0.447838262956879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B5-481D-B33E-6F5AB0BD0AA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Input'!$B$118:$F$118</c:f>
              <c:numCache>
                <c:formatCode>_(* #,##0.0_);_(* \(#,##0.0\);_(* "-"??_);_(@_)</c:formatCode>
                <c:ptCount val="5"/>
                <c:pt idx="0">
                  <c:v>50.102999999999994</c:v>
                </c:pt>
                <c:pt idx="1">
                  <c:v>-3.5110000000000001</c:v>
                </c:pt>
                <c:pt idx="2">
                  <c:v>-11.777000000000001</c:v>
                </c:pt>
                <c:pt idx="3">
                  <c:v>32.378</c:v>
                </c:pt>
                <c:pt idx="4">
                  <c:v>67.192999999999984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B5-481D-B33E-6F5AB0BD0A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575648"/>
        <c:axId val="1"/>
      </c:lineChart>
      <c:catAx>
        <c:axId val="1915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02036622427198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575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471411781605712"/>
          <c:y val="0.8778647768188832"/>
          <c:w val="0.45117891477736638"/>
          <c:h val="8.65142098893971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39942689398706"/>
          <c:y val="0.17391326066134091"/>
          <c:w val="0.81228736625373821"/>
          <c:h val="0.5805633848547704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99671784736116"/>
                  <c:y val="0.557545453296651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31-44D1-940F-A18549F517C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911289388539715"/>
                  <c:y val="0.537085069689435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31-44D1-940F-A18549F517C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146798630478283"/>
                  <c:y val="0.58823602870747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31-44D1-940F-A18549F517C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Input'!$B$7,'IS Input'!$I$7,'IS Input'!$P$7,'IS Input'!$W$7,'IS Input'!$AD$7)</c:f>
              <c:numCache>
                <c:formatCode>_(* #,##0.0_);_(* \(#,##0.0\);_(* "-"??_);_(@_)</c:formatCode>
                <c:ptCount val="5"/>
                <c:pt idx="0">
                  <c:v>13.281756999999999</c:v>
                </c:pt>
                <c:pt idx="1">
                  <c:v>17.175999999999998</c:v>
                </c:pt>
                <c:pt idx="2">
                  <c:v>5.7214499999999999</c:v>
                </c:pt>
                <c:pt idx="3">
                  <c:v>3.3159999999999998</c:v>
                </c:pt>
                <c:pt idx="4">
                  <c:v>39.495207000000001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31-44D1-940F-A18549F517C7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648481369055108"/>
                  <c:y val="0.53964261764033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31-44D1-940F-A18549F517C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Input'!$E$7,'IS Input'!$L$7,'IS Input'!$S$7,'IS Input'!$Z$7,'IS Input'!$AG$7)</c:f>
              <c:numCache>
                <c:formatCode>_(* #,##0.0_);_(* \(#,##0.0\);_(* "-"??_);_(@_)</c:formatCode>
                <c:ptCount val="5"/>
                <c:pt idx="0">
                  <c:v>20</c:v>
                </c:pt>
                <c:pt idx="1">
                  <c:v>27.5</c:v>
                </c:pt>
                <c:pt idx="2">
                  <c:v>27.37</c:v>
                </c:pt>
                <c:pt idx="3">
                  <c:v>29.545000000000002</c:v>
                </c:pt>
                <c:pt idx="4">
                  <c:v>104.41500000000001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31-44D1-940F-A18549F517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61272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45394112456432"/>
                  <c:y val="0.447570891407862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31-44D1-940F-A18549F517C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542693398282018"/>
                  <c:y val="0.59079357665837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31-44D1-940F-A18549F517C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829393055901583"/>
                  <c:y val="0.50895204222951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31-44D1-940F-A18549F517C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795279999533388"/>
                  <c:y val="0.61381150821649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31-44D1-940F-A18549F517C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692899168171372"/>
                  <c:y val="0.32736613771546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31-44D1-940F-A18549F517C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Input'!$B$76:$F$76</c:f>
              <c:numCache>
                <c:formatCode>_(* #,##0.0_);_(* \(#,##0.0\);_(* "-"??_);_(@_)</c:formatCode>
                <c:ptCount val="5"/>
                <c:pt idx="0">
                  <c:v>32.515000000000001</c:v>
                </c:pt>
                <c:pt idx="1">
                  <c:v>13.6</c:v>
                </c:pt>
                <c:pt idx="2">
                  <c:v>18.670000000000002</c:v>
                </c:pt>
                <c:pt idx="3">
                  <c:v>4.0830000000000002</c:v>
                </c:pt>
                <c:pt idx="4">
                  <c:v>68.867999999999995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31-44D1-940F-A18549F517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612728"/>
        <c:axId val="1"/>
      </c:lineChart>
      <c:catAx>
        <c:axId val="19261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5"/>
          <c:min val="-25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665012419342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612728"/>
        <c:crosses val="autoZero"/>
        <c:crossBetween val="between"/>
        <c:majorUnit val="2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99343569472232"/>
          <c:y val="0.86189365945399843"/>
          <c:w val="0.44880583471582597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7220990239485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7996870331226"/>
          <c:y val="0.18610495119742967"/>
          <c:w val="0.81058088019017993"/>
          <c:h val="0.617868437975466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1638259950821876"/>
                  <c:y val="0.28287952582009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6B-4C23-A519-E60A219EB32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293555598699134"/>
                  <c:y val="0.27047252907359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6B-4C23-A519-E60A219EB32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948851246576402"/>
                  <c:y val="0.290323723867990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6B-4C23-A519-E60A219EB32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Input'!$AL$8,'IS Input'!$AN$8,'IS Input'!$AP$8,'IS Input'!$AR$8,'IS Input'!$AT$8,'IS Input'!$AV$8,'IS Input'!$AX$8,'IS Input'!$AZ$8,'IS Input'!$BB$8,'IS Input'!$BD$8,'IS Input'!$BF$8,'IS Input'!$BH$8)</c:f>
              <c:numCache>
                <c:formatCode>General</c:formatCode>
                <c:ptCount val="12"/>
                <c:pt idx="0">
                  <c:v>40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46</c:v>
                </c:pt>
                <c:pt idx="5">
                  <c:v>48</c:v>
                </c:pt>
                <c:pt idx="6">
                  <c:v>46</c:v>
                </c:pt>
                <c:pt idx="7">
                  <c:v>41</c:v>
                </c:pt>
                <c:pt idx="8">
                  <c:v>38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6B-4C23-A519-E60A219EB3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615352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396B-4C23-A519-E60A219EB32F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96B-4C23-A519-E60A219EB32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96B-4C23-A519-E60A219EB32F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396B-4C23-A519-E60A219EB32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396B-4C23-A519-E60A219EB32F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396B-4C23-A519-E60A219EB32F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396B-4C23-A519-E60A219EB32F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96B-4C23-A519-E60A219EB32F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396B-4C23-A519-E60A219EB32F}"/>
                </c:ext>
              </c:extLst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96B-4C23-A519-E60A219EB32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Input'!$AM$8,'IS Input'!$AO$8,'IS Input'!$AQ$8,'IS Input'!$AS$8,'IS Input'!$AU$8,'IS Input'!$AW$8,'IS Input'!$AY$8,'IS Input'!$BA$8,'IS Input'!$BC$8,'IS Input'!$BE$8,'IS Input'!$BG$8,'IS Input'!$BI$8)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96B-4C23-A519-E60A219EB3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615352"/>
        <c:axId val="1"/>
      </c:lineChart>
      <c:catAx>
        <c:axId val="19261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924917946184029E-2"/>
              <c:y val="0.454096080921728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615352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423235207607198"/>
          <c:y val="0.90322936314485869"/>
          <c:w val="0.35324261515656263"/>
          <c:h val="7.19605811296727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12840453732111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52874234773513"/>
          <c:y val="0.14322268525051607"/>
          <c:w val="0.81313214864726846"/>
          <c:h val="0.6496171795291264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Input'!$D$7,'IS Input'!$K$7,'IS Input'!$R$7,'IS Input'!$Y$7,'IS Input'!$AF$7)</c:f>
              <c:numCache>
                <c:formatCode>_(* #,##0.0_);_(* \(#,##0.0\);_(* "-"??_);_(@_)</c:formatCode>
                <c:ptCount val="5"/>
                <c:pt idx="0">
                  <c:v>9.4641950000000001</c:v>
                </c:pt>
                <c:pt idx="1">
                  <c:v>13.173132000000001</c:v>
                </c:pt>
                <c:pt idx="2">
                  <c:v>1.4289799999999999</c:v>
                </c:pt>
                <c:pt idx="3">
                  <c:v>0.18545299999999976</c:v>
                </c:pt>
                <c:pt idx="4">
                  <c:v>24.251759999999997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3-4754-8B09-0A4C142A0405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Input'!$G$7,'IS Input'!$N$7,'IS Input'!$U$7,'IS Input'!$AB$7,'IS Input'!$AI$7)</c:f>
              <c:numCache>
                <c:formatCode>_(* #,##0.0_);_(* \(#,##0.0\);_(* "-"??_);_(@_)</c:formatCode>
                <c:ptCount val="5"/>
                <c:pt idx="0">
                  <c:v>14.454606</c:v>
                </c:pt>
                <c:pt idx="1">
                  <c:v>21.486755000000002</c:v>
                </c:pt>
                <c:pt idx="2">
                  <c:v>21.837183</c:v>
                </c:pt>
                <c:pt idx="3">
                  <c:v>26.414453000000002</c:v>
                </c:pt>
                <c:pt idx="4">
                  <c:v>84.192996999999991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3-4754-8B09-0A4C142A04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61371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5488231402805114"/>
                  <c:y val="0.45268598730966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B3-4754-8B09-0A4C142A040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542126117668911"/>
                  <c:y val="0.60102376846198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B3-4754-8B09-0A4C142A040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643146597759206"/>
                  <c:y val="0.537085069689435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B3-4754-8B09-0A4C142A040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84518755793979"/>
                  <c:y val="0.69309549469446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B3-4754-8B09-0A4C142A040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8956310086039105"/>
                  <c:y val="0.317135945911857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B3-4754-8B09-0A4C142A04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Input'!$B$112:$F$112</c:f>
              <c:numCache>
                <c:formatCode>_(* #,##0.0_);_(* \(#,##0.0\);_(* "-"??_);_(@_)</c:formatCode>
                <c:ptCount val="5"/>
                <c:pt idx="0">
                  <c:v>31.094999999999999</c:v>
                </c:pt>
                <c:pt idx="1">
                  <c:v>11.920999999999999</c:v>
                </c:pt>
                <c:pt idx="2">
                  <c:v>16.914999999999999</c:v>
                </c:pt>
                <c:pt idx="3">
                  <c:v>-1.6459999999999999</c:v>
                </c:pt>
                <c:pt idx="4">
                  <c:v>58.284999999999997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B3-4754-8B09-0A4C142A04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613712"/>
        <c:axId val="1"/>
      </c:lineChart>
      <c:catAx>
        <c:axId val="19261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613712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501717925632801"/>
          <c:y val="0.88235404306121501"/>
          <c:w val="0.42929337040383742"/>
          <c:h val="7.92839864779642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4864003481085715"/>
          <c:y val="3.7037059363582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34030270166135"/>
          <c:y val="0.13580255099980168"/>
          <c:w val="0.85374291451244055"/>
          <c:h val="0.6987658533262523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Team'!$D$76:$O$76</c:f>
              <c:numCache>
                <c:formatCode>_(* #,##0.0_);_(* \(#,##0.0\);_(* "-"??_);_(@_)</c:formatCode>
                <c:ptCount val="12"/>
                <c:pt idx="0">
                  <c:v>2.5299999999999998</c:v>
                </c:pt>
                <c:pt idx="1">
                  <c:v>-20.100999999999999</c:v>
                </c:pt>
                <c:pt idx="2">
                  <c:v>-2.1040000000000001</c:v>
                </c:pt>
                <c:pt idx="3">
                  <c:v>12.176</c:v>
                </c:pt>
                <c:pt idx="4">
                  <c:v>-82.956000000000003</c:v>
                </c:pt>
                <c:pt idx="5">
                  <c:v>39.329000000000001</c:v>
                </c:pt>
                <c:pt idx="6">
                  <c:v>-47.298999999999999</c:v>
                </c:pt>
                <c:pt idx="7">
                  <c:v>-3.9849999999999999</c:v>
                </c:pt>
                <c:pt idx="8">
                  <c:v>0.44900000000000001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2-4543-9A96-DEA9B156B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12072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Team'!$D$77:$L$77</c:f>
              <c:numCache>
                <c:formatCode>_(* #,##0.0_);_(* \(#,##0.0\);_(* "-"??_);_(@_)</c:formatCode>
                <c:ptCount val="9"/>
                <c:pt idx="0">
                  <c:v>2.5299999999999998</c:v>
                </c:pt>
                <c:pt idx="1">
                  <c:v>-17.570999999999998</c:v>
                </c:pt>
                <c:pt idx="2">
                  <c:v>-19.674999999999997</c:v>
                </c:pt>
                <c:pt idx="3">
                  <c:v>-7.498999999999997</c:v>
                </c:pt>
                <c:pt idx="4">
                  <c:v>-90.454999999999998</c:v>
                </c:pt>
                <c:pt idx="5">
                  <c:v>-51.125999999999998</c:v>
                </c:pt>
                <c:pt idx="6">
                  <c:v>-98.424999999999997</c:v>
                </c:pt>
                <c:pt idx="7">
                  <c:v>-102.41</c:v>
                </c:pt>
                <c:pt idx="8">
                  <c:v>-101.961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2-4543-9A96-DEA9B156B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12072"/>
        <c:axId val="1"/>
      </c:lineChart>
      <c:catAx>
        <c:axId val="19261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04781676468294E-2"/>
              <c:y val="0.434568163199365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6120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115669702098119"/>
          <c:y val="0.91604993492593478"/>
          <c:w val="0.78741627374354572"/>
          <c:h val="7.16049814362590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976191686379861E-2"/>
          <c:y val="0.16368306885773265"/>
          <c:w val="0.8498300596520203"/>
          <c:h val="0.6112539602655954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Input'!$B$24,'IS Input'!$I$24,'IS Input'!$P$24,'IS Input'!$W$24,'IS Input'!$AD$24)</c:f>
              <c:numCache>
                <c:formatCode>_(* #,##0.0_);_(* \(#,##0.0\);_(* "-"??_);_(@_)</c:formatCode>
                <c:ptCount val="5"/>
                <c:pt idx="0">
                  <c:v>-0.95967899999999995</c:v>
                </c:pt>
                <c:pt idx="1">
                  <c:v>2.0678539999999996</c:v>
                </c:pt>
                <c:pt idx="2">
                  <c:v>0</c:v>
                </c:pt>
                <c:pt idx="4">
                  <c:v>1.1081749999999997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3-48AE-923D-479CC2C2633E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453982786821733"/>
                  <c:y val="0.521739781984022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F3-48AE-923D-479CC2C2633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Input'!$E$24,'IS Input'!$L$24,'IS Input'!$S$24,'IS Input'!$Z$24,'IS Input'!$AG$24)</c:f>
              <c:numCache>
                <c:formatCode>_(* #,##0.0_);_(* \(#,##0.0\);_(* "-"??_);_(@_)</c:formatCode>
                <c:ptCount val="5"/>
                <c:pt idx="0">
                  <c:v>-0.85850100000000018</c:v>
                </c:pt>
                <c:pt idx="1">
                  <c:v>1.3724989999999997</c:v>
                </c:pt>
                <c:pt idx="2">
                  <c:v>0</c:v>
                </c:pt>
                <c:pt idx="3">
                  <c:v>0</c:v>
                </c:pt>
                <c:pt idx="4">
                  <c:v>0.51399799999999951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3-48AE-923D-479CC2C263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40771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3139984351656109"/>
                  <c:y val="0.68286530289085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F3-48AE-923D-479CC2C2633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Input'!$B$79:$F$79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-1.304</c:v>
                </c:pt>
                <c:pt idx="4">
                  <c:v>-1.304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F3-48AE-923D-479CC2C263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07712"/>
        <c:axId val="1"/>
      </c:lineChart>
      <c:catAx>
        <c:axId val="1944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5358374572024464E-2"/>
              <c:y val="0.421995411898841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407712"/>
        <c:crosses val="autoZero"/>
        <c:crossBetween val="between"/>
        <c:majorUnit val="3"/>
        <c:minorUnit val="3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426642347018275"/>
          <c:y val="0.86956630330670459"/>
          <c:w val="0.46587069535140863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1020480090292"/>
          <c:y val="0.18877586291727419"/>
          <c:w val="0.85353623056762962"/>
          <c:h val="0.5739806642754957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Input'!$C$24,'IS Input'!$J$24,'IS Input'!$Q$24,'IS Input'!$X$24,'IS Input'!$AE$24)</c:f>
              <c:numCache>
                <c:formatCode>_(* #,##0.0_);_(* \(#,##0.0\);_(* "-"??_);_(@_)</c:formatCode>
                <c:ptCount val="5"/>
                <c:pt idx="0">
                  <c:v>0.42886399999999997</c:v>
                </c:pt>
                <c:pt idx="1">
                  <c:v>0.22967400000000002</c:v>
                </c:pt>
                <c:pt idx="2">
                  <c:v>0</c:v>
                </c:pt>
                <c:pt idx="4">
                  <c:v>0.65853799999999996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1-4211-9E6F-33B0EDB38A29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Input'!$F$24,'IS Input'!$M$24,'IS Input'!$T$24,'IS Input'!$AA$24,'IS Input'!$AH$24)</c:f>
              <c:numCache>
                <c:formatCode>_(* #,##0.0_);_(* \(#,##0.0\);_(* "-"??_);_(@_)</c:formatCode>
                <c:ptCount val="5"/>
                <c:pt idx="0">
                  <c:v>0.27254199999999995</c:v>
                </c:pt>
                <c:pt idx="1">
                  <c:v>0.30228100000000002</c:v>
                </c:pt>
                <c:pt idx="2">
                  <c:v>0</c:v>
                </c:pt>
                <c:pt idx="3">
                  <c:v>0</c:v>
                </c:pt>
                <c:pt idx="4">
                  <c:v>0.57482299999999997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1-4211-9E6F-33B0EDB38A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40738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72895697797984937"/>
                  <c:y val="0.62245014259209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D1-4211-9E6F-33B0EDB38A2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582585686151974"/>
                  <c:y val="0.647960394337670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D1-4211-9E6F-33B0EDB38A2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Input'!$B$97:$F$97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0.30099999999999999</c:v>
                </c:pt>
                <c:pt idx="4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D1-4211-9E6F-33B0EDB38A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07384"/>
        <c:axId val="1"/>
      </c:lineChart>
      <c:catAx>
        <c:axId val="19440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525255120022573E-2"/>
              <c:y val="0.428572229325703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40738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29660074931524"/>
          <c:y val="0.86224650900052247"/>
          <c:w val="0.47138095573754696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1239902110362"/>
          <c:y val="0.13043494549600571"/>
          <c:w val="0.76791872860122312"/>
          <c:h val="0.68542285084175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29023178380288"/>
                  <c:y val="0.4398982475551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2-4840-89AA-74CA0C82659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184318826257557"/>
                  <c:y val="0.44501334345696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32-4840-89AA-74CA0C82659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498317261423167"/>
                  <c:y val="0.437340699604254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2-4840-89AA-74CA0C8265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Input'!$AL$27,'IS Input'!$AN$27,'IS Input'!$AP$27,'IS Input'!$AR$27,'IS Input'!$AT$27,'IS Input'!$AV$27,'IS Input'!$AX$27,'IS Input'!$AZ$27,'IS Input'!$BB$27,'IS Input'!$BD$27,'IS Input'!$BF$27,'IS Input'!$BH$27)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2-4840-89AA-74CA0C8265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416568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532-4840-89AA-74CA0C826598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532-4840-89AA-74CA0C8265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Input'!$AM$27,'IS Input'!$AO$27,'IS Input'!$AQ$27,'IS Input'!$AS$27,'IS Input'!$AU$27,'IS Input'!$AW$27,'IS Input'!$AY$27,'IS Input'!$BA$27,'IS Input'!$BC$27,'IS Input'!$BE$27,'IS Input'!$BG$27,'IS Input'!$BI$27)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32-4840-89AA-74CA0C8265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16568"/>
        <c:axId val="1"/>
      </c:lineChart>
      <c:catAx>
        <c:axId val="19441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2423235207607197E-2"/>
              <c:y val="0.424552959849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416568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9249179461840289"/>
          <c:y val="0.90281442666843159"/>
          <c:w val="0.31228694963116405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5668874706582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977644650839"/>
          <c:y val="0.15601042500502643"/>
          <c:w val="0.79089424896142391"/>
          <c:h val="0.621484152069203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Input'!$D$24,'IS Input'!$K$24,'IS Input'!$R$24,'IS Input'!$Y$24,'IS Input'!$AF$24)</c:f>
              <c:numCache>
                <c:formatCode>_(* #,##0.0_);_(* \(#,##0.0\);_(* "-"??_);_(@_)</c:formatCode>
                <c:ptCount val="5"/>
                <c:pt idx="0">
                  <c:v>-1.885705</c:v>
                </c:pt>
                <c:pt idx="1">
                  <c:v>1.3607289999999999</c:v>
                </c:pt>
                <c:pt idx="2">
                  <c:v>0</c:v>
                </c:pt>
                <c:pt idx="4">
                  <c:v>-0.52497600000000011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1-489D-9847-DEF66D3FACE0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Input'!$G$24,'IS Input'!$N$24,'IS Input'!$U$24,'IS Input'!$AB$24,'IS Input'!$AI$24)</c:f>
              <c:numCache>
                <c:formatCode>_(* #,##0.0_);_(* \(#,##0.0\);_(* "-"??_);_(@_)</c:formatCode>
                <c:ptCount val="5"/>
                <c:pt idx="0">
                  <c:v>-1.7005670000000002</c:v>
                </c:pt>
                <c:pt idx="1">
                  <c:v>0.49715299999999979</c:v>
                </c:pt>
                <c:pt idx="2">
                  <c:v>0</c:v>
                </c:pt>
                <c:pt idx="3">
                  <c:v>0</c:v>
                </c:pt>
                <c:pt idx="4">
                  <c:v>-1.2034140000000004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1-489D-9847-DEF66D3FAC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41820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4080983924379764"/>
                  <c:y val="0.57033319305116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E1-489D-9847-DEF66D3FACE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Input'!$B$115:$F$115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-1.605</c:v>
                </c:pt>
                <c:pt idx="4">
                  <c:v>-1.605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1-489D-9847-DEF66D3FAC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18208"/>
        <c:axId val="1"/>
      </c:lineChart>
      <c:catAx>
        <c:axId val="19441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7.2512692335482354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418208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883662803300145"/>
          <c:y val="0.86700875535580246"/>
          <c:w val="0.48398006279728928"/>
          <c:h val="9.2071726232474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09564987705469"/>
          <c:y val="0.18414345246494923"/>
          <c:w val="0.78839656136392233"/>
          <c:h val="0.5984662205110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238958043607049"/>
                  <c:y val="0.772379481172425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CC-458B-8FAE-828D6574F84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Input'!$B$8,'IS Input'!$I$8,'IS Input'!$P$8,'IS Input'!$W$8,'IS Input'!$AD$8)</c:f>
              <c:numCache>
                <c:formatCode>_(* #,##0.0_);_(* \(#,##0.0\);_(* "-"??_);_(@_)</c:formatCode>
                <c:ptCount val="5"/>
                <c:pt idx="0">
                  <c:v>4.0953999999999997E-2</c:v>
                </c:pt>
                <c:pt idx="1">
                  <c:v>1.648452</c:v>
                </c:pt>
                <c:pt idx="2">
                  <c:v>1.2664900000000001</c:v>
                </c:pt>
                <c:pt idx="3">
                  <c:v>-0.15209600000000001</c:v>
                </c:pt>
                <c:pt idx="4">
                  <c:v>2.8037999999999998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C-458B-8FAE-828D6574F84C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Input'!$E$8,'IS Input'!$L$8,'IS Input'!$S$8,'IS Input'!$Z$8,'IS Input'!$AG$8)</c:f>
              <c:numCache>
                <c:formatCode>_(* #,##0.0_);_(* \(#,##0.0\);_(* "-"??_);_(@_)</c:formatCode>
                <c:ptCount val="5"/>
                <c:pt idx="0">
                  <c:v>0.5</c:v>
                </c:pt>
                <c:pt idx="1">
                  <c:v>1.3109999999999999</c:v>
                </c:pt>
                <c:pt idx="2">
                  <c:v>5.7050000000000001</c:v>
                </c:pt>
                <c:pt idx="3">
                  <c:v>13.3055</c:v>
                </c:pt>
                <c:pt idx="4">
                  <c:v>20.8215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C-458B-8FAE-828D6574F8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85694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1DCC-458B-8FAE-828D6574F84C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1DCC-458B-8FAE-828D6574F84C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1DCC-458B-8FAE-828D6574F84C}"/>
              </c:ext>
            </c:extLst>
          </c:dPt>
          <c:dLbls>
            <c:delete val="1"/>
          </c:dLbls>
          <c:val>
            <c:numRef>
              <c:f>'IS Input'!$B$77:$F$77</c:f>
              <c:numCache>
                <c:formatCode>_(* #,##0.0_);_(* \(#,##0.0\);_(* "-"??_);_(@_)</c:formatCode>
                <c:ptCount val="5"/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CC-458B-8FAE-828D6574F8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856944"/>
        <c:axId val="1"/>
      </c:lineChart>
      <c:catAx>
        <c:axId val="19285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37340699604254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856944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69992175828065"/>
          <c:y val="0.87468139920850874"/>
          <c:w val="0.44880583471582597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68551031780928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4105232196259"/>
          <c:y val="0.18427551589046404"/>
          <c:w val="0.81740682444441293"/>
          <c:h val="0.5356274995216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6383432753367"/>
                  <c:y val="0.624079747149038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99-44AD-8B51-F5DB86CFBB4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989778581766763"/>
                  <c:y val="0.626536754027577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99-44AD-8B51-F5DB86CFBB4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959072664809647"/>
                  <c:y val="0.562654575185550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99-44AD-8B51-F5DB86CFBB4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785016919042733"/>
                  <c:y val="0.373465045538007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99-44AD-8B51-F5DB86CFBB4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610961173275823"/>
                  <c:y val="0.444718245015653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99-44AD-8B51-F5DB86CFBB4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6484688703778851"/>
                  <c:y val="0.42260518310879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99-44AD-8B51-F5DB86CFBB46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3651930170723603"/>
                  <c:y val="0.41032014871609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99-44AD-8B51-F5DB86CFBB46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0819171637668343"/>
                  <c:y val="0.43489021750149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99-44AD-8B51-F5DB86CFBB46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832771031732475"/>
                  <c:y val="0.444718245015653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99-44AD-8B51-F5DB86CFBB4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Input'!$AL$9,'IS Input'!$AN$9,'IS Input'!$AP$9,'IS Input'!$AR$9,'IS Input'!$AT$9,'IS Input'!$AV$9,'IS Input'!$AX$9,'IS Input'!$AZ$9,'IS Input'!$BB$9,'IS Input'!$BD$9,'IS Input'!$BF$9,'IS Input'!$BH$9)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20</c:v>
                </c:pt>
                <c:pt idx="3">
                  <c:v>22</c:v>
                </c:pt>
                <c:pt idx="4">
                  <c:v>57</c:v>
                </c:pt>
                <c:pt idx="5">
                  <c:v>42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99-44AD-8B51-F5DB86CFBB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856616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552914816515255"/>
                  <c:y val="0.678133898476907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99-44AD-8B51-F5DB86CFBB4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720156283460003"/>
                  <c:y val="0.663391857205670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99-44AD-8B51-F5DB86CFBB4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034154718625616"/>
                  <c:y val="0.582310630213866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499-44AD-8B51-F5DB86CFBB4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52586601251365"/>
                  <c:y val="0.45946028628689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99-44AD-8B51-F5DB86CFBB4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368637652515114"/>
                  <c:y val="0.528256478885996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99-44AD-8B51-F5DB86CFBB4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511987481324883"/>
                  <c:y val="0.506143416979141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99-44AD-8B51-F5DB86CFBB46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7406199510551801"/>
                  <c:y val="0.292383818546202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99-44AD-8B51-F5DB86CFBB4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Input'!$AM$9,'IS Input'!$AO$9,'IS Input'!$AQ$9,'IS Input'!$AS$9,'IS Input'!$AU$9,'IS Input'!$AW$9,'IS Input'!$AY$9,'IS Input'!$BA$9,'IS Input'!$BC$9,'IS Input'!$BE$9,'IS Input'!$BG$9,'IS Input'!$BI$9)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20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499-44AD-8B51-F5DB86CFBB46}"/>
            </c:ext>
          </c:extLst>
        </c:ser>
        <c:ser>
          <c:idx val="1"/>
          <c:order val="2"/>
          <c:tx>
            <c:v>Revised Staff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8"/>
              <c:layout>
                <c:manualLayout>
                  <c:xMode val="edge"/>
                  <c:yMode val="edge"/>
                  <c:x val="0.70648523031312516"/>
                  <c:y val="0.34889497675261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499-44AD-8B51-F5DB86CFBB46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6279927041054818"/>
                  <c:y val="0.312039873574519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99-44AD-8B51-F5DB86CFBB46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276457408257627"/>
                  <c:y val="0.3022118460603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99-44AD-8B51-F5DB86CFBB46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8566626698674389"/>
                  <c:y val="0.292383818546202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99-44AD-8B51-F5DB86CFBB4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Input'!$AM$35,'IS Input'!$AO$35,'IS Input'!$AQ$35,'IS Input'!$AS$35,'IS Input'!$AU$35,'IS Input'!$AW$35,'IS Input'!$AY$35,'IS Input'!$BA$35,'IS Input'!$BC$35,'IS Input'!$BE$35,'IS Input'!$BG$35,'IS Input'!$BI$35)</c:f>
              <c:numCache>
                <c:formatCode>General</c:formatCode>
                <c:ptCount val="12"/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499-44AD-8B51-F5DB86CFBB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856616"/>
        <c:axId val="1"/>
      </c:lineChart>
      <c:catAx>
        <c:axId val="19285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0492121201941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856616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013670219901726"/>
          <c:y val="0.85749540061029272"/>
          <c:w val="0.6535841623428188"/>
          <c:h val="0.10073728202012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October Headcount</a:t>
            </a:r>
          </a:p>
        </c:rich>
      </c:tx>
      <c:layout>
        <c:manualLayout>
          <c:xMode val="edge"/>
          <c:yMode val="edge"/>
          <c:x val="0.31005149418823974"/>
          <c:y val="3.8168033774734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3625613419683"/>
          <c:y val="0.17811749094875895"/>
          <c:w val="0.85860413775204858"/>
          <c:h val="0.5139961881664185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413983577259376"/>
                  <c:y val="0.544530615186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00-4A18-8E81-C2E9F531DE0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507724128235967"/>
                  <c:y val="0.61832214715069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00-4A18-8E81-C2E9F531DE0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3713878476044861"/>
                  <c:y val="0.613233075980727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00-4A18-8E81-C2E9F531DE0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2742850559548555"/>
                  <c:y val="0.6259557539056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00-4A18-8E81-C2E9F531DE0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238600968495"/>
                  <c:y val="0.534352472846276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00-4A18-8E81-C2E9F531DE0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756499160479607"/>
                  <c:y val="0.213740989138510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00-4A18-8E81-C2E9F531DE0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Input'!$BD$4:$BD$13</c:f>
              <c:numCache>
                <c:formatCode>General</c:formatCode>
                <c:ptCount val="10"/>
                <c:pt idx="0">
                  <c:v>143</c:v>
                </c:pt>
                <c:pt idx="1">
                  <c:v>96</c:v>
                </c:pt>
                <c:pt idx="2">
                  <c:v>48</c:v>
                </c:pt>
                <c:pt idx="3">
                  <c:v>30</c:v>
                </c:pt>
                <c:pt idx="4">
                  <c:v>34</c:v>
                </c:pt>
                <c:pt idx="5">
                  <c:v>62</c:v>
                </c:pt>
                <c:pt idx="6">
                  <c:v>38</c:v>
                </c:pt>
                <c:pt idx="7">
                  <c:v>18</c:v>
                </c:pt>
                <c:pt idx="8">
                  <c:v>165</c:v>
                </c:pt>
                <c:pt idx="9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00-4A18-8E81-C2E9F531DE0A}"/>
            </c:ext>
          </c:extLst>
        </c:ser>
        <c:ser>
          <c:idx val="2"/>
          <c:order val="1"/>
          <c:tx>
            <c:v>Plan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7293267325168"/>
                  <c:y val="0.55216422194115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00-4A18-8E81-C2E9F531DE0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4327192100647608"/>
                  <c:y val="0.559797828696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00-4A18-8E81-C2E9F531DE0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Input'!$BE$4:$BE$13</c:f>
              <c:numCache>
                <c:formatCode>General</c:formatCode>
                <c:ptCount val="10"/>
                <c:pt idx="0">
                  <c:v>119</c:v>
                </c:pt>
                <c:pt idx="1">
                  <c:v>88</c:v>
                </c:pt>
                <c:pt idx="2">
                  <c:v>26</c:v>
                </c:pt>
                <c:pt idx="3">
                  <c:v>42</c:v>
                </c:pt>
                <c:pt idx="4">
                  <c:v>54</c:v>
                </c:pt>
                <c:pt idx="5">
                  <c:v>92</c:v>
                </c:pt>
                <c:pt idx="6">
                  <c:v>44</c:v>
                </c:pt>
                <c:pt idx="7">
                  <c:v>27</c:v>
                </c:pt>
                <c:pt idx="8">
                  <c:v>118</c:v>
                </c:pt>
                <c:pt idx="9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00-4A18-8E81-C2E9F531DE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576960"/>
        <c:axId val="1"/>
      </c:barChart>
      <c:catAx>
        <c:axId val="19157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1925057468778453E-2"/>
              <c:y val="0.394403015672251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576960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693405574648272"/>
          <c:y val="0.91348827500863494"/>
          <c:w val="0.24190830865236287"/>
          <c:h val="7.37915319644858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88054578843778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39806803540578"/>
          <c:y val="0.15601042500502643"/>
          <c:w val="0.79932595737252665"/>
          <c:h val="0.6317143438728118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61893741947317"/>
                  <c:y val="0.73401626190889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B2-4367-A587-8E6B4FEDF57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Input'!$D$8,'IS Input'!$K$8,'IS Input'!$R$8,'IS Input'!$Y$8,'IS Input'!$AF$8)</c:f>
              <c:numCache>
                <c:formatCode>_(* #,##0.0_);_(* \(#,##0.0\);_(* "-"??_);_(@_)</c:formatCode>
                <c:ptCount val="5"/>
                <c:pt idx="0">
                  <c:v>-1.8434739999999998</c:v>
                </c:pt>
                <c:pt idx="1">
                  <c:v>-3.767201</c:v>
                </c:pt>
                <c:pt idx="2">
                  <c:v>-4.1581299999999999</c:v>
                </c:pt>
                <c:pt idx="3">
                  <c:v>-8.9153059999999993</c:v>
                </c:pt>
                <c:pt idx="4">
                  <c:v>-18.684111000000001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2-4367-A587-8E6B4FEDF578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7015230802578836"/>
                  <c:y val="0.30434820615734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B2-4367-A587-8E6B4FEDF57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Input'!$G$8,'IS Input'!$N$8,'IS Input'!$U$8,'IS Input'!$AB$8,'IS Input'!$AI$8)</c:f>
              <c:numCache>
                <c:formatCode>_(* #,##0.0_);_(* \(#,##0.0\);_(* "-"??_);_(@_)</c:formatCode>
                <c:ptCount val="5"/>
                <c:pt idx="0">
                  <c:v>-1.2446959999999996</c:v>
                </c:pt>
                <c:pt idx="1">
                  <c:v>-3.6237109999999992</c:v>
                </c:pt>
                <c:pt idx="2">
                  <c:v>0.24683999999999923</c:v>
                </c:pt>
                <c:pt idx="3">
                  <c:v>4.5422900000000013</c:v>
                </c:pt>
                <c:pt idx="4">
                  <c:v>-7.9276999999998488E-2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B2-4367-A587-8E6B4FEDF5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85924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86B2-4367-A587-8E6B4FEDF578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6B2-4367-A587-8E6B4FEDF578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86B2-4367-A587-8E6B4FEDF578}"/>
              </c:ext>
            </c:extLst>
          </c:dPt>
          <c:dPt>
            <c:idx val="3"/>
            <c:bubble3D val="0"/>
            <c:spPr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6B2-4367-A587-8E6B4FEDF578}"/>
              </c:ext>
            </c:extLst>
          </c:dPt>
          <c:dLbls>
            <c:dLbl>
              <c:idx val="3"/>
              <c:layout>
                <c:manualLayout>
                  <c:xMode val="edge"/>
                  <c:yMode val="edge"/>
                  <c:x val="0.70489082316817742"/>
                  <c:y val="0.381074644684408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B2-4367-A587-8E6B4FEDF57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509328297912691"/>
                  <c:y val="0.375959548782604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6B2-4367-A587-8E6B4FEDF57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Input'!$B$113:$F$113</c:f>
              <c:numCache>
                <c:formatCode>_(* #,##0.0_);_(* \(#,##0.0\);_(* "-"??_);_(@_)</c:formatCode>
                <c:ptCount val="5"/>
                <c:pt idx="3">
                  <c:v>-1.6020000000000001</c:v>
                </c:pt>
                <c:pt idx="4">
                  <c:v>-1.6020000000000001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6B2-4367-A587-8E6B4FEDF5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859240"/>
        <c:axId val="1"/>
      </c:lineChart>
      <c:catAx>
        <c:axId val="19285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5649275513277169E-2"/>
              <c:y val="0.424552959849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859240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40491962189882"/>
          <c:y val="0.87723894715941086"/>
          <c:w val="0.43338981233067364"/>
          <c:h val="8.69566303306704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4974605591868158"/>
          <c:y val="3.69458572413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983208561602537E-2"/>
          <c:y val="0.13546814321811404"/>
          <c:w val="0.8641783614689752"/>
          <c:h val="0.70197128758477279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Team'!$D$85:$O$85</c:f>
              <c:numCache>
                <c:formatCode>_(* #,##0.0_);_(* \(#,##0.0\);_(* "-"??_);_(@_)</c:formatCode>
                <c:ptCount val="12"/>
                <c:pt idx="0">
                  <c:v>-0.10299999999999999</c:v>
                </c:pt>
                <c:pt idx="1">
                  <c:v>-0.186</c:v>
                </c:pt>
                <c:pt idx="2">
                  <c:v>-14.026999999999999</c:v>
                </c:pt>
                <c:pt idx="3">
                  <c:v>-1.9930000000000001</c:v>
                </c:pt>
                <c:pt idx="4">
                  <c:v>-1.925</c:v>
                </c:pt>
                <c:pt idx="5">
                  <c:v>-1.925</c:v>
                </c:pt>
                <c:pt idx="6">
                  <c:v>-1.143</c:v>
                </c:pt>
                <c:pt idx="7">
                  <c:v>-1.9219999999999999</c:v>
                </c:pt>
                <c:pt idx="8">
                  <c:v>-1.968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C-4EAC-B5DB-B03E1FB1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62848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Team'!$D$86:$L$86</c:f>
              <c:numCache>
                <c:formatCode>_(* #,##0.0_);_(* \(#,##0.0\);_(* "-"??_);_(@_)</c:formatCode>
                <c:ptCount val="9"/>
                <c:pt idx="0">
                  <c:v>-0.10299999999999999</c:v>
                </c:pt>
                <c:pt idx="1">
                  <c:v>-0.28899999999999998</c:v>
                </c:pt>
                <c:pt idx="2">
                  <c:v>-14.315999999999999</c:v>
                </c:pt>
                <c:pt idx="3">
                  <c:v>-16.308999999999997</c:v>
                </c:pt>
                <c:pt idx="4">
                  <c:v>-18.233999999999998</c:v>
                </c:pt>
                <c:pt idx="5">
                  <c:v>-20.158999999999999</c:v>
                </c:pt>
                <c:pt idx="6">
                  <c:v>-21.302</c:v>
                </c:pt>
                <c:pt idx="7">
                  <c:v>-23.224</c:v>
                </c:pt>
                <c:pt idx="8">
                  <c:v>-25.192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C-4EAC-B5DB-B03E1FB1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62848"/>
        <c:axId val="1"/>
      </c:lineChart>
      <c:catAx>
        <c:axId val="19286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884574715683355E-2"/>
              <c:y val="0.4359611154473852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8628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091710020024548"/>
          <c:y val="0.91625725958433502"/>
          <c:w val="0.78607972762305611"/>
          <c:h val="7.14286573331874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627988537879741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9294083042879"/>
          <c:y val="0.18414345246494923"/>
          <c:w val="0.76109278434699001"/>
          <c:h val="0.5984662205110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109236772441585"/>
                  <c:y val="0.544757713542141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91-492B-98C6-46C095979D5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593883813963026"/>
                  <c:y val="0.537085069689435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91-492B-98C6-46C095979D5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907882249128634"/>
                  <c:y val="0.529412425836728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91-492B-98C6-46C095979D52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3481281564367775"/>
                  <c:y val="0.39386238443891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91-492B-98C6-46C095979D5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Input'!$B$14,'volumes Input'!$G$14,'volumes Input'!$L$14,'volumes Input'!$Q$14,'volumes Input'!$V$14,'volumes Input'!$AA$14,'volumes Input'!$AF$14,'volumes Input'!$AK$14,'volumes Input'!$AP$14,'volumes Input'!$AU$14,'volumes Input'!$AZ$14,'volumes Input'!$BE$14)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772.79899999999998</c:v>
                </c:pt>
                <c:pt idx="3">
                  <c:v>787.52700000000004</c:v>
                </c:pt>
                <c:pt idx="4">
                  <c:v>795.274</c:v>
                </c:pt>
                <c:pt idx="5">
                  <c:v>580.07799999999997</c:v>
                </c:pt>
                <c:pt idx="6">
                  <c:v>690.34799999999996</c:v>
                </c:pt>
                <c:pt idx="7">
                  <c:v>508.31200000000001</c:v>
                </c:pt>
                <c:pt idx="8">
                  <c:v>1447</c:v>
                </c:pt>
                <c:pt idx="9">
                  <c:v>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91-492B-98C6-46C095979D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25897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Input'!$B$22,'volumes Input'!$G$22,'volumes Input'!$L$22,'volumes Input'!$Q$22,'volumes Input'!$V$22,'volumes Input'!$AA$22,'volumes Input'!$AF$22,'volumes Input'!$AK$22,'volumes Input'!$AP$22,'volumes Input'!$AU$22,'volumes Input'!$AZ$22,'volumes Input'!$BE$22)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91-492B-98C6-46C095979D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258976"/>
        <c:axId val="1"/>
      </c:lineChart>
      <c:catAx>
        <c:axId val="19325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665012419342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258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3617775452097987"/>
          <c:y val="0.87468139920850874"/>
          <c:w val="0.44880583471582597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481513829614743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7925258778028"/>
          <c:y val="0.14030638460067674"/>
          <c:w val="0.82828367936740388"/>
          <c:h val="0.5994909160210732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262653248234763"/>
                  <c:y val="0.35714352443808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C7-4127-95AF-3737072D57A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501717925632801"/>
                  <c:y val="0.341837373390739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C7-4127-95AF-3737072D57A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235731579026324"/>
                  <c:y val="0.39795992723101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C7-4127-95AF-3737072D57A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Input'!$D$14,'volumes Input'!$I$14,'volumes Input'!$N$14,'volumes Input'!$S$14,'volumes Input'!$X$14,'volumes Input'!$AC$14,'volumes Input'!$AH$14,'volumes Input'!$AM$14,'volumes Input'!$AR$14,'volumes Input'!$AW$14,'volumes Input'!$BB$14,'volumes Input'!$BG$14)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2211</c:v>
                </c:pt>
                <c:pt idx="3">
                  <c:v>2244</c:v>
                </c:pt>
                <c:pt idx="4">
                  <c:v>1865</c:v>
                </c:pt>
                <c:pt idx="5">
                  <c:v>1581</c:v>
                </c:pt>
                <c:pt idx="6">
                  <c:v>1925</c:v>
                </c:pt>
                <c:pt idx="7">
                  <c:v>1330</c:v>
                </c:pt>
                <c:pt idx="8">
                  <c:v>2101</c:v>
                </c:pt>
                <c:pt idx="9">
                  <c:v>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7-4127-95AF-3737072D57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25405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Input'!$D$22,'volumes Input'!$I$22,'volumes Input'!$N$22,'volumes Input'!$S$22,'volumes Input'!$X$22,'volumes Input'!$AC$22,'volumes Input'!$AH$22,'volumes Input'!$AM$22,'volumes Input'!$AR$22,'volumes Input'!$AW$22,'volumes Input'!$BB$22,'volumes Input'!$BG$22)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7-4127-95AF-3737072D57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254056"/>
        <c:axId val="1"/>
      </c:lineChart>
      <c:catAx>
        <c:axId val="19325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254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144813146945072"/>
          <c:y val="0.86989958452419569"/>
          <c:w val="0.46633044549750174"/>
          <c:h val="8.41838307604060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57679395597299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68267774993815"/>
          <c:y val="0.17391326066134091"/>
          <c:w val="0.83276519901643731"/>
          <c:h val="0.56521809714935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Input'!$E$14,'volumes Input'!$J$14,'volumes Input'!$O$14,'volumes Input'!$T$14,'volumes Input'!$Y$14,'volumes Input'!$AD$14,'volumes Input'!$AI$14,'volumes Input'!$AN$14,'volumes Input'!$AS$14,'volumes Input'!$AX$14,'volumes Input'!$BC$14,'volumes Input'!$BH$14)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B63-9008-1FE4673F8F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25077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Input'!$E$22,'volumes Input'!$J$22,'volumes Input'!$O$22,'volumes Input'!$T$22,'volumes Input'!$Y$22,'volumes Input'!$AD$22,'volumes Input'!$AI$22,'volumes Input'!$AN$22,'volumes Input'!$AS$22,'volumes Input'!$AX$22,'volumes Input'!$BC$22,'volumes Input'!$BH$22)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8-4B63-9008-1FE4673F8F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250776"/>
        <c:axId val="1"/>
      </c:lineChart>
      <c:catAx>
        <c:axId val="19325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25077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6860098972858707"/>
          <c:y val="0.90281442666843159"/>
          <c:w val="0.36177504547435396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13829607441806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02538467096474"/>
          <c:y val="0.15601042500502643"/>
          <c:w val="0.80269864073696762"/>
          <c:h val="0.6317143438728118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Input'!$C$14,'volumes Input'!$H$14,'volumes Input'!$M$14,'volumes Input'!$R$14,'volumes Input'!$W$14,'volumes Input'!$AB$14,'volumes Input'!$AG$14,'volumes Input'!$AL$14,'volumes Input'!$AQ$14,'volumes Input'!$AV$14,'volumes Input'!$BA$14,'volumes Input'!$BF$14)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B-40AF-A809-E882212C7C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257664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1534589457523726"/>
                  <c:y val="0.80051250863234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FB-40AF-A809-E882212C7C3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205762092842256"/>
                  <c:y val="0.849105919699488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FB-40AF-A809-E882212C7C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Input'!$C$22,'volumes Input'!$H$22,'volumes Input'!$M$22,'volumes Input'!$R$22,'volumes Input'!$W$22,'volumes Input'!$AB$22,'volumes Input'!$AG$22,'volumes Input'!$AL$22,'volumes Input'!$AQ$22,'volumes Input'!$AV$22,'volumes Input'!$BA$22,'volumes Input'!$BF$22)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B-40AF-A809-E882212C7C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257664"/>
        <c:axId val="1"/>
      </c:lineChart>
      <c:catAx>
        <c:axId val="1932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5.2276592148836128E-2"/>
              <c:y val="0.393862384438919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257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871857793967828"/>
          <c:y val="0.87723894715941086"/>
          <c:w val="0.43338981233067364"/>
          <c:h val="8.69566303306704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5668874706582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94782653983151"/>
          <c:y val="0.15601042500502643"/>
          <c:w val="0.72849960671926473"/>
          <c:h val="0.6163690561673994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7065814877477767"/>
                  <c:y val="0.74424645371250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B1-4C61-A4CD-AB98CE639F2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Input'!$D$23,'IS Input'!$K$23,'IS Input'!$R$23,'IS Input'!$Y$23,'IS Input'!$AF$23)</c:f>
              <c:numCache>
                <c:formatCode>_(* #,##0.0_);_(* \(#,##0.0\);_(* "-"??_);_(@_)</c:formatCode>
                <c:ptCount val="5"/>
                <c:pt idx="0">
                  <c:v>-2.1585649999999994</c:v>
                </c:pt>
                <c:pt idx="1">
                  <c:v>-5.8922720000000002</c:v>
                </c:pt>
                <c:pt idx="2">
                  <c:v>-5.7566199999999998</c:v>
                </c:pt>
                <c:pt idx="3">
                  <c:v>-5.1384280000000002</c:v>
                </c:pt>
                <c:pt idx="4">
                  <c:v>-18.945885000000001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1-4C61-A4CD-AB98CE639F2E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Input'!$G$23,'IS Input'!$N$23,'IS Input'!$U$23,'IS Input'!$AB$23,'IS Input'!$AI$23)</c:f>
              <c:numCache>
                <c:formatCode>_(* #,##0.0_);_(* \(#,##0.0\);_(* "-"??_);_(@_)</c:formatCode>
                <c:ptCount val="5"/>
                <c:pt idx="0">
                  <c:v>0.36593599999999971</c:v>
                </c:pt>
                <c:pt idx="1">
                  <c:v>2.377904</c:v>
                </c:pt>
                <c:pt idx="2">
                  <c:v>5.3767870000000002</c:v>
                </c:pt>
                <c:pt idx="3">
                  <c:v>41.380572000000001</c:v>
                </c:pt>
                <c:pt idx="4">
                  <c:v>49.501199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1-4C61-A4CD-AB98CE639F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84837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6779130615932591"/>
                  <c:y val="0.618926604118301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B1-4C61-A4CD-AB98CE639F2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8246254055032127"/>
                  <c:y val="0.537085069689435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B1-4C61-A4CD-AB98CE639F2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Input'!$B$114:$F$114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2.8639999999999999</c:v>
                </c:pt>
                <c:pt idx="4">
                  <c:v>2.8639999999999999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B1-4C61-A4CD-AB98CE639F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848376"/>
        <c:axId val="1"/>
      </c:lineChart>
      <c:catAx>
        <c:axId val="19384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7.2512692335482354E-2"/>
              <c:y val="0.41432276804613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848376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65955289301678"/>
          <c:y val="0.88491159101211714"/>
          <c:w val="0.45193957083509945"/>
          <c:h val="7.92839864779642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976191686379861E-2"/>
          <c:y val="0.18414345246494923"/>
          <c:w val="0.78498358923680578"/>
          <c:h val="0.56521809714935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238958043607049"/>
                  <c:y val="0.700768138547167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36-437C-9C67-3067EC83EC5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887439412662154"/>
                  <c:y val="0.66496246723453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36-437C-9C67-3067EC83EC5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Input'!$B$23,'IS Input'!$I$23,'IS Input'!$P$23,'IS Input'!$W$23,'IS Input'!$AD$23)</c:f>
              <c:numCache>
                <c:formatCode>_(* #,##0.0_);_(* \(#,##0.0\);_(* "-"??_);_(@_)</c:formatCode>
                <c:ptCount val="5"/>
                <c:pt idx="0">
                  <c:v>1.679991</c:v>
                </c:pt>
                <c:pt idx="1">
                  <c:v>0.76521499999999998</c:v>
                </c:pt>
                <c:pt idx="2">
                  <c:v>1.5743530000000001</c:v>
                </c:pt>
                <c:pt idx="3">
                  <c:v>2.3210000000000002</c:v>
                </c:pt>
                <c:pt idx="4">
                  <c:v>6.3405590000000007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6-437C-9C67-3067EC83EC53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Input'!$E$23,'IS Input'!$L$23,'IS Input'!$S$23,'IS Input'!$Z$23,'IS Input'!$AG$23)</c:f>
              <c:numCache>
                <c:formatCode>_(* #,##0.0_);_(* \(#,##0.0\);_(* "-"??_);_(@_)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44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36-437C-9C67-3067EC83EC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85132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55636361818375"/>
                  <c:y val="0.636829439774615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36-437C-9C67-3067EC83EC5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597332615631518"/>
                  <c:y val="0.60358131641288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36-437C-9C67-3067EC83EC5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Input'!$B$78:$F$78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5.4889999999999999</c:v>
                </c:pt>
                <c:pt idx="4">
                  <c:v>5.4889999999999999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36-437C-9C67-3067EC83EC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851328"/>
        <c:axId val="1"/>
      </c:lineChart>
      <c:catAx>
        <c:axId val="1938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19437863947939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851328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791831197864896"/>
          <c:y val="0.87468139920850874"/>
          <c:w val="0.45221880684294247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68551031780928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6051051263742"/>
          <c:y val="0.16953347461922694"/>
          <c:w val="0.77986413104613095"/>
          <c:h val="0.641278795298814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72184360488514976"/>
                  <c:y val="0.28255579103204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251-494F-B319-99004F00536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Input'!$AL$26,'IS Input'!$AN$26,'IS Input'!$AP$26,'IS Input'!$AR$26,'IS Input'!$AT$26,'IS Input'!$AV$26,'IS Input'!$AX$26,'IS Input'!$AZ$26,'IS Input'!$BB$26,'IS Input'!$BD$26,'IS Input'!$BF$26,'IS Input'!$BH$26)</c:f>
              <c:numCache>
                <c:formatCode>General</c:formatCode>
                <c:ptCount val="12"/>
                <c:pt idx="0">
                  <c:v>33</c:v>
                </c:pt>
                <c:pt idx="1">
                  <c:v>32</c:v>
                </c:pt>
                <c:pt idx="2">
                  <c:v>33.5</c:v>
                </c:pt>
                <c:pt idx="3">
                  <c:v>34.5</c:v>
                </c:pt>
                <c:pt idx="4">
                  <c:v>37</c:v>
                </c:pt>
                <c:pt idx="5">
                  <c:v>33</c:v>
                </c:pt>
                <c:pt idx="6">
                  <c:v>35</c:v>
                </c:pt>
                <c:pt idx="7">
                  <c:v>36</c:v>
                </c:pt>
                <c:pt idx="8">
                  <c:v>34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1-494F-B319-99004F0053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854936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251-494F-B319-99004F005368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251-494F-B319-99004F005368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251-494F-B319-99004F00536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Input'!$AM$26,'IS Input'!$AO$26,'IS Input'!$AQ$26,'IS Input'!$AS$26,'IS Input'!$AU$26,'IS Input'!$AW$26,'IS Input'!$AY$26,'IS Input'!$BA$26,'IS Input'!$BC$26,'IS Input'!$BE$26,'IS Input'!$BG$26,'IS Input'!$BI$26)</c:f>
              <c:numCache>
                <c:formatCode>General</c:formatCode>
                <c:ptCount val="1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51-494F-B319-99004F0053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854936"/>
        <c:axId val="1"/>
      </c:lineChart>
      <c:catAx>
        <c:axId val="19385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2423235207607197E-2"/>
              <c:y val="0.447175251894192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85493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764532420318854"/>
          <c:y val="0.90417853130254344"/>
          <c:w val="0.34641667090232953"/>
          <c:h val="7.1253199477646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4915340924608362"/>
          <c:y val="3.6764793880193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830731505060352E-2"/>
          <c:y val="0.13480424422737683"/>
          <c:w val="0.86440892580341089"/>
          <c:h val="0.70098206998235957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Team'!$D$94:$O$94</c:f>
              <c:numCache>
                <c:formatCode>_(* #,##0.0_);_(* \(#,##0.0\);_(* "-"??_);_(@_)</c:formatCode>
                <c:ptCount val="12"/>
                <c:pt idx="0">
                  <c:v>0.129</c:v>
                </c:pt>
                <c:pt idx="1">
                  <c:v>-24.236000000000001</c:v>
                </c:pt>
                <c:pt idx="2">
                  <c:v>11.356999999999999</c:v>
                </c:pt>
                <c:pt idx="3">
                  <c:v>-1.88</c:v>
                </c:pt>
                <c:pt idx="4">
                  <c:v>-11.257</c:v>
                </c:pt>
                <c:pt idx="5">
                  <c:v>6.45</c:v>
                </c:pt>
                <c:pt idx="6">
                  <c:v>-0.56699999999999995</c:v>
                </c:pt>
                <c:pt idx="7">
                  <c:v>-15.481</c:v>
                </c:pt>
                <c:pt idx="8">
                  <c:v>14.911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2-445D-A71A-75B8D3E9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48048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Team'!$D$95:$L$95</c:f>
              <c:numCache>
                <c:formatCode>_(* #,##0.0_);_(* \(#,##0.0\);_(* "-"??_);_(@_)</c:formatCode>
                <c:ptCount val="9"/>
                <c:pt idx="0">
                  <c:v>0.129</c:v>
                </c:pt>
                <c:pt idx="1">
                  <c:v>-24.106999999999999</c:v>
                </c:pt>
                <c:pt idx="2">
                  <c:v>-12.75</c:v>
                </c:pt>
                <c:pt idx="3">
                  <c:v>-14.629999999999999</c:v>
                </c:pt>
                <c:pt idx="4">
                  <c:v>-25.887</c:v>
                </c:pt>
                <c:pt idx="5">
                  <c:v>-19.437000000000001</c:v>
                </c:pt>
                <c:pt idx="6">
                  <c:v>-20.004000000000001</c:v>
                </c:pt>
                <c:pt idx="7">
                  <c:v>-35.484999999999999</c:v>
                </c:pt>
                <c:pt idx="8">
                  <c:v>-20.573999999999998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2-445D-A71A-75B8D3E9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48048"/>
        <c:axId val="1"/>
      </c:lineChart>
      <c:catAx>
        <c:axId val="19384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864436236517405E-2"/>
              <c:y val="0.43627555404496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8480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237323483820888"/>
          <c:y val="0.91666886074616249"/>
          <c:w val="0.7847477110725084"/>
          <c:h val="7.10786015017077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Employed / Annualized ROIC </a:t>
            </a:r>
          </a:p>
        </c:rich>
      </c:tx>
      <c:layout>
        <c:manualLayout>
          <c:xMode val="edge"/>
          <c:yMode val="edge"/>
          <c:x val="0.13275881627822644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34499015333106"/>
          <c:y val="0.13520433425156123"/>
          <c:w val="0.79310461672706711"/>
          <c:h val="0.69642987265426815"/>
        </c:manualLayout>
      </c:layout>
      <c:barChart>
        <c:barDir val="col"/>
        <c:grouping val="stacked"/>
        <c:varyColors val="0"/>
        <c:ser>
          <c:idx val="0"/>
          <c:order val="0"/>
          <c:tx>
            <c:v>Capital Employed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Employed'!$D$25:$O$25</c:f>
              <c:numCache>
                <c:formatCode>_(* #,##0.0_);_(* \(#,##0.0\);_(* "-"??_);_(@_)</c:formatCode>
                <c:ptCount val="12"/>
                <c:pt idx="0">
                  <c:v>1133.5650000000001</c:v>
                </c:pt>
                <c:pt idx="1">
                  <c:v>687.76099999999997</c:v>
                </c:pt>
                <c:pt idx="2">
                  <c:v>985.12900000000002</c:v>
                </c:pt>
                <c:pt idx="3">
                  <c:v>1094.5</c:v>
                </c:pt>
                <c:pt idx="4">
                  <c:v>1180.6957379999999</c:v>
                </c:pt>
                <c:pt idx="5">
                  <c:v>1251</c:v>
                </c:pt>
                <c:pt idx="6">
                  <c:v>1094.2529999999999</c:v>
                </c:pt>
                <c:pt idx="7">
                  <c:v>1116.799</c:v>
                </c:pt>
                <c:pt idx="8">
                  <c:v>1113.4469999999999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0-4C33-BDB6-4147351FD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578600"/>
        <c:axId val="1"/>
      </c:barChart>
      <c:lineChart>
        <c:grouping val="standard"/>
        <c:varyColors val="0"/>
        <c:ser>
          <c:idx val="3"/>
          <c:order val="1"/>
          <c:tx>
            <c:v>Annualized ROIC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Employed'!$D$34:$O$34</c:f>
              <c:numCache>
                <c:formatCode>0.00%</c:formatCode>
                <c:ptCount val="12"/>
                <c:pt idx="0">
                  <c:v>2.0266631997022267E-2</c:v>
                </c:pt>
                <c:pt idx="1">
                  <c:v>2.0266631997022267E-2</c:v>
                </c:pt>
                <c:pt idx="2">
                  <c:v>2.0266631997022267E-2</c:v>
                </c:pt>
                <c:pt idx="3">
                  <c:v>2.0266631997022267E-2</c:v>
                </c:pt>
                <c:pt idx="4">
                  <c:v>2.0266631997022267E-2</c:v>
                </c:pt>
                <c:pt idx="5">
                  <c:v>2.0266631997022267E-2</c:v>
                </c:pt>
                <c:pt idx="6">
                  <c:v>2.0266631997022267E-2</c:v>
                </c:pt>
                <c:pt idx="7">
                  <c:v>2.0266631997022267E-2</c:v>
                </c:pt>
                <c:pt idx="8">
                  <c:v>2.0266631997022267E-2</c:v>
                </c:pt>
                <c:pt idx="9">
                  <c:v>2.0266631997022267E-2</c:v>
                </c:pt>
                <c:pt idx="10">
                  <c:v>2.0266631997022267E-2</c:v>
                </c:pt>
                <c:pt idx="11">
                  <c:v>2.0266631997022267E-2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0-4C33-BDB6-4147351FD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157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2068983298020586E-2"/>
              <c:y val="0.431123254500261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57860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344842826874788"/>
          <c:y val="0.9056139369680043"/>
          <c:w val="0.80517360002508764"/>
          <c:h val="7.90817804112905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50247432146767E-2"/>
          <c:y val="0.16112552090683058"/>
          <c:w val="0.8566560039062534"/>
          <c:h val="0.6163690561673994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C90-4ED8-8836-E54B49AA24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Input'!$B$25,'IS Input'!$I$25,'IS Input'!$P$25,'IS Input'!$W$25,'IS Input'!$AD$25)</c:f>
              <c:numCache>
                <c:formatCode>_(* #,##0.0_);_(* \(#,##0.0\);_(* "-"??_);_(@_)</c:formatCode>
                <c:ptCount val="5"/>
                <c:pt idx="2">
                  <c:v>8.4899999999999993E-4</c:v>
                </c:pt>
                <c:pt idx="3">
                  <c:v>1.4759999999999999E-3</c:v>
                </c:pt>
                <c:pt idx="4">
                  <c:v>2.3249999999999998E-3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0-4ED8-8836-E54B49AA24FA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283334180465905"/>
                  <c:y val="0.4424557955060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90-4ED8-8836-E54B49AA24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Input'!$E$25,'IS Input'!$L$25,'IS Input'!$S$25,'IS Input'!$Z$25,'IS Input'!$AG$25)</c:f>
              <c:numCache>
                <c:formatCode>_(* #,##0.0_);_(* \(#,##0.0\);_(* "-"??_);_(@_)</c:formatCode>
                <c:ptCount val="5"/>
                <c:pt idx="2">
                  <c:v>3.75</c:v>
                </c:pt>
                <c:pt idx="3">
                  <c:v>3.75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90-4ED8-8836-E54B49AA24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861824"/>
        <c:axId val="1"/>
      </c:barChart>
      <c:catAx>
        <c:axId val="1938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5358374572024464E-2"/>
              <c:y val="0.421995411898841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86182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085345134306619"/>
          <c:y val="0.86956630330670459"/>
          <c:w val="0.46587069535140863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6674926086055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6699657619571"/>
          <c:y val="0.12713974376499396"/>
          <c:w val="0.77815764498257267"/>
          <c:h val="0.694378600562659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75780146601153"/>
                  <c:y val="0.79217840345880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9D-448E-B0A0-89E39030399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501724400834249"/>
                  <c:y val="0.7946233985312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9D-448E-B0A0-89E39030399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815722835999862"/>
                  <c:y val="0.78728841331400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9D-448E-B0A0-89E39030399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Input'!$AL$25,'IS Input'!$AN$25,'IS Input'!$AP$25,'IS Input'!$AR$25,'IS Input'!$AT$25,'IS Input'!$AV$25,'IS Input'!$AX$25,'IS Input'!$AZ$25,'IS Input'!$BB$25,'IS Input'!$BD$25,'IS Input'!$BF$25,'IS Input'!$BH$25)</c:f>
              <c:numCache>
                <c:formatCode>General</c:formatCode>
                <c:ptCount val="12"/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9D-448E-B0A0-89E3903039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861168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49D-448E-B0A0-89E390303995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49D-448E-B0A0-89E39030399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Input'!$AM$25,'IS Input'!$AO$25,'IS Input'!$AQ$25,'IS Input'!$AS$25,'IS Input'!$AU$25,'IS Input'!$AW$25,'IS Input'!$AY$25,'IS Input'!$BA$25,'IS Input'!$BC$25,'IS Input'!$BE$25,'IS Input'!$BG$25,'IS Input'!$BI$25)</c:f>
              <c:numCache>
                <c:formatCode>General</c:formatCode>
                <c:ptCount val="12"/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9D-448E-B0A0-89E3903039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861168"/>
        <c:axId val="1"/>
      </c:lineChart>
      <c:catAx>
        <c:axId val="19386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0477832762699284E-2"/>
              <c:y val="0.427874137670652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861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8566585036416978"/>
          <c:y val="0.90709317186178362"/>
          <c:w val="0.31228694963116405"/>
          <c:h val="7.0904857099708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5668874706582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977644650839"/>
          <c:y val="0.15601042500502643"/>
          <c:w val="0.79089424896142391"/>
          <c:h val="0.621484152069203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956205755917266"/>
                  <c:y val="0.670077563136342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09-4B8B-82E8-95A05DB7D12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Input'!$D$25,'IS Input'!$K$25,'IS Input'!$R$25,'IS Input'!$Y$25,'IS Input'!$AF$25)</c:f>
              <c:numCache>
                <c:formatCode>_(* #,##0.0_);_(* \(#,##0.0\);_(* "-"??_);_(@_)</c:formatCode>
                <c:ptCount val="5"/>
                <c:pt idx="2">
                  <c:v>-2.53091</c:v>
                </c:pt>
                <c:pt idx="3">
                  <c:v>-3.3649019999999998</c:v>
                </c:pt>
                <c:pt idx="4">
                  <c:v>-5.8958119999999994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9-4B8B-82E8-95A05DB7D12A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Input'!$G$25,'IS Input'!$N$25,'IS Input'!$U$25,'IS Input'!$AB$25,'IS Input'!$AI$25)</c:f>
              <c:numCache>
                <c:formatCode>_(* #,##0.0_);_(* \(#,##0.0\);_(* "-"??_);_(@_)</c:formatCode>
                <c:ptCount val="5"/>
                <c:pt idx="2">
                  <c:v>0.38362199999999985</c:v>
                </c:pt>
                <c:pt idx="3">
                  <c:v>0.38362199999999985</c:v>
                </c:pt>
                <c:pt idx="4">
                  <c:v>0.7672439999999997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09-4B8B-82E8-95A05DB7D1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85887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2B09-4B8B-82E8-95A05DB7D12A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2B09-4B8B-82E8-95A05DB7D12A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2B09-4B8B-82E8-95A05DB7D12A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2B09-4B8B-82E8-95A05DB7D12A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2B09-4B8B-82E8-95A05DB7D12A}"/>
              </c:ext>
            </c:extLst>
          </c:dPt>
          <c:dLbls>
            <c:delete val="1"/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09-4B8B-82E8-95A05DB7D1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858872"/>
        <c:axId val="1"/>
      </c:lineChart>
      <c:catAx>
        <c:axId val="19385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7.2512692335482354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85887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83662803300145"/>
          <c:y val="0.86700875535580246"/>
          <c:w val="0.48398006279728928"/>
          <c:h val="9.2071726232474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02548199323427"/>
          <c:y val="3.6674926086055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59929302288693"/>
          <c:y val="0.21760456144393198"/>
          <c:w val="0.87648307596595898"/>
          <c:h val="0.69193360549025562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Team'!$D$103:$O$103</c:f>
              <c:numCache>
                <c:formatCode>_(* #,##0.0_);_(* \(#,##0.0\);_(* "-"??_);_(@_)</c:formatCode>
                <c:ptCount val="12"/>
                <c:pt idx="6">
                  <c:v>-1.573</c:v>
                </c:pt>
                <c:pt idx="7">
                  <c:v>-0.99</c:v>
                </c:pt>
                <c:pt idx="8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A-437A-8530-1677B165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56576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Team'!$D$104:$L$104</c:f>
              <c:numCache>
                <c:formatCode>_(* #,##0.0_);_(* \(#,##0.0\);_(* "-"??_);_(@_)</c:formatCode>
                <c:ptCount val="9"/>
                <c:pt idx="6">
                  <c:v>-1.573</c:v>
                </c:pt>
                <c:pt idx="7">
                  <c:v>-2.5629999999999997</c:v>
                </c:pt>
                <c:pt idx="8">
                  <c:v>-2.4379999999999997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A-437A-8530-1677B165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56576"/>
        <c:axId val="1"/>
      </c:lineChart>
      <c:catAx>
        <c:axId val="1938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3688731782863761E-2"/>
              <c:y val="0.5134489652047832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8565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0562338865689"/>
          <c:y val="0.91687315215139864"/>
          <c:w val="0.78342020110470867"/>
          <c:h val="7.0904857099708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737275305030228E-2"/>
          <c:y val="0.18414345246494923"/>
          <c:w val="0.79010304742748072"/>
          <c:h val="0.5601030012475539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5597332615631518"/>
                  <c:y val="0.57033319305116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4B-4957-8EBE-CDF5D7F4565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B-4957-8EBE-CDF5D7F45655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4B-4957-8EBE-CDF5D7F456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40902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385715011827922"/>
                  <c:y val="0.675192659038147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4B-4957-8EBE-CDF5D7F4565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914738190208197"/>
                  <c:y val="0.68030775493995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4B-4957-8EBE-CDF5D7F4565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Input'!$B$80:$F$80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0.13200000000000001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4B-4957-8EBE-CDF5D7F456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09024"/>
        <c:axId val="1"/>
      </c:lineChart>
      <c:catAx>
        <c:axId val="1944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409024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331075794478419"/>
          <c:y val="0.84654837174858599"/>
          <c:w val="0.50682636087680732"/>
          <c:h val="8.69566303306704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1020480090292"/>
          <c:y val="0.19132688809183193"/>
          <c:w val="0.85185272715428129"/>
          <c:h val="0.5739806642754957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1-48B1-AFED-433E9D9901EA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7205476811446192"/>
                  <c:y val="0.53826631183168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01-48B1-AFED-433E9D9901E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01-48B1-AFED-433E9D9901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41000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8855289605948822"/>
                  <c:y val="0.489796833515089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01-48B1-AFED-433E9D9901E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542177494115858"/>
                  <c:y val="0.52296016078434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01-48B1-AFED-433E9D9901E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Input'!$B$98:$F$98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1.3440000000000001</c:v>
                </c:pt>
                <c:pt idx="4">
                  <c:v>1.3440000000000001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01-48B1-AFED-433E9D9901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10008"/>
        <c:axId val="1"/>
      </c:lineChart>
      <c:catAx>
        <c:axId val="19441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525255120022573E-2"/>
              <c:y val="0.431123254500261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410008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3471109893604"/>
          <c:y val="0.86479753417508021"/>
          <c:w val="0.47138095573754696"/>
          <c:h val="8.41838307604060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6699657619571"/>
          <c:y val="0.13043494549600571"/>
          <c:w val="0.79351601955459716"/>
          <c:h val="0.64194453567642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51023933300392377"/>
                  <c:y val="0.69309549469446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B0-4025-BB99-0567EC43B0F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77832762699283"/>
                  <c:y val="0.199488740170361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B0-4025-BB99-0567EC43B0F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03777016932379"/>
                  <c:y val="0.199488740170361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B0-4025-BB99-0567EC43B0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B0-4025-BB99-0567EC43B0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406728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49658744449545755"/>
                  <c:y val="0.66496246723453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B0-4025-BB99-0567EC43B0F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77832762699283"/>
                  <c:y val="0.120204753692397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B0-4025-BB99-0567EC43B0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B0-4025-BB99-0567EC43B0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06728"/>
        <c:axId val="1"/>
      </c:lineChart>
      <c:catAx>
        <c:axId val="19440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4129721271165474E-2"/>
              <c:y val="0.40665012419342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406728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252586601251365"/>
          <c:y val="0.90537197461933361"/>
          <c:w val="0.27303777016932379"/>
          <c:h val="6.64962467234538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9178082191780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95890410958905"/>
          <c:y val="0.15601042500502643"/>
          <c:w val="0.73287671232876717"/>
          <c:h val="0.6189266041183014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F-46A7-9BFF-548EE67CF065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849315068493145"/>
                  <c:y val="0.5652180971493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4F-46A7-9BFF-548EE67CF06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F-46A7-9BFF-548EE67CF0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40541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123287671232879"/>
                  <c:y val="0.71867097420348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4F-46A7-9BFF-548EE67CF06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986301369863006"/>
                  <c:y val="0.741688905761601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4F-46A7-9BFF-548EE67CF06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Input'!$B$116:$F$116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-1.871</c:v>
                </c:pt>
                <c:pt idx="4">
                  <c:v>-1.871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4F-46A7-9BFF-548EE67CF0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05416"/>
        <c:axId val="1"/>
      </c:lineChart>
      <c:catAx>
        <c:axId val="19440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7.1917808219178078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405416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849315068493156"/>
          <c:y val="0.86445120740490045"/>
          <c:w val="0.45890410958904115"/>
          <c:h val="9.2071726232474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Funds Flow</a:t>
            </a:r>
          </a:p>
        </c:rich>
      </c:tx>
      <c:layout>
        <c:manualLayout>
          <c:xMode val="edge"/>
          <c:yMode val="edge"/>
          <c:x val="0.37693702945850049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28071728735299E-2"/>
          <c:y val="0.13533855289247423"/>
          <c:w val="0.85542330429623181"/>
          <c:h val="0.69924918994445029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Employed'!$D$10:$O$10</c:f>
              <c:numCache>
                <c:formatCode>_(* #,##0.0_);_(* \(#,##0.0\);_(* "-"??_);_(@_)</c:formatCode>
                <c:ptCount val="12"/>
                <c:pt idx="0">
                  <c:v>-149.726</c:v>
                </c:pt>
                <c:pt idx="1">
                  <c:v>5.8590000000000089</c:v>
                </c:pt>
                <c:pt idx="2">
                  <c:v>-9.8000000000000007</c:v>
                </c:pt>
                <c:pt idx="3">
                  <c:v>4.0090000000000146</c:v>
                </c:pt>
                <c:pt idx="4">
                  <c:v>-70.400000000000006</c:v>
                </c:pt>
                <c:pt idx="5">
                  <c:v>-61.3</c:v>
                </c:pt>
                <c:pt idx="6">
                  <c:v>-82.9</c:v>
                </c:pt>
                <c:pt idx="7">
                  <c:v>19.04200000000003</c:v>
                </c:pt>
                <c:pt idx="8">
                  <c:v>84.108000000000004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3-42DC-A8B3-204CEDF1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53184"/>
        <c:axId val="1"/>
      </c:barChart>
      <c:lineChart>
        <c:grouping val="standar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Employed'!$D$13:$O$13</c:f>
              <c:numCache>
                <c:formatCode>_(* #,##0.0_);_(* \(#,##0.0\);_(* "-"??_);_(@_)</c:formatCode>
                <c:ptCount val="12"/>
                <c:pt idx="0">
                  <c:v>0.7</c:v>
                </c:pt>
                <c:pt idx="1">
                  <c:v>1.2999999999999998</c:v>
                </c:pt>
                <c:pt idx="2">
                  <c:v>10.7</c:v>
                </c:pt>
                <c:pt idx="3">
                  <c:v>23.6</c:v>
                </c:pt>
                <c:pt idx="4">
                  <c:v>23.3</c:v>
                </c:pt>
                <c:pt idx="5">
                  <c:v>31.700000000000003</c:v>
                </c:pt>
                <c:pt idx="6">
                  <c:v>32.800000000000004</c:v>
                </c:pt>
                <c:pt idx="7">
                  <c:v>33.800000000000004</c:v>
                </c:pt>
                <c:pt idx="8">
                  <c:v>51.100000000000009</c:v>
                </c:pt>
                <c:pt idx="9">
                  <c:v>67.400000000000006</c:v>
                </c:pt>
                <c:pt idx="10">
                  <c:v>71.800000000000011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3-42DC-A8B3-204CEDF1642D}"/>
            </c:ext>
          </c:extLst>
        </c:ser>
        <c:ser>
          <c:idx val="2"/>
          <c:order val="2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'Funds Flow-Cap Employed'!$D$11:$L$11</c:f>
              <c:numCache>
                <c:formatCode>_(* #,##0.0_);_(* \(#,##0.0\);_(* "-"??_);_(@_)</c:formatCode>
                <c:ptCount val="9"/>
                <c:pt idx="0">
                  <c:v>-149.726</c:v>
                </c:pt>
                <c:pt idx="1">
                  <c:v>-143.86699999999999</c:v>
                </c:pt>
                <c:pt idx="2">
                  <c:v>-153.667</c:v>
                </c:pt>
                <c:pt idx="3">
                  <c:v>-149.65799999999999</c:v>
                </c:pt>
                <c:pt idx="4">
                  <c:v>-220.1</c:v>
                </c:pt>
                <c:pt idx="5">
                  <c:v>-281.39999999999998</c:v>
                </c:pt>
                <c:pt idx="6">
                  <c:v>-364.3</c:v>
                </c:pt>
                <c:pt idx="7">
                  <c:v>-345.25799999999998</c:v>
                </c:pt>
                <c:pt idx="8">
                  <c:v>-261.14999999999998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3-42DC-A8B3-204CEDF1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53184"/>
        <c:axId val="1"/>
      </c:lineChart>
      <c:catAx>
        <c:axId val="1921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2048215553468055E-2"/>
              <c:y val="0.433584623155519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1531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69389203963492"/>
          <c:y val="0.91478836677320552"/>
          <c:w val="0.7969034001793871"/>
          <c:h val="7.26818154422546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051627261845408"/>
          <c:y val="3.79748243726180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56587313089892E-2"/>
          <c:y val="0.13670936774142506"/>
          <c:w val="0.85395386025182196"/>
          <c:h val="0.69620511349799807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Employed'!$D$40:$O$40</c:f>
              <c:numCache>
                <c:formatCode>General</c:formatCode>
                <c:ptCount val="12"/>
                <c:pt idx="0">
                  <c:v>4.6000000000000227</c:v>
                </c:pt>
                <c:pt idx="1">
                  <c:v>-111.7</c:v>
                </c:pt>
                <c:pt idx="2">
                  <c:v>-51.199999999999989</c:v>
                </c:pt>
                <c:pt idx="3">
                  <c:v>-48.2</c:v>
                </c:pt>
                <c:pt idx="4">
                  <c:v>-113.3</c:v>
                </c:pt>
                <c:pt idx="5">
                  <c:v>11.5</c:v>
                </c:pt>
                <c:pt idx="6">
                  <c:v>104.3</c:v>
                </c:pt>
                <c:pt idx="7">
                  <c:v>-49.5</c:v>
                </c:pt>
                <c:pt idx="8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2-4316-B302-EE44D1880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51216"/>
        <c:axId val="1"/>
      </c:barChart>
      <c:lineChart>
        <c:grouping val="standar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Employed'!$D$43:$O$43</c:f>
              <c:numCache>
                <c:formatCode>General</c:formatCode>
                <c:ptCount val="12"/>
                <c:pt idx="0">
                  <c:v>0.5</c:v>
                </c:pt>
                <c:pt idx="1">
                  <c:v>-12.2</c:v>
                </c:pt>
                <c:pt idx="2">
                  <c:v>-32.299999999999997</c:v>
                </c:pt>
                <c:pt idx="3">
                  <c:v>-21.599999999999998</c:v>
                </c:pt>
                <c:pt idx="4">
                  <c:v>-22.2</c:v>
                </c:pt>
                <c:pt idx="5">
                  <c:v>-11.399999999999999</c:v>
                </c:pt>
                <c:pt idx="6">
                  <c:v>-10.7</c:v>
                </c:pt>
                <c:pt idx="7">
                  <c:v>-10</c:v>
                </c:pt>
                <c:pt idx="8">
                  <c:v>1.0999999999999996</c:v>
                </c:pt>
                <c:pt idx="9">
                  <c:v>17</c:v>
                </c:pt>
                <c:pt idx="10">
                  <c:v>21</c:v>
                </c:pt>
                <c:pt idx="11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2-4316-B302-EE44D18803B7}"/>
            </c:ext>
          </c:extLst>
        </c:ser>
        <c:ser>
          <c:idx val="2"/>
          <c:order val="2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'Funds Flow-Cap Employed'!$D$41:$L$41</c:f>
              <c:numCache>
                <c:formatCode>General</c:formatCode>
                <c:ptCount val="9"/>
                <c:pt idx="0">
                  <c:v>4.6000000000000227</c:v>
                </c:pt>
                <c:pt idx="1">
                  <c:v>-107.09999999999998</c:v>
                </c:pt>
                <c:pt idx="2">
                  <c:v>-158.29999999999995</c:v>
                </c:pt>
                <c:pt idx="3">
                  <c:v>-206.49999999999994</c:v>
                </c:pt>
                <c:pt idx="4">
                  <c:v>-319.79999999999995</c:v>
                </c:pt>
                <c:pt idx="5">
                  <c:v>-308.29999999999995</c:v>
                </c:pt>
                <c:pt idx="6">
                  <c:v>-203.99999999999994</c:v>
                </c:pt>
                <c:pt idx="7">
                  <c:v>-253.49999999999994</c:v>
                </c:pt>
                <c:pt idx="8">
                  <c:v>-240.99999999999994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2-4316-B302-EE44D1880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51216"/>
        <c:axId val="1"/>
      </c:lineChart>
      <c:catAx>
        <c:axId val="19215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2027519158476368E-2"/>
              <c:y val="0.432912997847846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1512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45736181115847"/>
          <c:y val="0.91392743990100833"/>
          <c:w val="0.79553448148207973"/>
          <c:h val="7.34179937870615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8645476687051"/>
          <c:y val="0.15345287705412436"/>
          <c:w val="0.81058088019017993"/>
          <c:h val="0.6342718918237140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3651930170723603"/>
                  <c:y val="0.772379481172425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35-4105-9246-6674C11E933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692899168171372"/>
                  <c:y val="0.544757713542141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35-4105-9246-6674C11E93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Input'!$B$3,'IS Input'!$I$3,'IS Input'!$P$3,'IS Input'!$W$3,'IS Input'!$AD$3)</c:f>
              <c:numCache>
                <c:formatCode>_(* #,##0.0_);_(* \(#,##0.0\);_(* "-"??_);_(@_)</c:formatCode>
                <c:ptCount val="5"/>
                <c:pt idx="0">
                  <c:v>61.971161000000002</c:v>
                </c:pt>
                <c:pt idx="1">
                  <c:v>32.796824999999998</c:v>
                </c:pt>
                <c:pt idx="2">
                  <c:v>-16.135788999999999</c:v>
                </c:pt>
                <c:pt idx="3">
                  <c:v>-51.497475999999999</c:v>
                </c:pt>
                <c:pt idx="4">
                  <c:v>27.134721000000006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5-4105-9246-6674C11E9336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Input'!$E$3,'IS Input'!$L$3,'IS Input'!$S$3,'IS Input'!$Z$3,'IS Input'!$AG$3)</c:f>
              <c:numCache>
                <c:formatCode>_(* #,##0.0_);_(* \(#,##0.0\);_(* "-"??_);_(@_)</c:formatCode>
                <c:ptCount val="5"/>
                <c:pt idx="0">
                  <c:v>40</c:v>
                </c:pt>
                <c:pt idx="1">
                  <c:v>32.5</c:v>
                </c:pt>
                <c:pt idx="2">
                  <c:v>32.5</c:v>
                </c:pt>
                <c:pt idx="3">
                  <c:v>45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35-4105-9246-6674C11E93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68583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624589730920144"/>
                  <c:y val="0.59079357665837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935-4105-9246-6674C11E933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860098972858707"/>
                  <c:y val="0.57289074100206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35-4105-9246-6674C11E933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778202640220575"/>
                  <c:y val="0.65984737133273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35-4105-9246-6674C11E933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61440997494431"/>
                  <c:y val="0.4322256037024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35-4105-9246-6674C11E93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Input'!$B$71:$F$71</c:f>
              <c:numCache>
                <c:formatCode>_(* #,##0.0_);_(* \(#,##0.0\);_(* "-"??_);_(@_)</c:formatCode>
                <c:ptCount val="5"/>
                <c:pt idx="0">
                  <c:v>27.4</c:v>
                </c:pt>
                <c:pt idx="1">
                  <c:v>14.5</c:v>
                </c:pt>
                <c:pt idx="2">
                  <c:v>-2.9089999999999998</c:v>
                </c:pt>
                <c:pt idx="3">
                  <c:v>16.411999999999999</c:v>
                </c:pt>
                <c:pt idx="4">
                  <c:v>55.402999999999999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35-4105-9246-6674C11E93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685832"/>
        <c:axId val="1"/>
      </c:lineChart>
      <c:catAx>
        <c:axId val="18168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24552959849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685832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672373007190074"/>
          <c:y val="0.87212385125760661"/>
          <c:w val="0.6313998435165612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4" Type="http://schemas.openxmlformats.org/officeDocument/2006/relationships/chart" Target="../charts/chart51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chart" Target="../charts/chart55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4" Type="http://schemas.openxmlformats.org/officeDocument/2006/relationships/chart" Target="../charts/chart59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38100</xdr:rowOff>
    </xdr:from>
    <xdr:to>
      <xdr:col>15</xdr:col>
      <xdr:colOff>7620</xdr:colOff>
      <xdr:row>22</xdr:row>
      <xdr:rowOff>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38100</xdr:rowOff>
    </xdr:from>
    <xdr:to>
      <xdr:col>7</xdr:col>
      <xdr:colOff>259080</xdr:colOff>
      <xdr:row>41</xdr:row>
      <xdr:rowOff>7620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22860</xdr:rowOff>
    </xdr:from>
    <xdr:to>
      <xdr:col>7</xdr:col>
      <xdr:colOff>259080</xdr:colOff>
      <xdr:row>21</xdr:row>
      <xdr:rowOff>144780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1269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1270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449580</xdr:colOff>
      <xdr:row>23</xdr:row>
      <xdr:rowOff>45720</xdr:rowOff>
    </xdr:from>
    <xdr:to>
      <xdr:col>15</xdr:col>
      <xdr:colOff>99060</xdr:colOff>
      <xdr:row>41</xdr:row>
      <xdr:rowOff>22860</xdr:rowOff>
    </xdr:to>
    <xdr:graphicFrame macro="">
      <xdr:nvGraphicFramePr>
        <xdr:cNvPr id="1129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0</xdr:colOff>
      <xdr:row>16</xdr:row>
      <xdr:rowOff>137160</xdr:rowOff>
    </xdr:from>
    <xdr:ext cx="281940" cy="289560"/>
    <xdr:sp macro="" textlink="">
      <xdr:nvSpPr>
        <xdr:cNvPr id="11293" name="Text Box 29"/>
        <xdr:cNvSpPr txBox="1">
          <a:spLocks noChangeArrowheads="1"/>
        </xdr:cNvSpPr>
      </xdr:nvSpPr>
      <xdr:spPr bwMode="auto">
        <a:xfrm>
          <a:off x="7924800" y="3063240"/>
          <a:ext cx="281940" cy="289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144780</xdr:rowOff>
    </xdr:from>
    <xdr:to>
      <xdr:col>7</xdr:col>
      <xdr:colOff>198120</xdr:colOff>
      <xdr:row>22</xdr:row>
      <xdr:rowOff>106680</xdr:rowOff>
    </xdr:to>
    <xdr:graphicFrame macro="">
      <xdr:nvGraphicFramePr>
        <xdr:cNvPr id="345089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60960</xdr:rowOff>
    </xdr:from>
    <xdr:to>
      <xdr:col>7</xdr:col>
      <xdr:colOff>259080</xdr:colOff>
      <xdr:row>42</xdr:row>
      <xdr:rowOff>30480</xdr:rowOff>
    </xdr:to>
    <xdr:graphicFrame macro="">
      <xdr:nvGraphicFramePr>
        <xdr:cNvPr id="345090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24</xdr:row>
      <xdr:rowOff>60960</xdr:rowOff>
    </xdr:from>
    <xdr:to>
      <xdr:col>14</xdr:col>
      <xdr:colOff>563880</xdr:colOff>
      <xdr:row>42</xdr:row>
      <xdr:rowOff>22860</xdr:rowOff>
    </xdr:to>
    <xdr:graphicFrame macro="">
      <xdr:nvGraphicFramePr>
        <xdr:cNvPr id="345091" name="Chart 10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4</xdr:row>
      <xdr:rowOff>137160</xdr:rowOff>
    </xdr:from>
    <xdr:to>
      <xdr:col>14</xdr:col>
      <xdr:colOff>571500</xdr:colOff>
      <xdr:row>22</xdr:row>
      <xdr:rowOff>99060</xdr:rowOff>
    </xdr:to>
    <xdr:graphicFrame macro="">
      <xdr:nvGraphicFramePr>
        <xdr:cNvPr id="345092" name="Chart 10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5093" name="Rectangle 1029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5094" name="Rectangle 1030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0.17494</cdr:x>
      <cdr:y>0.10464</cdr:y>
    </cdr:from>
    <cdr:to>
      <cdr:x>0.19544</cdr:x>
      <cdr:y>0.16853</cdr:y>
    </cdr:to>
    <cdr:sp macro="" textlink="">
      <cdr:nvSpPr>
        <cdr:cNvPr id="3481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9965" y="310032"/>
          <a:ext cx="91692" cy="1908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99060</xdr:rowOff>
    </xdr:from>
    <xdr:to>
      <xdr:col>7</xdr:col>
      <xdr:colOff>198120</xdr:colOff>
      <xdr:row>22</xdr:row>
      <xdr:rowOff>60960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579120</xdr:colOff>
      <xdr:row>42</xdr:row>
      <xdr:rowOff>91440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327660</xdr:colOff>
      <xdr:row>4</xdr:row>
      <xdr:rowOff>76200</xdr:rowOff>
    </xdr:from>
    <xdr:to>
      <xdr:col>14</xdr:col>
      <xdr:colOff>579120</xdr:colOff>
      <xdr:row>22</xdr:row>
      <xdr:rowOff>38100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556260</xdr:colOff>
      <xdr:row>16</xdr:row>
      <xdr:rowOff>137160</xdr:rowOff>
    </xdr:from>
    <xdr:to>
      <xdr:col>3</xdr:col>
      <xdr:colOff>60960</xdr:colOff>
      <xdr:row>17</xdr:row>
      <xdr:rowOff>60960</xdr:rowOff>
    </xdr:to>
    <xdr:sp macro="" textlink="">
      <xdr:nvSpPr>
        <xdr:cNvPr id="3080" name="Line 8"/>
        <xdr:cNvSpPr>
          <a:spLocks noChangeShapeType="1"/>
        </xdr:cNvSpPr>
      </xdr:nvSpPr>
      <xdr:spPr bwMode="auto">
        <a:xfrm flipH="1" flipV="1">
          <a:off x="1775460" y="3063240"/>
          <a:ext cx="11430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7620</xdr:colOff>
      <xdr:row>24</xdr:row>
      <xdr:rowOff>45720</xdr:rowOff>
    </xdr:from>
    <xdr:to>
      <xdr:col>7</xdr:col>
      <xdr:colOff>190500</xdr:colOff>
      <xdr:row>42</xdr:row>
      <xdr:rowOff>91440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91440</xdr:rowOff>
    </xdr:from>
    <xdr:to>
      <xdr:col>7</xdr:col>
      <xdr:colOff>198120</xdr:colOff>
      <xdr:row>22</xdr:row>
      <xdr:rowOff>45720</xdr:rowOff>
    </xdr:to>
    <xdr:graphicFrame macro="">
      <xdr:nvGraphicFramePr>
        <xdr:cNvPr id="136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259080</xdr:colOff>
      <xdr:row>41</xdr:row>
      <xdr:rowOff>160020</xdr:rowOff>
    </xdr:to>
    <xdr:graphicFrame macro="">
      <xdr:nvGraphicFramePr>
        <xdr:cNvPr id="136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579120</xdr:colOff>
      <xdr:row>42</xdr:row>
      <xdr:rowOff>0</xdr:rowOff>
    </xdr:to>
    <xdr:graphicFrame macro="">
      <xdr:nvGraphicFramePr>
        <xdr:cNvPr id="136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365760</xdr:colOff>
      <xdr:row>4</xdr:row>
      <xdr:rowOff>76200</xdr:rowOff>
    </xdr:from>
    <xdr:to>
      <xdr:col>14</xdr:col>
      <xdr:colOff>563880</xdr:colOff>
      <xdr:row>22</xdr:row>
      <xdr:rowOff>38100</xdr:rowOff>
    </xdr:to>
    <xdr:graphicFrame macro="">
      <xdr:nvGraphicFramePr>
        <xdr:cNvPr id="1361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6197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6198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0.85861</cdr:x>
      <cdr:y>0.54846</cdr:y>
    </cdr:from>
    <cdr:to>
      <cdr:x>0.88864</cdr:x>
      <cdr:y>0.55955</cdr:y>
    </cdr:to>
    <cdr:sp macro="" textlink="">
      <cdr:nvSpPr>
        <cdr:cNvPr id="25190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90307" y="1639911"/>
          <a:ext cx="136137" cy="332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99060</xdr:rowOff>
    </xdr:from>
    <xdr:to>
      <xdr:col>7</xdr:col>
      <xdr:colOff>198120</xdr:colOff>
      <xdr:row>22</xdr:row>
      <xdr:rowOff>60960</xdr:rowOff>
    </xdr:to>
    <xdr:graphicFrame macro="">
      <xdr:nvGraphicFramePr>
        <xdr:cNvPr id="3409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259080</xdr:colOff>
      <xdr:row>41</xdr:row>
      <xdr:rowOff>160020</xdr:rowOff>
    </xdr:to>
    <xdr:graphicFrame macro="">
      <xdr:nvGraphicFramePr>
        <xdr:cNvPr id="3409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579120</xdr:colOff>
      <xdr:row>42</xdr:row>
      <xdr:rowOff>0</xdr:rowOff>
    </xdr:to>
    <xdr:graphicFrame macro="">
      <xdr:nvGraphicFramePr>
        <xdr:cNvPr id="3409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327660</xdr:colOff>
      <xdr:row>4</xdr:row>
      <xdr:rowOff>76200</xdr:rowOff>
    </xdr:from>
    <xdr:to>
      <xdr:col>14</xdr:col>
      <xdr:colOff>579120</xdr:colOff>
      <xdr:row>22</xdr:row>
      <xdr:rowOff>38100</xdr:rowOff>
    </xdr:to>
    <xdr:graphicFrame macro="">
      <xdr:nvGraphicFramePr>
        <xdr:cNvPr id="3409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0997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0998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60960</xdr:rowOff>
    </xdr:from>
    <xdr:to>
      <xdr:col>7</xdr:col>
      <xdr:colOff>198120</xdr:colOff>
      <xdr:row>22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24</xdr:row>
      <xdr:rowOff>22860</xdr:rowOff>
    </xdr:from>
    <xdr:to>
      <xdr:col>15</xdr:col>
      <xdr:colOff>7620</xdr:colOff>
      <xdr:row>42</xdr:row>
      <xdr:rowOff>68580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4</xdr:row>
      <xdr:rowOff>7620</xdr:rowOff>
    </xdr:from>
    <xdr:to>
      <xdr:col>15</xdr:col>
      <xdr:colOff>7620</xdr:colOff>
      <xdr:row>21</xdr:row>
      <xdr:rowOff>137160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5125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5126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190500</xdr:colOff>
      <xdr:row>42</xdr:row>
      <xdr:rowOff>68580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0.35354</cdr:x>
      <cdr:y>0.53568</cdr:y>
    </cdr:from>
    <cdr:to>
      <cdr:x>0.38698</cdr:x>
      <cdr:y>0.61451</cdr:y>
    </cdr:to>
    <cdr:sp macro="" textlink="">
      <cdr:nvSpPr>
        <cdr:cNvPr id="24576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597660" y="1597553"/>
          <a:ext cx="151371" cy="23547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0.86836</cdr:x>
      <cdr:y>0.38404</cdr:y>
    </cdr:from>
    <cdr:to>
      <cdr:x>0.9184</cdr:x>
      <cdr:y>0.44021</cdr:y>
    </cdr:to>
    <cdr:sp macro="" textlink="">
      <cdr:nvSpPr>
        <cdr:cNvPr id="24576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16444014" flipV="1">
          <a:off x="3957256" y="1115255"/>
          <a:ext cx="167781" cy="22650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0.49854</cdr:x>
      <cdr:y>0.51181</cdr:y>
    </cdr:from>
    <cdr:to>
      <cdr:x>0.53125</cdr:x>
      <cdr:y>0.59064</cdr:y>
    </cdr:to>
    <cdr:sp macro="" textlink="">
      <cdr:nvSpPr>
        <cdr:cNvPr id="24576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253971" y="1526264"/>
          <a:ext cx="148056" cy="23547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</xdr:row>
      <xdr:rowOff>0</xdr:rowOff>
    </xdr:from>
    <xdr:to>
      <xdr:col>15</xdr:col>
      <xdr:colOff>30480</xdr:colOff>
      <xdr:row>21</xdr:row>
      <xdr:rowOff>137160</xdr:rowOff>
    </xdr:to>
    <xdr:graphicFrame macro="">
      <xdr:nvGraphicFramePr>
        <xdr:cNvPr id="3491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23</xdr:row>
      <xdr:rowOff>160020</xdr:rowOff>
    </xdr:from>
    <xdr:to>
      <xdr:col>7</xdr:col>
      <xdr:colOff>220980</xdr:colOff>
      <xdr:row>41</xdr:row>
      <xdr:rowOff>121920</xdr:rowOff>
    </xdr:to>
    <xdr:graphicFrame macro="">
      <xdr:nvGraphicFramePr>
        <xdr:cNvPr id="3491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</xdr:row>
      <xdr:rowOff>160020</xdr:rowOff>
    </xdr:from>
    <xdr:to>
      <xdr:col>7</xdr:col>
      <xdr:colOff>289560</xdr:colOff>
      <xdr:row>21</xdr:row>
      <xdr:rowOff>144780</xdr:rowOff>
    </xdr:to>
    <xdr:graphicFrame macro="">
      <xdr:nvGraphicFramePr>
        <xdr:cNvPr id="3491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9188" name="Rectangle 4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9189" name="Rectangle 5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76200</xdr:rowOff>
    </xdr:from>
    <xdr:to>
      <xdr:col>7</xdr:col>
      <xdr:colOff>213360</xdr:colOff>
      <xdr:row>22</xdr:row>
      <xdr:rowOff>38100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24</xdr:row>
      <xdr:rowOff>22860</xdr:rowOff>
    </xdr:from>
    <xdr:to>
      <xdr:col>14</xdr:col>
      <xdr:colOff>579120</xdr:colOff>
      <xdr:row>42</xdr:row>
      <xdr:rowOff>91440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327660</xdr:colOff>
      <xdr:row>4</xdr:row>
      <xdr:rowOff>45720</xdr:rowOff>
    </xdr:from>
    <xdr:to>
      <xdr:col>14</xdr:col>
      <xdr:colOff>579120</xdr:colOff>
      <xdr:row>22</xdr:row>
      <xdr:rowOff>7620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149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150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30480</xdr:rowOff>
    </xdr:from>
    <xdr:to>
      <xdr:col>7</xdr:col>
      <xdr:colOff>198120</xdr:colOff>
      <xdr:row>42</xdr:row>
      <xdr:rowOff>91440</xdr:rowOff>
    </xdr:to>
    <xdr:graphicFrame macro="">
      <xdr:nvGraphicFramePr>
        <xdr:cNvPr id="61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0.11979</cdr:x>
      <cdr:y>0.72902</cdr:y>
    </cdr:from>
    <cdr:to>
      <cdr:x>0.2135</cdr:x>
      <cdr:y>0.84883</cdr:y>
    </cdr:to>
    <cdr:sp macro="" textlink="">
      <cdr:nvSpPr>
        <cdr:cNvPr id="51228" name="Text Box 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272" y="2175066"/>
          <a:ext cx="419161" cy="357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0.21228</cdr:x>
      <cdr:y>0.72902</cdr:y>
    </cdr:from>
    <cdr:to>
      <cdr:x>0.32307</cdr:x>
      <cdr:y>0.84642</cdr:y>
    </cdr:to>
    <cdr:sp macro="" textlink="">
      <cdr:nvSpPr>
        <cdr:cNvPr id="51229" name="Text Box 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6975" y="2175066"/>
          <a:ext cx="495570" cy="3506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0.3016</cdr:x>
      <cdr:y>0.73191</cdr:y>
    </cdr:from>
    <cdr:to>
      <cdr:x>0.38847</cdr:x>
      <cdr:y>0.79821</cdr:y>
    </cdr:to>
    <cdr:sp macro="" textlink="">
      <cdr:nvSpPr>
        <cdr:cNvPr id="51230" name="Text Box 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46488" y="2183707"/>
          <a:ext cx="388597" cy="1980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0.37823</cdr:x>
      <cdr:y>0.71986</cdr:y>
    </cdr:from>
    <cdr:to>
      <cdr:x>0.48389</cdr:x>
      <cdr:y>0.83967</cdr:y>
    </cdr:to>
    <cdr:sp macro="" textlink="">
      <cdr:nvSpPr>
        <cdr:cNvPr id="51231" name="Text Box 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9239" y="2147702"/>
          <a:ext cx="472648" cy="357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Insurance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0.47023</cdr:x>
      <cdr:y>0.72299</cdr:y>
    </cdr:from>
    <cdr:to>
      <cdr:x>0.58273</cdr:x>
      <cdr:y>0.84039</cdr:y>
    </cdr:to>
    <cdr:sp macro="" textlink="">
      <cdr:nvSpPr>
        <cdr:cNvPr id="51232" name="Text Box 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0759" y="2157063"/>
          <a:ext cx="503212" cy="350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0.57077</cdr:x>
      <cdr:y>0.72902</cdr:y>
    </cdr:from>
    <cdr:to>
      <cdr:x>0.64569</cdr:x>
      <cdr:y>0.79796</cdr:y>
    </cdr:to>
    <cdr:sp macro="" textlink="">
      <cdr:nvSpPr>
        <cdr:cNvPr id="51233" name="Text Box 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0484" y="2175066"/>
          <a:ext cx="335110" cy="205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0.65692</cdr:x>
      <cdr:y>0.72902</cdr:y>
    </cdr:from>
    <cdr:to>
      <cdr:x>0.71475</cdr:x>
      <cdr:y>0.84883</cdr:y>
    </cdr:to>
    <cdr:sp macro="" textlink="">
      <cdr:nvSpPr>
        <cdr:cNvPr id="51234" name="Text Box 3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35806" y="2175066"/>
          <a:ext cx="258701" cy="357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0.81164</cdr:x>
      <cdr:y>0.7295</cdr:y>
    </cdr:from>
    <cdr:to>
      <cdr:x>0.88143</cdr:x>
      <cdr:y>0.84931</cdr:y>
    </cdr:to>
    <cdr:sp macro="" textlink="">
      <cdr:nvSpPr>
        <cdr:cNvPr id="51235" name="Text Box 3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27859" y="2176506"/>
          <a:ext cx="312187" cy="357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0.91413</cdr:x>
      <cdr:y>0.74734</cdr:y>
    </cdr:from>
    <cdr:to>
      <cdr:x>0.97368</cdr:x>
      <cdr:y>0.81363</cdr:y>
    </cdr:to>
    <cdr:sp macro="" textlink="">
      <cdr:nvSpPr>
        <cdr:cNvPr id="51236" name="Text Box 3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86316" y="2229792"/>
          <a:ext cx="266342" cy="198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0.85997</cdr:x>
      <cdr:y>0.6755</cdr:y>
    </cdr:from>
    <cdr:to>
      <cdr:x>0.89902</cdr:x>
      <cdr:y>0.70901</cdr:y>
    </cdr:to>
    <cdr:sp macro="" textlink="">
      <cdr:nvSpPr>
        <cdr:cNvPr id="24780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50608" y="2015206"/>
          <a:ext cx="174955" cy="1000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0.36895</cdr:x>
      <cdr:y>0.72685</cdr:y>
    </cdr:from>
    <cdr:to>
      <cdr:x>0.39042</cdr:x>
      <cdr:y>0.78784</cdr:y>
    </cdr:to>
    <cdr:sp macro="" textlink="">
      <cdr:nvSpPr>
        <cdr:cNvPr id="24781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4419911" flipH="1">
          <a:off x="1607569" y="2211563"/>
          <a:ext cx="182182" cy="962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129540</xdr:rowOff>
    </xdr:from>
    <xdr:to>
      <xdr:col>7</xdr:col>
      <xdr:colOff>198120</xdr:colOff>
      <xdr:row>22</xdr:row>
      <xdr:rowOff>91440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91440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335280</xdr:colOff>
      <xdr:row>4</xdr:row>
      <xdr:rowOff>106680</xdr:rowOff>
    </xdr:from>
    <xdr:to>
      <xdr:col>14</xdr:col>
      <xdr:colOff>594360</xdr:colOff>
      <xdr:row>22</xdr:row>
      <xdr:rowOff>68580</xdr:rowOff>
    </xdr:to>
    <xdr:graphicFrame macro="">
      <xdr:nvGraphicFramePr>
        <xdr:cNvPr id="71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17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17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30480</xdr:rowOff>
    </xdr:from>
    <xdr:to>
      <xdr:col>7</xdr:col>
      <xdr:colOff>213360</xdr:colOff>
      <xdr:row>42</xdr:row>
      <xdr:rowOff>99060</xdr:rowOff>
    </xdr:to>
    <xdr:graphicFrame macro="">
      <xdr:nvGraphicFramePr>
        <xdr:cNvPr id="717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7</xdr:col>
      <xdr:colOff>198120</xdr:colOff>
      <xdr:row>21</xdr:row>
      <xdr:rowOff>160020</xdr:rowOff>
    </xdr:to>
    <xdr:graphicFrame macro="">
      <xdr:nvGraphicFramePr>
        <xdr:cNvPr id="138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138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138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365760</xdr:colOff>
      <xdr:row>4</xdr:row>
      <xdr:rowOff>30480</xdr:rowOff>
    </xdr:from>
    <xdr:to>
      <xdr:col>15</xdr:col>
      <xdr:colOff>7620</xdr:colOff>
      <xdr:row>21</xdr:row>
      <xdr:rowOff>160020</xdr:rowOff>
    </xdr:to>
    <xdr:graphicFrame macro="">
      <xdr:nvGraphicFramePr>
        <xdr:cNvPr id="1382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8245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8246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7</xdr:col>
      <xdr:colOff>198120</xdr:colOff>
      <xdr:row>21</xdr:row>
      <xdr:rowOff>160020</xdr:rowOff>
    </xdr:to>
    <xdr:graphicFrame macro="">
      <xdr:nvGraphicFramePr>
        <xdr:cNvPr id="604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121920</xdr:rowOff>
    </xdr:to>
    <xdr:graphicFrame macro="">
      <xdr:nvGraphicFramePr>
        <xdr:cNvPr id="6041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327660</xdr:colOff>
      <xdr:row>4</xdr:row>
      <xdr:rowOff>7620</xdr:rowOff>
    </xdr:from>
    <xdr:to>
      <xdr:col>14</xdr:col>
      <xdr:colOff>579120</xdr:colOff>
      <xdr:row>21</xdr:row>
      <xdr:rowOff>137160</xdr:rowOff>
    </xdr:to>
    <xdr:graphicFrame macro="">
      <xdr:nvGraphicFramePr>
        <xdr:cNvPr id="6042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0421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0422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30480</xdr:rowOff>
    </xdr:from>
    <xdr:to>
      <xdr:col>7</xdr:col>
      <xdr:colOff>220980</xdr:colOff>
      <xdr:row>42</xdr:row>
      <xdr:rowOff>106680</xdr:rowOff>
    </xdr:to>
    <xdr:graphicFrame macro="">
      <xdr:nvGraphicFramePr>
        <xdr:cNvPr id="6042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7</xdr:col>
      <xdr:colOff>198120</xdr:colOff>
      <xdr:row>21</xdr:row>
      <xdr:rowOff>160020</xdr:rowOff>
    </xdr:to>
    <xdr:graphicFrame macro="">
      <xdr:nvGraphicFramePr>
        <xdr:cNvPr id="3532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3532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3532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327660</xdr:colOff>
      <xdr:row>4</xdr:row>
      <xdr:rowOff>7620</xdr:rowOff>
    </xdr:from>
    <xdr:to>
      <xdr:col>14</xdr:col>
      <xdr:colOff>579120</xdr:colOff>
      <xdr:row>21</xdr:row>
      <xdr:rowOff>137160</xdr:rowOff>
    </xdr:to>
    <xdr:graphicFrame macro="">
      <xdr:nvGraphicFramePr>
        <xdr:cNvPr id="35328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53285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53286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4</xdr:row>
      <xdr:rowOff>30480</xdr:rowOff>
    </xdr:from>
    <xdr:to>
      <xdr:col>15</xdr:col>
      <xdr:colOff>7620</xdr:colOff>
      <xdr:row>21</xdr:row>
      <xdr:rowOff>160020</xdr:rowOff>
    </xdr:to>
    <xdr:graphicFrame macro="">
      <xdr:nvGraphicFramePr>
        <xdr:cNvPr id="6758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38100</xdr:rowOff>
    </xdr:from>
    <xdr:to>
      <xdr:col>7</xdr:col>
      <xdr:colOff>198120</xdr:colOff>
      <xdr:row>22</xdr:row>
      <xdr:rowOff>0</xdr:rowOff>
    </xdr:to>
    <xdr:graphicFrame macro="">
      <xdr:nvGraphicFramePr>
        <xdr:cNvPr id="675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121920</xdr:rowOff>
    </xdr:to>
    <xdr:graphicFrame macro="">
      <xdr:nvGraphicFramePr>
        <xdr:cNvPr id="675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7589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7590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365760</xdr:colOff>
      <xdr:row>14</xdr:row>
      <xdr:rowOff>99060</xdr:rowOff>
    </xdr:from>
    <xdr:to>
      <xdr:col>12</xdr:col>
      <xdr:colOff>365760</xdr:colOff>
      <xdr:row>15</xdr:row>
      <xdr:rowOff>7620</xdr:rowOff>
    </xdr:to>
    <xdr:sp macro="" textlink="">
      <xdr:nvSpPr>
        <xdr:cNvPr id="67593" name="Line 9"/>
        <xdr:cNvSpPr>
          <a:spLocks noChangeShapeType="1"/>
        </xdr:cNvSpPr>
      </xdr:nvSpPr>
      <xdr:spPr bwMode="auto">
        <a:xfrm flipV="1">
          <a:off x="7680960" y="2689860"/>
          <a:ext cx="0" cy="762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228600</xdr:colOff>
      <xdr:row>42</xdr:row>
      <xdr:rowOff>129540</xdr:rowOff>
    </xdr:to>
    <xdr:graphicFrame macro="">
      <xdr:nvGraphicFramePr>
        <xdr:cNvPr id="6759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7</xdr:col>
      <xdr:colOff>198120</xdr:colOff>
      <xdr:row>21</xdr:row>
      <xdr:rowOff>160020</xdr:rowOff>
    </xdr:to>
    <xdr:graphicFrame macro="">
      <xdr:nvGraphicFramePr>
        <xdr:cNvPr id="3348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137160</xdr:rowOff>
    </xdr:to>
    <xdr:graphicFrame macro="">
      <xdr:nvGraphicFramePr>
        <xdr:cNvPr id="3348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4</xdr:row>
      <xdr:rowOff>30480</xdr:rowOff>
    </xdr:from>
    <xdr:to>
      <xdr:col>15</xdr:col>
      <xdr:colOff>7620</xdr:colOff>
      <xdr:row>21</xdr:row>
      <xdr:rowOff>160020</xdr:rowOff>
    </xdr:to>
    <xdr:graphicFrame macro="">
      <xdr:nvGraphicFramePr>
        <xdr:cNvPr id="3348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3485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3485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236220</xdr:colOff>
      <xdr:row>42</xdr:row>
      <xdr:rowOff>137160</xdr:rowOff>
    </xdr:to>
    <xdr:graphicFrame macro="">
      <xdr:nvGraphicFramePr>
        <xdr:cNvPr id="3348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144780</xdr:rowOff>
    </xdr:from>
    <xdr:to>
      <xdr:col>7</xdr:col>
      <xdr:colOff>198120</xdr:colOff>
      <xdr:row>22</xdr:row>
      <xdr:rowOff>106680</xdr:rowOff>
    </xdr:to>
    <xdr:graphicFrame macro="">
      <xdr:nvGraphicFramePr>
        <xdr:cNvPr id="130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130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130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411480</xdr:colOff>
      <xdr:row>4</xdr:row>
      <xdr:rowOff>160020</xdr:rowOff>
    </xdr:from>
    <xdr:to>
      <xdr:col>14</xdr:col>
      <xdr:colOff>594360</xdr:colOff>
      <xdr:row>22</xdr:row>
      <xdr:rowOff>121920</xdr:rowOff>
    </xdr:to>
    <xdr:graphicFrame macro="">
      <xdr:nvGraphicFramePr>
        <xdr:cNvPr id="130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005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005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480060</xdr:colOff>
      <xdr:row>16</xdr:row>
      <xdr:rowOff>137160</xdr:rowOff>
    </xdr:from>
    <xdr:to>
      <xdr:col>14</xdr:col>
      <xdr:colOff>22860</xdr:colOff>
      <xdr:row>17</xdr:row>
      <xdr:rowOff>76200</xdr:rowOff>
    </xdr:to>
    <xdr:sp macro="" textlink="">
      <xdr:nvSpPr>
        <xdr:cNvPr id="130055" name="Line 7"/>
        <xdr:cNvSpPr>
          <a:spLocks noChangeShapeType="1"/>
        </xdr:cNvSpPr>
      </xdr:nvSpPr>
      <xdr:spPr bwMode="auto">
        <a:xfrm flipH="1" flipV="1">
          <a:off x="8404860" y="3063240"/>
          <a:ext cx="152400" cy="106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0.1121</cdr:x>
      <cdr:y>0.74611</cdr:y>
    </cdr:from>
    <cdr:to>
      <cdr:x>0.20462</cdr:x>
      <cdr:y>0.86639</cdr:y>
    </cdr:to>
    <cdr:sp macro="" textlink="">
      <cdr:nvSpPr>
        <cdr:cNvPr id="4915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5697" y="2220437"/>
          <a:ext cx="419479" cy="3583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0.20462</cdr:x>
      <cdr:y>0.74611</cdr:y>
    </cdr:from>
    <cdr:to>
      <cdr:x>0.32228</cdr:x>
      <cdr:y>0.86374</cdr:y>
    </cdr:to>
    <cdr:sp macro="" textlink="">
      <cdr:nvSpPr>
        <cdr:cNvPr id="4915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5176" y="2220437"/>
          <a:ext cx="533480" cy="350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0.29323</cdr:x>
      <cdr:y>0.74274</cdr:y>
    </cdr:from>
    <cdr:to>
      <cdr:x>0.37892</cdr:x>
      <cdr:y>0.80927</cdr:y>
    </cdr:to>
    <cdr:sp macro="" textlink="">
      <cdr:nvSpPr>
        <cdr:cNvPr id="4915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6946" y="2210382"/>
          <a:ext cx="388489" cy="198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0.37916</cdr:x>
      <cdr:y>0.74274</cdr:y>
    </cdr:from>
    <cdr:to>
      <cdr:x>0.4834</cdr:x>
      <cdr:y>0.86302</cdr:y>
    </cdr:to>
    <cdr:sp macro="" textlink="">
      <cdr:nvSpPr>
        <cdr:cNvPr id="49160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6542" y="2210382"/>
          <a:ext cx="472605" cy="35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Insurance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0.48438</cdr:x>
      <cdr:y>0.74274</cdr:y>
    </cdr:from>
    <cdr:to>
      <cdr:x>0.57861</cdr:x>
      <cdr:y>0.86302</cdr:y>
    </cdr:to>
    <cdr:sp macro="" textlink="">
      <cdr:nvSpPr>
        <cdr:cNvPr id="49161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3574" y="2210382"/>
          <a:ext cx="427227" cy="35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0.57983</cdr:x>
      <cdr:y>0.74611</cdr:y>
    </cdr:from>
    <cdr:to>
      <cdr:x>0.6555</cdr:x>
      <cdr:y>0.81505</cdr:y>
    </cdr:to>
    <cdr:sp macro="" textlink="">
      <cdr:nvSpPr>
        <cdr:cNvPr id="49162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6335" y="2220437"/>
          <a:ext cx="343110" cy="2054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0.6721</cdr:x>
      <cdr:y>0.74274</cdr:y>
    </cdr:from>
    <cdr:to>
      <cdr:x>0.72923</cdr:x>
      <cdr:y>0.86302</cdr:y>
    </cdr:to>
    <cdr:sp macro="" textlink="">
      <cdr:nvSpPr>
        <cdr:cNvPr id="49163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4708" y="2210382"/>
          <a:ext cx="258992" cy="35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0.81442</cdr:x>
      <cdr:y>0.74249</cdr:y>
    </cdr:from>
    <cdr:to>
      <cdr:x>0.87667</cdr:x>
      <cdr:y>0.85748</cdr:y>
    </cdr:to>
    <cdr:sp macro="" textlink="">
      <cdr:nvSpPr>
        <cdr:cNvPr id="49164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89975" y="2209664"/>
          <a:ext cx="282235" cy="3425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0.91964</cdr:x>
      <cdr:y>0.76805</cdr:y>
    </cdr:from>
    <cdr:to>
      <cdr:x>0.97847</cdr:x>
      <cdr:y>0.83458</cdr:y>
    </cdr:to>
    <cdr:sp macro="" textlink="">
      <cdr:nvSpPr>
        <cdr:cNvPr id="49165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67008" y="2285792"/>
          <a:ext cx="266740" cy="198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0.74314</cdr:x>
      <cdr:y>0.74274</cdr:y>
    </cdr:from>
    <cdr:to>
      <cdr:x>0.81198</cdr:x>
      <cdr:y>0.86302</cdr:y>
    </cdr:to>
    <cdr:sp macro="" textlink="">
      <cdr:nvSpPr>
        <cdr:cNvPr id="49167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6788" y="2210382"/>
          <a:ext cx="312119" cy="35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0.16409</cdr:x>
      <cdr:y>0.48626</cdr:y>
    </cdr:from>
    <cdr:to>
      <cdr:x>0.19095</cdr:x>
      <cdr:y>0.58077</cdr:y>
    </cdr:to>
    <cdr:sp macro="" textlink="">
      <cdr:nvSpPr>
        <cdr:cNvPr id="27443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41446" y="1457338"/>
          <a:ext cx="121749" cy="28376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885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885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533400</xdr:colOff>
      <xdr:row>27</xdr:row>
      <xdr:rowOff>160020</xdr:rowOff>
    </xdr:from>
    <xdr:to>
      <xdr:col>28</xdr:col>
      <xdr:colOff>601980</xdr:colOff>
      <xdr:row>31</xdr:row>
      <xdr:rowOff>30480</xdr:rowOff>
    </xdr:to>
    <xdr:sp macro="" textlink="">
      <xdr:nvSpPr>
        <xdr:cNvPr id="78856" name="Rectangle 8"/>
        <xdr:cNvSpPr>
          <a:spLocks noChangeArrowheads="1"/>
        </xdr:cNvSpPr>
      </xdr:nvSpPr>
      <xdr:spPr bwMode="auto">
        <a:xfrm>
          <a:off x="14554200" y="4930140"/>
          <a:ext cx="3116580" cy="54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73152" tIns="54864" rIns="0" bIns="0" anchor="t" upright="1"/>
        <a:lstStyle/>
        <a:p>
          <a:pPr algn="l" rtl="0">
            <a:defRPr sz="1000"/>
          </a:pPr>
          <a:r>
            <a:rPr lang="en-US" sz="3000" b="0" i="1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Work In Progress</a:t>
          </a:r>
        </a:p>
      </xdr:txBody>
    </xdr:sp>
    <xdr:clientData/>
  </xdr:twoCellAnchor>
  <xdr:twoCellAnchor>
    <xdr:from>
      <xdr:col>7</xdr:col>
      <xdr:colOff>449580</xdr:colOff>
      <xdr:row>23</xdr:row>
      <xdr:rowOff>45720</xdr:rowOff>
    </xdr:from>
    <xdr:to>
      <xdr:col>15</xdr:col>
      <xdr:colOff>45720</xdr:colOff>
      <xdr:row>41</xdr:row>
      <xdr:rowOff>22860</xdr:rowOff>
    </xdr:to>
    <xdr:graphicFrame macro="">
      <xdr:nvGraphicFramePr>
        <xdr:cNvPr id="7887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30480</xdr:rowOff>
    </xdr:from>
    <xdr:to>
      <xdr:col>7</xdr:col>
      <xdr:colOff>152400</xdr:colOff>
      <xdr:row>22</xdr:row>
      <xdr:rowOff>0</xdr:rowOff>
    </xdr:to>
    <xdr:graphicFrame macro="">
      <xdr:nvGraphicFramePr>
        <xdr:cNvPr id="78881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441960</xdr:colOff>
      <xdr:row>4</xdr:row>
      <xdr:rowOff>0</xdr:rowOff>
    </xdr:from>
    <xdr:to>
      <xdr:col>14</xdr:col>
      <xdr:colOff>601980</xdr:colOff>
      <xdr:row>22</xdr:row>
      <xdr:rowOff>22860</xdr:rowOff>
    </xdr:to>
    <xdr:graphicFrame macro="">
      <xdr:nvGraphicFramePr>
        <xdr:cNvPr id="78882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23</xdr:row>
      <xdr:rowOff>30480</xdr:rowOff>
    </xdr:from>
    <xdr:to>
      <xdr:col>7</xdr:col>
      <xdr:colOff>190500</xdr:colOff>
      <xdr:row>41</xdr:row>
      <xdr:rowOff>22860</xdr:rowOff>
    </xdr:to>
    <xdr:graphicFrame macro="">
      <xdr:nvGraphicFramePr>
        <xdr:cNvPr id="78884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0.11392</cdr:x>
      <cdr:y>0.72786</cdr:y>
    </cdr:from>
    <cdr:to>
      <cdr:x>0.20739</cdr:x>
      <cdr:y>0.84721</cdr:y>
    </cdr:to>
    <cdr:sp macro="" textlink="">
      <cdr:nvSpPr>
        <cdr:cNvPr id="26419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870" y="2182686"/>
          <a:ext cx="418799" cy="358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0.20739</cdr:x>
      <cdr:y>0.72786</cdr:y>
    </cdr:from>
    <cdr:to>
      <cdr:x>0.31794</cdr:x>
      <cdr:y>0.84456</cdr:y>
    </cdr:to>
    <cdr:sp macro="" textlink="">
      <cdr:nvSpPr>
        <cdr:cNvPr id="264194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6669" y="2182686"/>
          <a:ext cx="495342" cy="3503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0.28963</cdr:x>
      <cdr:y>0.73051</cdr:y>
    </cdr:from>
    <cdr:to>
      <cdr:x>0.37627</cdr:x>
      <cdr:y>0.79657</cdr:y>
    </cdr:to>
    <cdr:sp macro="" textlink="">
      <cdr:nvSpPr>
        <cdr:cNvPr id="264195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5169" y="2190648"/>
          <a:ext cx="388182" cy="19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0.36675</cdr:x>
      <cdr:y>0.72448</cdr:y>
    </cdr:from>
    <cdr:to>
      <cdr:x>0.47218</cdr:x>
      <cdr:y>0.84383</cdr:y>
    </cdr:to>
    <cdr:sp macro="" textlink="">
      <cdr:nvSpPr>
        <cdr:cNvPr id="264196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40705" y="2172551"/>
          <a:ext cx="472379" cy="358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Insurance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0.4568</cdr:x>
      <cdr:y>0.72737</cdr:y>
    </cdr:from>
    <cdr:to>
      <cdr:x>0.56907</cdr:x>
      <cdr:y>0.84407</cdr:y>
    </cdr:to>
    <cdr:sp macro="" textlink="">
      <cdr:nvSpPr>
        <cdr:cNvPr id="264197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44196" y="2181238"/>
          <a:ext cx="502996" cy="3503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0.55613</cdr:x>
      <cdr:y>0.72737</cdr:y>
    </cdr:from>
    <cdr:to>
      <cdr:x>0.63105</cdr:x>
      <cdr:y>0.79585</cdr:y>
    </cdr:to>
    <cdr:sp macro="" textlink="">
      <cdr:nvSpPr>
        <cdr:cNvPr id="264198" name="Text Box 10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9238" y="2181238"/>
          <a:ext cx="335695" cy="2055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0.6435</cdr:x>
      <cdr:y>0.73051</cdr:y>
    </cdr:from>
    <cdr:to>
      <cdr:x>0.70134</cdr:x>
      <cdr:y>0.84986</cdr:y>
    </cdr:to>
    <cdr:sp macro="" textlink="">
      <cdr:nvSpPr>
        <cdr:cNvPr id="264199" name="Text Box 10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0700" y="2190648"/>
          <a:ext cx="259153" cy="3583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0.81336</cdr:x>
      <cdr:y>0.73051</cdr:y>
    </cdr:from>
    <cdr:to>
      <cdr:x>0.87632</cdr:x>
      <cdr:y>0.79657</cdr:y>
    </cdr:to>
    <cdr:sp macro="" textlink="">
      <cdr:nvSpPr>
        <cdr:cNvPr id="264200" name="Text Box 10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1755" y="2190648"/>
          <a:ext cx="282116" cy="19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Other</a:t>
          </a:r>
        </a:p>
      </cdr:txBody>
    </cdr:sp>
  </cdr:relSizeAnchor>
  <cdr:relSizeAnchor xmlns:cdr="http://schemas.openxmlformats.org/drawingml/2006/chartDrawing">
    <cdr:from>
      <cdr:x>0.91537</cdr:x>
      <cdr:y>0.74642</cdr:y>
    </cdr:from>
    <cdr:to>
      <cdr:x>0.97492</cdr:x>
      <cdr:y>0.81249</cdr:y>
    </cdr:to>
    <cdr:sp macro="" textlink="">
      <cdr:nvSpPr>
        <cdr:cNvPr id="264201" name="Text Box 10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98826" y="2238426"/>
          <a:ext cx="266807" cy="1983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0.72257</cdr:x>
      <cdr:y>0.73051</cdr:y>
    </cdr:from>
    <cdr:to>
      <cdr:x>0.79237</cdr:x>
      <cdr:y>0.84986</cdr:y>
    </cdr:to>
    <cdr:sp macro="" textlink="">
      <cdr:nvSpPr>
        <cdr:cNvPr id="264202" name="Text Box 103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4985" y="2190648"/>
          <a:ext cx="312732" cy="3583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144780</xdr:rowOff>
    </xdr:from>
    <xdr:to>
      <xdr:col>7</xdr:col>
      <xdr:colOff>198120</xdr:colOff>
      <xdr:row>22</xdr:row>
      <xdr:rowOff>106680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365760</xdr:colOff>
      <xdr:row>24</xdr:row>
      <xdr:rowOff>60960</xdr:rowOff>
    </xdr:from>
    <xdr:to>
      <xdr:col>14</xdr:col>
      <xdr:colOff>563880</xdr:colOff>
      <xdr:row>42</xdr:row>
      <xdr:rowOff>76200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312420</xdr:colOff>
      <xdr:row>4</xdr:row>
      <xdr:rowOff>137160</xdr:rowOff>
    </xdr:from>
    <xdr:to>
      <xdr:col>14</xdr:col>
      <xdr:colOff>571500</xdr:colOff>
      <xdr:row>22</xdr:row>
      <xdr:rowOff>99060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205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24</xdr:row>
      <xdr:rowOff>45720</xdr:rowOff>
    </xdr:from>
    <xdr:to>
      <xdr:col>7</xdr:col>
      <xdr:colOff>198120</xdr:colOff>
      <xdr:row>42</xdr:row>
      <xdr:rowOff>76200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0.86679</cdr:x>
      <cdr:y>0.47372</cdr:y>
    </cdr:from>
    <cdr:to>
      <cdr:x>0.90876</cdr:x>
      <cdr:y>0.50554</cdr:y>
    </cdr:to>
    <cdr:sp macro="" textlink="">
      <cdr:nvSpPr>
        <cdr:cNvPr id="24166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74552" y="1412490"/>
          <a:ext cx="187749" cy="9505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0.16103</cdr:x>
      <cdr:y>0.1027</cdr:y>
    </cdr:from>
    <cdr:to>
      <cdr:x>0.18153</cdr:x>
      <cdr:y>0.16542</cdr:y>
    </cdr:to>
    <cdr:sp macro="" textlink="">
      <cdr:nvSpPr>
        <cdr:cNvPr id="1331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746" y="309699"/>
          <a:ext cx="91692" cy="1906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w%20overvi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EGM%20Plan%200529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630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EGM%20Plan%201008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Global-093001%20revise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Global-1123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"/>
    </sheetNames>
    <sheetDataSet>
      <sheetData sheetId="0"/>
      <sheetData sheetId="1">
        <row r="9">
          <cell r="C9">
            <v>61971.161</v>
          </cell>
          <cell r="K9">
            <v>46307.111499999999</v>
          </cell>
        </row>
        <row r="10">
          <cell r="C10">
            <v>15666.035329999999</v>
          </cell>
          <cell r="K10">
            <v>8904.1603299999988</v>
          </cell>
        </row>
        <row r="11">
          <cell r="C11">
            <v>4613.0200000000004</v>
          </cell>
          <cell r="K11">
            <v>4613.0200000000004</v>
          </cell>
        </row>
        <row r="12">
          <cell r="C12">
            <v>-6238.1530000000002</v>
          </cell>
          <cell r="K12">
            <v>-7560.3530000000001</v>
          </cell>
        </row>
        <row r="13">
          <cell r="C13">
            <v>8725</v>
          </cell>
          <cell r="K13">
            <v>5839.0690000000004</v>
          </cell>
        </row>
        <row r="14">
          <cell r="C14">
            <v>1672.0152800000001</v>
          </cell>
          <cell r="K14">
            <v>337.99628000000007</v>
          </cell>
        </row>
        <row r="15">
          <cell r="C15">
            <v>13281.757</v>
          </cell>
          <cell r="K15">
            <v>9464.1949999999997</v>
          </cell>
        </row>
        <row r="16">
          <cell r="C16">
            <v>40.954000000000001</v>
          </cell>
          <cell r="K16">
            <v>-1843.4739999999999</v>
          </cell>
        </row>
        <row r="17">
          <cell r="C17">
            <v>1679.991</v>
          </cell>
          <cell r="K17">
            <v>-2158.5649999999996</v>
          </cell>
        </row>
        <row r="18">
          <cell r="C18">
            <v>168.79400000000001</v>
          </cell>
          <cell r="K18">
            <v>-1964.9770000000001</v>
          </cell>
        </row>
        <row r="19">
          <cell r="C19">
            <v>-959.67899999999997</v>
          </cell>
          <cell r="K19">
            <v>-1885.7049999999999</v>
          </cell>
        </row>
        <row r="20">
          <cell r="C20">
            <v>47.173999999999999</v>
          </cell>
          <cell r="K20">
            <v>-377.35199999999998</v>
          </cell>
        </row>
        <row r="21">
          <cell r="C21">
            <v>0</v>
          </cell>
          <cell r="K21">
            <v>-869.12400000000002</v>
          </cell>
        </row>
        <row r="25">
          <cell r="C25">
            <v>0</v>
          </cell>
          <cell r="K25">
            <v>-30757.539000000001</v>
          </cell>
        </row>
        <row r="26">
          <cell r="C26">
            <v>0</v>
          </cell>
          <cell r="K26">
            <v>18548.317500000001</v>
          </cell>
        </row>
        <row r="27">
          <cell r="K27">
            <v>-281.11799999999999</v>
          </cell>
        </row>
        <row r="32">
          <cell r="C32">
            <v>0</v>
          </cell>
        </row>
      </sheetData>
      <sheetData sheetId="2"/>
      <sheetData sheetId="3"/>
      <sheetData sheetId="4"/>
      <sheetData sheetId="5">
        <row r="9">
          <cell r="D9">
            <v>7068.2160000000003</v>
          </cell>
        </row>
        <row r="10">
          <cell r="D10">
            <v>3584.9830000000002</v>
          </cell>
        </row>
        <row r="11">
          <cell r="D11">
            <v>0</v>
          </cell>
        </row>
        <row r="12">
          <cell r="D12">
            <v>570.50299999999993</v>
          </cell>
        </row>
        <row r="13">
          <cell r="D13">
            <v>1721.3719999999998</v>
          </cell>
        </row>
        <row r="14">
          <cell r="D14">
            <v>790.13499999999999</v>
          </cell>
        </row>
        <row r="15">
          <cell r="D15">
            <v>2364.7780000000002</v>
          </cell>
        </row>
        <row r="16">
          <cell r="D16">
            <v>1615.7969999999998</v>
          </cell>
        </row>
        <row r="17">
          <cell r="D17">
            <v>2763.1289999999999</v>
          </cell>
        </row>
        <row r="18">
          <cell r="D18">
            <v>1557.3020000000001</v>
          </cell>
        </row>
        <row r="19">
          <cell r="D19">
            <v>428.86399999999998</v>
          </cell>
        </row>
        <row r="20">
          <cell r="D20">
            <v>326.59699999999998</v>
          </cell>
        </row>
        <row r="21">
          <cell r="D21">
            <v>522.07400000000007</v>
          </cell>
        </row>
        <row r="25">
          <cell r="D25">
            <v>30757.539000000001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>
        <row r="9">
          <cell r="C9">
            <v>40000</v>
          </cell>
          <cell r="E9">
            <v>23249.788</v>
          </cell>
          <cell r="M9">
            <v>6767.77</v>
          </cell>
        </row>
        <row r="10">
          <cell r="C10">
            <v>11250</v>
          </cell>
          <cell r="E10">
            <v>3837.2540000000008</v>
          </cell>
          <cell r="M10">
            <v>4013.0929999999998</v>
          </cell>
        </row>
        <row r="11">
          <cell r="C11">
            <v>2500</v>
          </cell>
          <cell r="E11">
            <v>2500</v>
          </cell>
          <cell r="M11">
            <v>0</v>
          </cell>
        </row>
        <row r="12">
          <cell r="C12">
            <v>5000</v>
          </cell>
          <cell r="E12">
            <v>2915.6240000000003</v>
          </cell>
          <cell r="M12">
            <v>1213.6189999999999</v>
          </cell>
        </row>
        <row r="13">
          <cell r="C13">
            <v>8509.2510000000002</v>
          </cell>
          <cell r="E13">
            <v>4460.982</v>
          </cell>
          <cell r="M13">
            <v>1808.5229999999999</v>
          </cell>
        </row>
        <row r="14">
          <cell r="C14">
            <v>4875</v>
          </cell>
          <cell r="E14">
            <v>2259.0210000000002</v>
          </cell>
          <cell r="M14">
            <v>1802.6479999999999</v>
          </cell>
        </row>
        <row r="15">
          <cell r="C15">
            <v>20000</v>
          </cell>
          <cell r="E15">
            <v>14454.606</v>
          </cell>
          <cell r="M15">
            <v>3467.386</v>
          </cell>
        </row>
        <row r="16">
          <cell r="C16">
            <v>500</v>
          </cell>
          <cell r="E16">
            <v>-1244.6959999999997</v>
          </cell>
          <cell r="M16">
            <v>1555.6059999999998</v>
          </cell>
        </row>
        <row r="17">
          <cell r="C17">
            <v>3000</v>
          </cell>
          <cell r="E17">
            <v>365.93599999999969</v>
          </cell>
          <cell r="M17">
            <v>1430.25</v>
          </cell>
        </row>
        <row r="18">
          <cell r="C18">
            <v>1413</v>
          </cell>
          <cell r="E18">
            <v>-187.84699999999998</v>
          </cell>
          <cell r="M18">
            <v>809.42399999999998</v>
          </cell>
        </row>
        <row r="19">
          <cell r="C19">
            <v>-858.5010000000002</v>
          </cell>
          <cell r="E19">
            <v>-1700.5670000000002</v>
          </cell>
          <cell r="M19">
            <v>272.54199999999997</v>
          </cell>
        </row>
        <row r="20">
          <cell r="C20">
            <v>0</v>
          </cell>
          <cell r="E20">
            <v>-783.779</v>
          </cell>
          <cell r="M20">
            <v>712.17</v>
          </cell>
        </row>
        <row r="21">
          <cell r="C21">
            <v>0</v>
          </cell>
          <cell r="E21">
            <v>-1008.636</v>
          </cell>
          <cell r="M21">
            <v>533.36900000000003</v>
          </cell>
        </row>
        <row r="22">
          <cell r="C22">
            <v>1110</v>
          </cell>
          <cell r="E22">
            <v>1110</v>
          </cell>
          <cell r="M22">
            <v>0</v>
          </cell>
        </row>
        <row r="26">
          <cell r="C26">
            <v>0</v>
          </cell>
          <cell r="E26">
            <v>-27923.809999999998</v>
          </cell>
          <cell r="M26">
            <v>27923.809999999998</v>
          </cell>
        </row>
        <row r="27">
          <cell r="C27">
            <v>0</v>
          </cell>
          <cell r="E27">
            <v>22684.663999999997</v>
          </cell>
          <cell r="M2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 refreshError="1"/>
      <sheetData sheetId="2" refreshError="1">
        <row r="9">
          <cell r="C9">
            <v>32500</v>
          </cell>
          <cell r="M9">
            <v>6994.3130000000001</v>
          </cell>
        </row>
        <row r="10">
          <cell r="C10">
            <v>16250</v>
          </cell>
          <cell r="M10">
            <v>5012.7820000000002</v>
          </cell>
        </row>
        <row r="11">
          <cell r="C11">
            <v>2500</v>
          </cell>
          <cell r="M11">
            <v>348.209</v>
          </cell>
        </row>
        <row r="12">
          <cell r="C12">
            <v>0</v>
          </cell>
          <cell r="M12">
            <v>0</v>
          </cell>
        </row>
        <row r="13">
          <cell r="C13">
            <v>7078.8189999999995</v>
          </cell>
          <cell r="M13">
            <v>1463.0070000000001</v>
          </cell>
        </row>
        <row r="14">
          <cell r="C14">
            <v>11875</v>
          </cell>
          <cell r="M14">
            <v>2304.1219999999998</v>
          </cell>
        </row>
        <row r="15">
          <cell r="C15">
            <v>27500</v>
          </cell>
          <cell r="M15">
            <v>3742.616</v>
          </cell>
        </row>
        <row r="16">
          <cell r="C16">
            <v>1311</v>
          </cell>
          <cell r="M16">
            <v>4356.8180000000002</v>
          </cell>
        </row>
        <row r="17">
          <cell r="C17">
            <v>5000</v>
          </cell>
          <cell r="M17">
            <v>1430.25</v>
          </cell>
        </row>
        <row r="18">
          <cell r="C18">
            <v>1372.4989999999998</v>
          </cell>
          <cell r="M18">
            <v>302.28100000000001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YTD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>
        <row r="9">
          <cell r="E9">
            <v>15526.516</v>
          </cell>
          <cell r="G9">
            <v>32796.824999999997</v>
          </cell>
          <cell r="M9">
            <v>6834.6949999999997</v>
          </cell>
          <cell r="O9">
            <v>17788.537999999997</v>
          </cell>
        </row>
        <row r="10">
          <cell r="E10">
            <v>7446.9840000000004</v>
          </cell>
          <cell r="G10">
            <v>23751.523520000002</v>
          </cell>
          <cell r="M10">
            <v>3967.0360000000001</v>
          </cell>
          <cell r="O10">
            <v>16122.857520000001</v>
          </cell>
        </row>
        <row r="11">
          <cell r="E11">
            <v>1775</v>
          </cell>
          <cell r="G11">
            <v>2463</v>
          </cell>
          <cell r="M11">
            <v>348</v>
          </cell>
          <cell r="O11">
            <v>1844</v>
          </cell>
        </row>
        <row r="12">
          <cell r="E12">
            <v>0</v>
          </cell>
          <cell r="G12">
            <v>0</v>
          </cell>
          <cell r="M12">
            <v>0</v>
          </cell>
          <cell r="O12">
            <v>0</v>
          </cell>
        </row>
        <row r="13">
          <cell r="E13">
            <v>3838.1869999999999</v>
          </cell>
          <cell r="G13">
            <v>8858</v>
          </cell>
          <cell r="M13">
            <v>1489.3050000000001</v>
          </cell>
          <cell r="O13">
            <v>6646.9309999999996</v>
          </cell>
        </row>
        <row r="14">
          <cell r="E14">
            <v>8615.1859999999997</v>
          </cell>
          <cell r="G14">
            <v>2550.569</v>
          </cell>
          <cell r="M14">
            <v>1299.4109999999998</v>
          </cell>
          <cell r="O14">
            <v>604.9910000000001</v>
          </cell>
        </row>
        <row r="15">
          <cell r="E15">
            <v>21486.755000000001</v>
          </cell>
          <cell r="G15">
            <v>17176</v>
          </cell>
          <cell r="M15">
            <v>2295.7269999999999</v>
          </cell>
          <cell r="O15">
            <v>13173.132000000001</v>
          </cell>
        </row>
        <row r="16">
          <cell r="E16">
            <v>-3623.7109999999993</v>
          </cell>
          <cell r="G16">
            <v>1648.452</v>
          </cell>
          <cell r="M16">
            <v>4582.4650000000001</v>
          </cell>
          <cell r="O16">
            <v>-3767.201</v>
          </cell>
        </row>
        <row r="17">
          <cell r="E17">
            <v>2377.904</v>
          </cell>
          <cell r="G17">
            <v>765.21500000000003</v>
          </cell>
          <cell r="M17">
            <v>5577.4719999999998</v>
          </cell>
          <cell r="O17">
            <v>-5892.2719999999999</v>
          </cell>
        </row>
        <row r="18">
          <cell r="E18">
            <v>497.15299999999979</v>
          </cell>
          <cell r="G18">
            <v>2067.8539999999998</v>
          </cell>
          <cell r="M18">
            <v>229.67400000000001</v>
          </cell>
          <cell r="O18">
            <v>1360.7289999999998</v>
          </cell>
        </row>
        <row r="19">
          <cell r="C19">
            <v>1603</v>
          </cell>
          <cell r="E19">
            <v>1454</v>
          </cell>
          <cell r="G19">
            <v>1960.4179999999999</v>
          </cell>
          <cell r="M19">
            <v>99.016999999999996</v>
          </cell>
          <cell r="O19">
            <v>1861.4009999999998</v>
          </cell>
        </row>
        <row r="20">
          <cell r="C20">
            <v>0</v>
          </cell>
          <cell r="E20">
            <v>-766.23199999999997</v>
          </cell>
          <cell r="G20">
            <v>171.345</v>
          </cell>
          <cell r="M20">
            <v>374.03800000000001</v>
          </cell>
          <cell r="O20">
            <v>-323.81100000000004</v>
          </cell>
        </row>
        <row r="21">
          <cell r="C21">
            <v>0</v>
          </cell>
          <cell r="E21">
            <v>-1011.224</v>
          </cell>
          <cell r="G21">
            <v>0</v>
          </cell>
          <cell r="M21">
            <v>826.3599999999999</v>
          </cell>
          <cell r="O21">
            <v>-944.20999999999992</v>
          </cell>
        </row>
        <row r="22">
          <cell r="C22">
            <v>4613.1040000000003</v>
          </cell>
          <cell r="E22">
            <v>4613.1040000000003</v>
          </cell>
          <cell r="G22">
            <v>0</v>
          </cell>
          <cell r="M22">
            <v>0</v>
          </cell>
          <cell r="O22">
            <v>0</v>
          </cell>
        </row>
        <row r="26">
          <cell r="E26">
            <v>-28242.490999999998</v>
          </cell>
          <cell r="M26">
            <v>32056.175999999999</v>
          </cell>
          <cell r="O26">
            <v>-32056.175999999999</v>
          </cell>
        </row>
        <row r="27">
          <cell r="E27">
            <v>22036.860000000008</v>
          </cell>
          <cell r="O27">
            <v>17711.054999999997</v>
          </cell>
        </row>
      </sheetData>
      <sheetData sheetId="4"/>
      <sheetData sheetId="5"/>
      <sheetData sheetId="6">
        <row r="19">
          <cell r="E19">
            <v>149</v>
          </cell>
        </row>
        <row r="20">
          <cell r="E20">
            <v>695.86599999999999</v>
          </cell>
        </row>
        <row r="21">
          <cell r="E21">
            <v>537.20000000000005</v>
          </cell>
        </row>
        <row r="25">
          <cell r="E25">
            <v>28242.490999999998</v>
          </cell>
        </row>
      </sheetData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/>
      <sheetData sheetId="2">
        <row r="9">
          <cell r="C9">
            <v>45000</v>
          </cell>
          <cell r="E9">
            <v>28078.257000000001</v>
          </cell>
        </row>
        <row r="10">
          <cell r="C10">
            <v>16250</v>
          </cell>
          <cell r="E10">
            <v>7350.512999999999</v>
          </cell>
        </row>
        <row r="11">
          <cell r="C11">
            <v>2500</v>
          </cell>
          <cell r="E11">
            <v>1776.7260000000001</v>
          </cell>
        </row>
        <row r="12">
          <cell r="C12">
            <v>0</v>
          </cell>
          <cell r="E12">
            <v>0</v>
          </cell>
        </row>
        <row r="13">
          <cell r="C13">
            <v>8752.58</v>
          </cell>
          <cell r="E13">
            <v>5415.7469999999994</v>
          </cell>
        </row>
        <row r="14">
          <cell r="C14">
            <v>8875</v>
          </cell>
          <cell r="E14">
            <v>5404.5920000000006</v>
          </cell>
        </row>
        <row r="15">
          <cell r="C15">
            <v>29545</v>
          </cell>
          <cell r="E15">
            <v>26414.453000000001</v>
          </cell>
        </row>
        <row r="16">
          <cell r="C16">
            <v>13305.5</v>
          </cell>
          <cell r="E16">
            <v>4542.2900000000009</v>
          </cell>
        </row>
        <row r="17">
          <cell r="C17">
            <v>44000</v>
          </cell>
          <cell r="E17">
            <v>41380.572</v>
          </cell>
        </row>
        <row r="18">
          <cell r="C18">
            <v>0</v>
          </cell>
          <cell r="E18">
            <v>0</v>
          </cell>
        </row>
        <row r="19">
          <cell r="C19">
            <v>3750</v>
          </cell>
          <cell r="E19">
            <v>383.62199999999984</v>
          </cell>
        </row>
        <row r="20">
          <cell r="C20">
            <v>1602.701</v>
          </cell>
          <cell r="E20">
            <v>1464.251</v>
          </cell>
        </row>
        <row r="21">
          <cell r="C21">
            <v>0</v>
          </cell>
          <cell r="E21">
            <v>-765.96100000000001</v>
          </cell>
        </row>
        <row r="22">
          <cell r="C22">
            <v>0</v>
          </cell>
          <cell r="E22">
            <v>-1010.9559999999999</v>
          </cell>
        </row>
        <row r="23">
          <cell r="C23">
            <v>1730.691</v>
          </cell>
          <cell r="E23">
            <v>1730.691</v>
          </cell>
        </row>
        <row r="27">
          <cell r="E27">
            <v>-42641.985000000001</v>
          </cell>
        </row>
        <row r="28">
          <cell r="E28">
            <v>23192.098000000002</v>
          </cell>
        </row>
      </sheetData>
      <sheetData sheetId="3" refreshError="1"/>
      <sheetData sheetId="4" refreshError="1"/>
      <sheetData sheetId="5">
        <row r="9">
          <cell r="E9">
            <v>6903.1189999999997</v>
          </cell>
        </row>
        <row r="10">
          <cell r="E10">
            <v>5110.5330000000004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1560.0810000000001</v>
          </cell>
        </row>
        <row r="14">
          <cell r="E14">
            <v>2517.0659999999998</v>
          </cell>
        </row>
        <row r="15">
          <cell r="E15">
            <v>1849.1360000000002</v>
          </cell>
        </row>
        <row r="16">
          <cell r="E16">
            <v>7322.1759999999995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695.86699999999996</v>
          </cell>
        </row>
        <row r="22">
          <cell r="E22">
            <v>537.20399999999995</v>
          </cell>
        </row>
        <row r="26">
          <cell r="E26">
            <v>42641.985000000001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>
        <row r="9">
          <cell r="C9">
            <v>32500</v>
          </cell>
          <cell r="E9">
            <v>15606.718000000001</v>
          </cell>
          <cell r="J9">
            <v>28864.210999999999</v>
          </cell>
          <cell r="M9">
            <v>7980.9809999999998</v>
          </cell>
          <cell r="O9">
            <v>13858.067999999999</v>
          </cell>
        </row>
        <row r="10">
          <cell r="C10">
            <v>16250</v>
          </cell>
          <cell r="E10">
            <v>7349.7690000000002</v>
          </cell>
          <cell r="J10">
            <v>29042.347999999998</v>
          </cell>
          <cell r="M10">
            <v>4864.4030000000002</v>
          </cell>
          <cell r="O10">
            <v>19116.288999999997</v>
          </cell>
        </row>
        <row r="11">
          <cell r="C11">
            <v>2500</v>
          </cell>
          <cell r="E11">
            <v>1776.69</v>
          </cell>
          <cell r="J11">
            <v>3421.6990000000001</v>
          </cell>
          <cell r="M11">
            <v>275.16000000000003</v>
          </cell>
          <cell r="O11">
            <v>2730.6890000000003</v>
          </cell>
        </row>
        <row r="12">
          <cell r="C12">
            <v>0</v>
          </cell>
          <cell r="E12">
            <v>0</v>
          </cell>
        </row>
        <row r="13">
          <cell r="C13">
            <v>8659.3520000000008</v>
          </cell>
          <cell r="E13">
            <v>5352.8970000000008</v>
          </cell>
          <cell r="J13">
            <v>8926</v>
          </cell>
          <cell r="M13">
            <v>2560.4989999999998</v>
          </cell>
          <cell r="O13">
            <v>5161.7360000000008</v>
          </cell>
        </row>
        <row r="14">
          <cell r="C14">
            <v>11875</v>
          </cell>
          <cell r="E14">
            <v>8401.5420000000013</v>
          </cell>
          <cell r="J14">
            <v>996.88599999999974</v>
          </cell>
          <cell r="M14">
            <v>2093.127</v>
          </cell>
          <cell r="O14">
            <v>-1683.8440000000001</v>
          </cell>
        </row>
        <row r="15">
          <cell r="C15">
            <v>27370</v>
          </cell>
          <cell r="E15">
            <v>21837.183000000001</v>
          </cell>
          <cell r="J15">
            <v>5721.45</v>
          </cell>
          <cell r="M15">
            <v>3047.8249999999998</v>
          </cell>
          <cell r="O15">
            <v>1428.98</v>
          </cell>
        </row>
        <row r="16">
          <cell r="C16">
            <v>5705</v>
          </cell>
          <cell r="E16">
            <v>246.83999999999924</v>
          </cell>
          <cell r="J16">
            <v>1266.49</v>
          </cell>
          <cell r="M16">
            <v>3683.1990000000001</v>
          </cell>
          <cell r="O16">
            <v>-4158.13</v>
          </cell>
        </row>
        <row r="17">
          <cell r="C17">
            <v>8000</v>
          </cell>
          <cell r="E17">
            <v>5376.7870000000003</v>
          </cell>
          <cell r="J17">
            <v>1574.3530000000001</v>
          </cell>
          <cell r="M17">
            <v>6143.4679999999998</v>
          </cell>
          <cell r="O17">
            <v>-5756.62</v>
          </cell>
        </row>
        <row r="18">
          <cell r="C18">
            <v>0</v>
          </cell>
          <cell r="E18">
            <v>0</v>
          </cell>
          <cell r="J18">
            <v>0</v>
          </cell>
          <cell r="M18">
            <v>0</v>
          </cell>
          <cell r="O18">
            <v>0</v>
          </cell>
        </row>
        <row r="19">
          <cell r="C19">
            <v>3750</v>
          </cell>
          <cell r="E19">
            <v>383.62199999999984</v>
          </cell>
          <cell r="J19">
            <v>0.84899999999999998</v>
          </cell>
          <cell r="M19">
            <v>930.87699999999995</v>
          </cell>
          <cell r="O19">
            <v>-2530.91</v>
          </cell>
        </row>
        <row r="20">
          <cell r="C20">
            <v>1602.701</v>
          </cell>
          <cell r="E20">
            <v>1464.251</v>
          </cell>
          <cell r="J20">
            <v>2542.2370000000001</v>
          </cell>
          <cell r="M20">
            <v>162.29500000000002</v>
          </cell>
          <cell r="O20">
            <v>2379.942</v>
          </cell>
        </row>
        <row r="21">
          <cell r="C21">
            <v>0</v>
          </cell>
          <cell r="E21">
            <v>-766.60899999999992</v>
          </cell>
          <cell r="J21">
            <v>182.95699999999999</v>
          </cell>
          <cell r="M21">
            <v>480.87900000000002</v>
          </cell>
          <cell r="O21">
            <v>-462.69400000000002</v>
          </cell>
        </row>
        <row r="22">
          <cell r="C22">
            <v>0</v>
          </cell>
          <cell r="E22">
            <v>-1011.604</v>
          </cell>
          <cell r="J22">
            <v>0</v>
          </cell>
          <cell r="M22">
            <v>533.02099999999996</v>
          </cell>
          <cell r="O22">
            <v>-1051.0059999999999</v>
          </cell>
        </row>
        <row r="23">
          <cell r="C23">
            <v>5601</v>
          </cell>
          <cell r="E23">
            <v>5601</v>
          </cell>
          <cell r="J23">
            <v>0</v>
          </cell>
          <cell r="M23">
            <v>0</v>
          </cell>
          <cell r="O23">
            <v>0</v>
          </cell>
        </row>
        <row r="27">
          <cell r="E27">
            <v>0</v>
          </cell>
          <cell r="J27">
            <v>-51501</v>
          </cell>
          <cell r="M27">
            <v>0</v>
          </cell>
          <cell r="O27">
            <v>-51501</v>
          </cell>
        </row>
        <row r="28">
          <cell r="E28">
            <v>0</v>
          </cell>
          <cell r="O28">
            <v>-1448.0150000000001</v>
          </cell>
        </row>
        <row r="29">
          <cell r="E29">
            <v>-29901.168999999998</v>
          </cell>
          <cell r="O29">
            <v>-27940.684999999998</v>
          </cell>
        </row>
        <row r="30">
          <cell r="E30">
            <v>23493.214</v>
          </cell>
          <cell r="O30">
            <v>20751.246000000003</v>
          </cell>
        </row>
      </sheetData>
      <sheetData sheetId="4"/>
      <sheetData sheetId="5"/>
      <sheetData sheetId="6">
        <row r="9">
          <cell r="E9">
            <v>6913.3320000000003</v>
          </cell>
        </row>
        <row r="10">
          <cell r="E10">
            <v>5104.6409999999996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1527.7240000000002</v>
          </cell>
        </row>
        <row r="14">
          <cell r="E14">
            <v>2517.0659999999998</v>
          </cell>
        </row>
        <row r="15">
          <cell r="E15">
            <v>3320.4479999999999</v>
          </cell>
        </row>
        <row r="16">
          <cell r="E16">
            <v>4625.0780000000004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695.86599999999999</v>
          </cell>
        </row>
        <row r="22">
          <cell r="E22">
            <v>537.20299999999997</v>
          </cell>
        </row>
        <row r="27">
          <cell r="E27">
            <v>29901.168999999998</v>
          </cell>
        </row>
      </sheetData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>
        <row r="9">
          <cell r="J9">
            <v>-51497.476000000002</v>
          </cell>
          <cell r="M9">
            <v>6903.1189999999997</v>
          </cell>
          <cell r="O9">
            <v>-68419.218999999997</v>
          </cell>
        </row>
        <row r="10">
          <cell r="J10">
            <v>3459.6349999999998</v>
          </cell>
          <cell r="M10">
            <v>5110.5330000000004</v>
          </cell>
          <cell r="O10">
            <v>-5439.8520000000008</v>
          </cell>
        </row>
        <row r="11">
          <cell r="J11">
            <v>3154</v>
          </cell>
          <cell r="M11">
            <v>348.209</v>
          </cell>
          <cell r="O11">
            <v>2430.7260000000001</v>
          </cell>
        </row>
        <row r="13">
          <cell r="J13">
            <v>-9470</v>
          </cell>
          <cell r="M13">
            <v>1860.0810000000001</v>
          </cell>
          <cell r="O13">
            <v>-13106.833000000001</v>
          </cell>
        </row>
        <row r="14">
          <cell r="J14">
            <v>858.42700000000002</v>
          </cell>
          <cell r="M14">
            <v>2517.0659999999998</v>
          </cell>
          <cell r="O14">
            <v>-2611.9809999999998</v>
          </cell>
        </row>
        <row r="15">
          <cell r="J15">
            <v>3316</v>
          </cell>
          <cell r="M15">
            <v>1849.1360000000002</v>
          </cell>
          <cell r="O15">
            <v>185.45299999999975</v>
          </cell>
        </row>
        <row r="16">
          <cell r="J16">
            <v>-152.096</v>
          </cell>
          <cell r="M16">
            <v>7322.1759999999995</v>
          </cell>
          <cell r="O16">
            <v>-8915.3059999999987</v>
          </cell>
        </row>
        <row r="17">
          <cell r="J17">
            <v>2321</v>
          </cell>
          <cell r="M17">
            <v>6270.25</v>
          </cell>
          <cell r="O17">
            <v>-5138.4279999999999</v>
          </cell>
        </row>
        <row r="19">
          <cell r="J19">
            <v>1.476</v>
          </cell>
          <cell r="M19">
            <v>1542.4860000000001</v>
          </cell>
          <cell r="O19">
            <v>-3364.902</v>
          </cell>
        </row>
        <row r="20">
          <cell r="J20">
            <v>1147</v>
          </cell>
          <cell r="M20">
            <v>138.44999999999999</v>
          </cell>
          <cell r="O20">
            <v>1008.55</v>
          </cell>
        </row>
        <row r="21">
          <cell r="J21">
            <v>0</v>
          </cell>
          <cell r="M21">
            <v>695.86699999999996</v>
          </cell>
          <cell r="O21">
            <v>-765.96100000000001</v>
          </cell>
        </row>
        <row r="22">
          <cell r="J22">
            <v>0</v>
          </cell>
          <cell r="M22">
            <v>537.20399999999995</v>
          </cell>
          <cell r="O22">
            <v>-1010.9559999999999</v>
          </cell>
        </row>
        <row r="23">
          <cell r="J23">
            <v>0</v>
          </cell>
          <cell r="M23">
            <v>0</v>
          </cell>
          <cell r="O23">
            <v>0</v>
          </cell>
        </row>
        <row r="27">
          <cell r="J27">
            <v>-30000</v>
          </cell>
          <cell r="O27">
            <v>-30000</v>
          </cell>
        </row>
        <row r="28">
          <cell r="M28">
            <v>0</v>
          </cell>
          <cell r="O28">
            <v>0</v>
          </cell>
        </row>
        <row r="29">
          <cell r="O29">
            <v>-42641.985000000001</v>
          </cell>
        </row>
        <row r="30">
          <cell r="O30">
            <v>23192.098000000002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Q121"/>
  <sheetViews>
    <sheetView topLeftCell="R1" zoomScale="80" workbookViewId="0">
      <selection activeCell="W30" sqref="W30"/>
    </sheetView>
  </sheetViews>
  <sheetFormatPr defaultColWidth="9.109375" defaultRowHeight="13.2" x14ac:dyDescent="0.25"/>
  <cols>
    <col min="1" max="1" width="28.5546875" style="2" bestFit="1" customWidth="1"/>
    <col min="2" max="2" width="11" style="2" bestFit="1" customWidth="1"/>
    <col min="3" max="3" width="10.6640625" style="2" bestFit="1" customWidth="1"/>
    <col min="4" max="4" width="12.109375" style="2" customWidth="1"/>
    <col min="5" max="5" width="11" style="2" bestFit="1" customWidth="1"/>
    <col min="6" max="6" width="10.6640625" style="2" bestFit="1" customWidth="1"/>
    <col min="7" max="7" width="10.6640625" style="2" customWidth="1"/>
    <col min="8" max="8" width="24.109375" style="4" customWidth="1"/>
    <col min="9" max="9" width="10.88671875" style="2" customWidth="1"/>
    <col min="10" max="10" width="10.6640625" style="2" customWidth="1"/>
    <col min="11" max="11" width="12.5546875" style="2" customWidth="1"/>
    <col min="12" max="12" width="11" style="2" customWidth="1"/>
    <col min="13" max="14" width="10.6640625" style="2" customWidth="1"/>
    <col min="15" max="15" width="2.44140625" style="4" customWidth="1"/>
    <col min="16" max="16" width="11" style="2" customWidth="1"/>
    <col min="17" max="17" width="10.6640625" style="2" customWidth="1"/>
    <col min="18" max="18" width="12.44140625" style="2" customWidth="1"/>
    <col min="19" max="19" width="11" style="2" customWidth="1"/>
    <col min="20" max="21" width="10.6640625" style="2" customWidth="1"/>
    <col min="22" max="22" width="4.44140625" style="4" customWidth="1"/>
    <col min="23" max="23" width="11" style="2" customWidth="1"/>
    <col min="24" max="24" width="10.6640625" style="2" customWidth="1"/>
    <col min="25" max="25" width="12.88671875" style="2" customWidth="1"/>
    <col min="26" max="26" width="11" style="2" customWidth="1"/>
    <col min="27" max="27" width="10.6640625" style="2" customWidth="1"/>
    <col min="28" max="28" width="10.88671875" style="2" customWidth="1"/>
    <col min="29" max="29" width="2.6640625" style="4" customWidth="1"/>
    <col min="30" max="30" width="11" style="2" customWidth="1"/>
    <col min="31" max="31" width="10.6640625" style="2" customWidth="1"/>
    <col min="32" max="32" width="12.109375" style="2" customWidth="1"/>
    <col min="33" max="33" width="11" style="2" customWidth="1"/>
    <col min="34" max="34" width="10.6640625" style="2" customWidth="1"/>
    <col min="35" max="35" width="10.88671875" style="2" customWidth="1"/>
    <col min="36" max="36" width="9.109375" style="2"/>
    <col min="37" max="37" width="31.6640625" style="2" bestFit="1" customWidth="1"/>
    <col min="38" max="38" width="11" style="2" bestFit="1" customWidth="1"/>
    <col min="39" max="39" width="9.109375" style="2"/>
    <col min="40" max="40" width="11" style="2" customWidth="1"/>
    <col min="41" max="41" width="9.109375" style="2"/>
    <col min="42" max="42" width="11" style="2" customWidth="1"/>
    <col min="43" max="43" width="9.109375" style="2"/>
    <col min="44" max="44" width="11" style="2" bestFit="1" customWidth="1"/>
    <col min="45" max="45" width="9.109375" style="2"/>
    <col min="46" max="46" width="11" style="2" bestFit="1" customWidth="1"/>
    <col min="47" max="47" width="9.109375" style="2"/>
    <col min="48" max="48" width="11" style="2" bestFit="1" customWidth="1"/>
    <col min="49" max="49" width="9.109375" style="2"/>
    <col min="50" max="50" width="11" style="2" bestFit="1" customWidth="1"/>
    <col min="51" max="51" width="9.109375" style="2"/>
    <col min="52" max="52" width="11" style="2" bestFit="1" customWidth="1"/>
    <col min="53" max="53" width="9.109375" style="2"/>
    <col min="54" max="54" width="11" style="2" bestFit="1" customWidth="1"/>
    <col min="55" max="55" width="9.109375" style="2"/>
    <col min="56" max="56" width="11" style="2" bestFit="1" customWidth="1"/>
    <col min="57" max="57" width="9.109375" style="2"/>
    <col min="58" max="58" width="11" style="2" bestFit="1" customWidth="1"/>
    <col min="59" max="59" width="9.109375" style="2"/>
    <col min="60" max="60" width="11" style="2" bestFit="1" customWidth="1"/>
    <col min="61" max="16384" width="9.109375" style="2"/>
  </cols>
  <sheetData>
    <row r="1" spans="1:69" s="12" customFormat="1" ht="19.5" customHeight="1" thickBot="1" x14ac:dyDescent="0.3">
      <c r="A1" s="9"/>
      <c r="B1" s="10" t="s">
        <v>20</v>
      </c>
      <c r="C1" s="10"/>
      <c r="D1" s="10"/>
      <c r="E1" s="10"/>
      <c r="F1" s="10"/>
      <c r="G1" s="10"/>
      <c r="H1" s="11"/>
      <c r="I1" s="10" t="s">
        <v>21</v>
      </c>
      <c r="J1" s="10"/>
      <c r="K1" s="10"/>
      <c r="L1" s="10"/>
      <c r="M1" s="10"/>
      <c r="N1" s="10"/>
      <c r="O1" s="11"/>
      <c r="P1" s="10" t="s">
        <v>22</v>
      </c>
      <c r="Q1" s="10"/>
      <c r="R1" s="10"/>
      <c r="S1" s="10"/>
      <c r="T1" s="10"/>
      <c r="U1" s="10"/>
      <c r="V1" s="11"/>
      <c r="W1" s="10" t="s">
        <v>23</v>
      </c>
      <c r="X1" s="10"/>
      <c r="Y1" s="10"/>
      <c r="Z1" s="10"/>
      <c r="AA1" s="10"/>
      <c r="AB1" s="10"/>
      <c r="AC1" s="11"/>
      <c r="AD1" s="10" t="s">
        <v>4</v>
      </c>
      <c r="AE1" s="10"/>
      <c r="AF1" s="10"/>
      <c r="AG1" s="10"/>
      <c r="AH1" s="10"/>
      <c r="AI1" s="10"/>
      <c r="AK1" s="1" t="s">
        <v>5</v>
      </c>
      <c r="AL1" s="2"/>
      <c r="AM1" s="65"/>
      <c r="AN1" s="65"/>
      <c r="AO1" s="65"/>
      <c r="AP1" s="65"/>
      <c r="AQ1" s="65"/>
      <c r="AR1" s="2"/>
      <c r="AS1" s="2"/>
      <c r="AT1" s="2"/>
      <c r="AU1" s="2"/>
      <c r="AV1" s="2"/>
      <c r="AW1" s="2"/>
      <c r="AX1" s="7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9" ht="15" x14ac:dyDescent="0.25">
      <c r="B2" s="5" t="s">
        <v>3</v>
      </c>
      <c r="C2" s="5" t="s">
        <v>36</v>
      </c>
      <c r="D2" s="5" t="s">
        <v>56</v>
      </c>
      <c r="E2" s="6" t="s">
        <v>3</v>
      </c>
      <c r="F2" s="6" t="s">
        <v>36</v>
      </c>
      <c r="G2" s="6" t="s">
        <v>55</v>
      </c>
      <c r="H2" s="3"/>
      <c r="I2" s="5" t="s">
        <v>3</v>
      </c>
      <c r="J2" s="5" t="s">
        <v>36</v>
      </c>
      <c r="K2" s="5" t="s">
        <v>56</v>
      </c>
      <c r="L2" s="6" t="s">
        <v>3</v>
      </c>
      <c r="M2" s="6" t="s">
        <v>36</v>
      </c>
      <c r="N2" s="6" t="s">
        <v>55</v>
      </c>
      <c r="O2" s="3"/>
      <c r="P2" s="5" t="s">
        <v>3</v>
      </c>
      <c r="Q2" s="5" t="s">
        <v>36</v>
      </c>
      <c r="R2" s="5" t="s">
        <v>56</v>
      </c>
      <c r="S2" s="6" t="s">
        <v>3</v>
      </c>
      <c r="T2" s="6" t="s">
        <v>36</v>
      </c>
      <c r="U2" s="6" t="s">
        <v>55</v>
      </c>
      <c r="V2" s="3"/>
      <c r="W2" s="5" t="s">
        <v>3</v>
      </c>
      <c r="X2" s="5" t="s">
        <v>36</v>
      </c>
      <c r="Y2" s="5" t="s">
        <v>56</v>
      </c>
      <c r="Z2" s="6" t="s">
        <v>3</v>
      </c>
      <c r="AA2" s="6" t="s">
        <v>36</v>
      </c>
      <c r="AB2" s="6" t="s">
        <v>55</v>
      </c>
      <c r="AC2" s="3"/>
      <c r="AD2" s="5" t="s">
        <v>3</v>
      </c>
      <c r="AE2" s="5" t="s">
        <v>54</v>
      </c>
      <c r="AF2" s="5" t="s">
        <v>56</v>
      </c>
      <c r="AG2" s="6" t="s">
        <v>3</v>
      </c>
      <c r="AH2" s="6" t="s">
        <v>36</v>
      </c>
      <c r="AI2" s="6" t="s">
        <v>55</v>
      </c>
      <c r="AK2" s="13"/>
      <c r="AL2" s="14" t="s">
        <v>48</v>
      </c>
      <c r="AM2" s="102" t="s">
        <v>49</v>
      </c>
      <c r="AN2" s="103" t="s">
        <v>48</v>
      </c>
      <c r="AO2" s="102" t="s">
        <v>49</v>
      </c>
      <c r="AP2" s="103" t="s">
        <v>48</v>
      </c>
      <c r="AQ2" s="102" t="s">
        <v>49</v>
      </c>
      <c r="AR2" s="14" t="s">
        <v>48</v>
      </c>
      <c r="AS2" s="102" t="s">
        <v>49</v>
      </c>
      <c r="AT2" s="103" t="s">
        <v>48</v>
      </c>
      <c r="AU2" s="102" t="s">
        <v>49</v>
      </c>
      <c r="AV2" s="103" t="s">
        <v>48</v>
      </c>
      <c r="AW2" s="102" t="s">
        <v>49</v>
      </c>
      <c r="AX2" s="103" t="s">
        <v>48</v>
      </c>
      <c r="AY2" s="102" t="s">
        <v>49</v>
      </c>
      <c r="AZ2" s="103" t="s">
        <v>48</v>
      </c>
      <c r="BA2" s="102" t="s">
        <v>49</v>
      </c>
      <c r="BB2" s="103" t="s">
        <v>48</v>
      </c>
      <c r="BC2" s="102" t="s">
        <v>49</v>
      </c>
      <c r="BD2" s="103" t="s">
        <v>48</v>
      </c>
      <c r="BE2" s="102" t="s">
        <v>49</v>
      </c>
      <c r="BF2" s="103" t="s">
        <v>48</v>
      </c>
      <c r="BG2" s="102" t="s">
        <v>49</v>
      </c>
      <c r="BH2" s="103" t="s">
        <v>48</v>
      </c>
      <c r="BI2" s="102" t="s">
        <v>49</v>
      </c>
      <c r="BJ2" s="65"/>
      <c r="BK2" s="65"/>
      <c r="BL2" s="65"/>
      <c r="BM2" s="65"/>
    </row>
    <row r="3" spans="1:69" ht="13.8" thickBot="1" x14ac:dyDescent="0.3">
      <c r="A3" s="8" t="s">
        <v>34</v>
      </c>
      <c r="B3" s="21">
        <f t="shared" ref="B3:G3" si="0">+B16</f>
        <v>61.971161000000002</v>
      </c>
      <c r="C3" s="21">
        <f t="shared" si="0"/>
        <v>7.0682160000000005</v>
      </c>
      <c r="D3" s="21">
        <f t="shared" si="0"/>
        <v>46.307111499999998</v>
      </c>
      <c r="E3" s="22">
        <f t="shared" si="0"/>
        <v>40</v>
      </c>
      <c r="F3" s="22">
        <f t="shared" si="0"/>
        <v>6.7677700000000005</v>
      </c>
      <c r="G3" s="23">
        <f t="shared" si="0"/>
        <v>23.249787999999999</v>
      </c>
      <c r="H3" s="8" t="s">
        <v>34</v>
      </c>
      <c r="I3" s="21">
        <f t="shared" ref="I3:N3" si="1">+I16</f>
        <v>32.796824999999998</v>
      </c>
      <c r="J3" s="21">
        <f t="shared" si="1"/>
        <v>6.834695</v>
      </c>
      <c r="K3" s="21">
        <f t="shared" si="1"/>
        <v>17.788537999999996</v>
      </c>
      <c r="L3" s="22">
        <f t="shared" si="1"/>
        <v>32.5</v>
      </c>
      <c r="M3" s="22">
        <f t="shared" si="1"/>
        <v>6.994313</v>
      </c>
      <c r="N3" s="23">
        <f t="shared" si="1"/>
        <v>15.526515999999999</v>
      </c>
      <c r="O3" s="24"/>
      <c r="P3" s="21">
        <f t="shared" ref="P3:U3" si="2">+P16</f>
        <v>-16.135788999999999</v>
      </c>
      <c r="Q3" s="21">
        <f t="shared" si="2"/>
        <v>7.9809809999999999</v>
      </c>
      <c r="R3" s="21">
        <f t="shared" si="2"/>
        <v>13.858067999999999</v>
      </c>
      <c r="S3" s="22">
        <f t="shared" si="2"/>
        <v>32.5</v>
      </c>
      <c r="T3" s="22">
        <f t="shared" si="2"/>
        <v>6.9133320000000005</v>
      </c>
      <c r="U3" s="23">
        <f t="shared" si="2"/>
        <v>15.606718000000001</v>
      </c>
      <c r="V3" s="24"/>
      <c r="W3" s="21">
        <f t="shared" ref="W3:AB3" si="3">+W16</f>
        <v>-51.497475999999999</v>
      </c>
      <c r="X3" s="21">
        <f t="shared" si="3"/>
        <v>6.9031189999999993</v>
      </c>
      <c r="Y3" s="158">
        <f t="shared" si="3"/>
        <v>-68.419218999999998</v>
      </c>
      <c r="Z3" s="22">
        <f t="shared" si="3"/>
        <v>45</v>
      </c>
      <c r="AA3" s="22">
        <f t="shared" si="3"/>
        <v>6.9031189999999993</v>
      </c>
      <c r="AB3" s="23">
        <f t="shared" si="3"/>
        <v>28.078257000000001</v>
      </c>
      <c r="AC3" s="24"/>
      <c r="AD3" s="21">
        <f t="shared" ref="AD3:AD8" si="4">+B3+I3+P3+W3</f>
        <v>27.134721000000006</v>
      </c>
      <c r="AE3" s="21">
        <f t="shared" ref="AE3:AE8" si="5">+C3+J3+Q3+X3</f>
        <v>28.787011</v>
      </c>
      <c r="AF3" s="21">
        <f t="shared" ref="AF3:AF8" si="6">+D3+K3+R3+Y3</f>
        <v>9.534498499999998</v>
      </c>
      <c r="AG3" s="22">
        <f t="shared" ref="AG3:AG8" si="7">+E3+L3+S3+Z3</f>
        <v>150</v>
      </c>
      <c r="AH3" s="22">
        <f t="shared" ref="AH3:AH8" si="8">+F3+M3+T3+AA3</f>
        <v>27.578534000000001</v>
      </c>
      <c r="AI3" s="23">
        <f t="shared" ref="AI3:AI8" si="9">+G3+N3+U3+AB3</f>
        <v>82.46127899999999</v>
      </c>
      <c r="AL3" s="77" t="s">
        <v>60</v>
      </c>
      <c r="AM3" s="104"/>
      <c r="AN3" s="105" t="s">
        <v>6</v>
      </c>
      <c r="AO3" s="104"/>
      <c r="AP3" s="105" t="s">
        <v>7</v>
      </c>
      <c r="AQ3" s="104"/>
      <c r="AR3" s="15" t="s">
        <v>8</v>
      </c>
      <c r="AS3" s="104"/>
      <c r="AT3" s="105" t="s">
        <v>9</v>
      </c>
      <c r="AU3" s="104"/>
      <c r="AV3" s="105" t="s">
        <v>10</v>
      </c>
      <c r="AW3" s="104"/>
      <c r="AX3" s="105" t="s">
        <v>11</v>
      </c>
      <c r="AY3" s="104"/>
      <c r="AZ3" s="105" t="s">
        <v>12</v>
      </c>
      <c r="BA3" s="104"/>
      <c r="BB3" s="105" t="s">
        <v>13</v>
      </c>
      <c r="BC3" s="104"/>
      <c r="BD3" s="105" t="s">
        <v>14</v>
      </c>
      <c r="BE3" s="104"/>
      <c r="BF3" s="105" t="s">
        <v>15</v>
      </c>
      <c r="BG3" s="104"/>
      <c r="BH3" s="105" t="s">
        <v>16</v>
      </c>
      <c r="BI3" s="104"/>
      <c r="BJ3" s="65"/>
      <c r="BK3" s="65"/>
      <c r="BL3" s="65"/>
      <c r="BM3" s="65"/>
    </row>
    <row r="4" spans="1:69" x14ac:dyDescent="0.25">
      <c r="A4" s="8" t="s">
        <v>42</v>
      </c>
      <c r="B4" s="21">
        <f t="shared" ref="B4:G4" si="10">+B17+B18</f>
        <v>14.040902329999998</v>
      </c>
      <c r="C4" s="21">
        <f t="shared" si="10"/>
        <v>4.1554859999999998</v>
      </c>
      <c r="D4" s="21">
        <f t="shared" si="10"/>
        <v>5.9568273299999985</v>
      </c>
      <c r="E4" s="22">
        <f t="shared" si="10"/>
        <v>18.75</v>
      </c>
      <c r="F4" s="22">
        <f t="shared" si="10"/>
        <v>5.2267119999999991</v>
      </c>
      <c r="G4" s="23">
        <f t="shared" si="10"/>
        <v>9.2528780000000008</v>
      </c>
      <c r="H4" s="8" t="s">
        <v>42</v>
      </c>
      <c r="I4" s="21">
        <f t="shared" ref="I4:N4" si="11">+I17+I18</f>
        <v>26.214523520000004</v>
      </c>
      <c r="J4" s="21">
        <f t="shared" si="11"/>
        <v>4.3150360000000001</v>
      </c>
      <c r="K4" s="21">
        <f t="shared" si="11"/>
        <v>17.966857520000001</v>
      </c>
      <c r="L4" s="22">
        <f t="shared" si="11"/>
        <v>18.75</v>
      </c>
      <c r="M4" s="22">
        <f t="shared" si="11"/>
        <v>5.3609910000000003</v>
      </c>
      <c r="N4" s="23">
        <f t="shared" si="11"/>
        <v>9.2219840000000008</v>
      </c>
      <c r="O4" s="24"/>
      <c r="P4" s="21">
        <f t="shared" ref="P4:U4" si="12">+P17+P18</f>
        <v>32.464047000000001</v>
      </c>
      <c r="Q4" s="21">
        <f t="shared" si="12"/>
        <v>5.1395629999999999</v>
      </c>
      <c r="R4" s="21">
        <f t="shared" si="12"/>
        <v>21.846977999999996</v>
      </c>
      <c r="S4" s="22">
        <f t="shared" si="12"/>
        <v>18.75</v>
      </c>
      <c r="T4" s="22">
        <f t="shared" si="12"/>
        <v>5.4528499999999998</v>
      </c>
      <c r="U4" s="23">
        <f t="shared" si="12"/>
        <v>9.1264590000000005</v>
      </c>
      <c r="V4" s="24"/>
      <c r="W4" s="21">
        <f t="shared" ref="W4:AB4" si="13">+W17+W18</f>
        <v>6.6136349999999995</v>
      </c>
      <c r="X4" s="21">
        <f t="shared" si="13"/>
        <v>5.458742</v>
      </c>
      <c r="Y4" s="158">
        <f t="shared" si="13"/>
        <v>-3.0091260000000011</v>
      </c>
      <c r="Z4" s="22">
        <f t="shared" si="13"/>
        <v>18.75</v>
      </c>
      <c r="AA4" s="22">
        <f t="shared" si="13"/>
        <v>5.458742</v>
      </c>
      <c r="AB4" s="23">
        <f t="shared" si="13"/>
        <v>9.1272389999999994</v>
      </c>
      <c r="AC4" s="24"/>
      <c r="AD4" s="21">
        <f t="shared" si="4"/>
        <v>79.333107850000005</v>
      </c>
      <c r="AE4" s="21">
        <f t="shared" si="5"/>
        <v>19.068826999999999</v>
      </c>
      <c r="AF4" s="21">
        <f t="shared" si="6"/>
        <v>42.761536849999992</v>
      </c>
      <c r="AG4" s="22">
        <f t="shared" si="7"/>
        <v>75</v>
      </c>
      <c r="AH4" s="22">
        <f t="shared" si="8"/>
        <v>21.499295</v>
      </c>
      <c r="AI4" s="23">
        <f t="shared" si="9"/>
        <v>36.728560000000002</v>
      </c>
      <c r="AK4" s="7" t="s">
        <v>34</v>
      </c>
      <c r="AL4" s="2">
        <f t="shared" ref="AL4:AQ4" si="14">+AL19</f>
        <v>112</v>
      </c>
      <c r="AM4" s="65">
        <f t="shared" si="14"/>
        <v>117</v>
      </c>
      <c r="AN4" s="65">
        <f t="shared" si="14"/>
        <v>111</v>
      </c>
      <c r="AO4" s="65">
        <f t="shared" si="14"/>
        <v>117</v>
      </c>
      <c r="AP4" s="65">
        <f t="shared" si="14"/>
        <v>111.5</v>
      </c>
      <c r="AQ4" s="65">
        <f t="shared" si="14"/>
        <v>117</v>
      </c>
      <c r="AR4" s="65">
        <f t="shared" ref="AR4:AW4" si="15">+AR19</f>
        <v>110.5</v>
      </c>
      <c r="AS4" s="65">
        <f t="shared" si="15"/>
        <v>118</v>
      </c>
      <c r="AT4" s="65">
        <f t="shared" si="15"/>
        <v>105</v>
      </c>
      <c r="AU4" s="65">
        <f t="shared" si="15"/>
        <v>118</v>
      </c>
      <c r="AV4" s="65">
        <f t="shared" si="15"/>
        <v>111</v>
      </c>
      <c r="AW4" s="65">
        <f t="shared" si="15"/>
        <v>118</v>
      </c>
      <c r="AX4" s="65">
        <f t="shared" ref="AX4:BC4" si="16">+AX19</f>
        <v>126</v>
      </c>
      <c r="AY4" s="65">
        <f t="shared" si="16"/>
        <v>119</v>
      </c>
      <c r="AZ4" s="65">
        <f t="shared" si="16"/>
        <v>131</v>
      </c>
      <c r="BA4" s="65">
        <f t="shared" si="16"/>
        <v>119</v>
      </c>
      <c r="BB4" s="65">
        <f t="shared" si="16"/>
        <v>132</v>
      </c>
      <c r="BC4" s="65">
        <f t="shared" si="16"/>
        <v>119</v>
      </c>
      <c r="BD4" s="65">
        <f>+BD19</f>
        <v>143</v>
      </c>
      <c r="BE4" s="65">
        <f>+BE19</f>
        <v>119</v>
      </c>
      <c r="BF4" s="108"/>
      <c r="BG4" s="65">
        <f>+BG19</f>
        <v>119</v>
      </c>
      <c r="BH4" s="65"/>
      <c r="BI4" s="65">
        <f>+BI19</f>
        <v>119</v>
      </c>
      <c r="BJ4" s="65"/>
      <c r="BK4" s="65"/>
      <c r="BL4" s="65"/>
      <c r="BM4" s="65"/>
    </row>
    <row r="5" spans="1:69" x14ac:dyDescent="0.25">
      <c r="A5" s="8" t="s">
        <v>0</v>
      </c>
      <c r="B5" s="21">
        <f t="shared" ref="B5:C8" si="17">+B19</f>
        <v>8.7249999999999996</v>
      </c>
      <c r="C5" s="21">
        <f t="shared" si="17"/>
        <v>1.7213719999999999</v>
      </c>
      <c r="D5" s="21">
        <f>+D19</f>
        <v>5.8390690000000003</v>
      </c>
      <c r="E5" s="22">
        <f t="shared" ref="E5:F8" si="18">+E19</f>
        <v>8.5092510000000008</v>
      </c>
      <c r="F5" s="22">
        <f t="shared" si="18"/>
        <v>1.8085229999999999</v>
      </c>
      <c r="G5" s="23">
        <f>+G19</f>
        <v>4.4609819999999996</v>
      </c>
      <c r="H5" s="8" t="s">
        <v>0</v>
      </c>
      <c r="I5" s="21">
        <f t="shared" ref="I5:K8" si="19">+I19</f>
        <v>8.8580000000000005</v>
      </c>
      <c r="J5" s="21">
        <f t="shared" si="19"/>
        <v>1.4893050000000001</v>
      </c>
      <c r="K5" s="21">
        <f t="shared" si="19"/>
        <v>6.6469309999999995</v>
      </c>
      <c r="L5" s="22">
        <f t="shared" ref="L5:N8" si="20">+L19</f>
        <v>7.0788189999999993</v>
      </c>
      <c r="M5" s="22">
        <f t="shared" si="20"/>
        <v>1.4630070000000002</v>
      </c>
      <c r="N5" s="23">
        <f t="shared" si="20"/>
        <v>3.838187</v>
      </c>
      <c r="O5" s="24"/>
      <c r="P5" s="21">
        <f t="shared" ref="P5:R8" si="21">+P19</f>
        <v>8.9260000000000002</v>
      </c>
      <c r="Q5" s="21">
        <f t="shared" si="21"/>
        <v>2.5604989999999996</v>
      </c>
      <c r="R5" s="21">
        <f t="shared" si="21"/>
        <v>5.1617360000000012</v>
      </c>
      <c r="S5" s="22">
        <f t="shared" ref="S5:U8" si="22">+S19</f>
        <v>8.6593520000000002</v>
      </c>
      <c r="T5" s="22">
        <f t="shared" si="22"/>
        <v>1.5277240000000001</v>
      </c>
      <c r="U5" s="23">
        <f t="shared" si="22"/>
        <v>5.3528970000000005</v>
      </c>
      <c r="V5" s="24"/>
      <c r="W5" s="21">
        <f t="shared" ref="W5:Y8" si="23">+W19</f>
        <v>-9.4700000000000006</v>
      </c>
      <c r="X5" s="21">
        <f t="shared" si="23"/>
        <v>1.8600810000000001</v>
      </c>
      <c r="Y5" s="158">
        <f t="shared" si="23"/>
        <v>-13.106833</v>
      </c>
      <c r="Z5" s="22">
        <f t="shared" ref="Z5:AB8" si="24">+Z19</f>
        <v>8.75258</v>
      </c>
      <c r="AA5" s="22">
        <f t="shared" si="24"/>
        <v>1.5600810000000001</v>
      </c>
      <c r="AB5" s="23">
        <f t="shared" si="24"/>
        <v>5.4157469999999996</v>
      </c>
      <c r="AC5" s="24"/>
      <c r="AD5" s="21">
        <f t="shared" si="4"/>
        <v>17.039000000000001</v>
      </c>
      <c r="AE5" s="21">
        <f t="shared" si="5"/>
        <v>7.6312569999999997</v>
      </c>
      <c r="AF5" s="21">
        <f t="shared" si="6"/>
        <v>4.5409030000000019</v>
      </c>
      <c r="AG5" s="22">
        <f t="shared" si="7"/>
        <v>33.000002000000002</v>
      </c>
      <c r="AH5" s="22">
        <f t="shared" si="8"/>
        <v>6.3593350000000006</v>
      </c>
      <c r="AI5" s="23">
        <f t="shared" si="9"/>
        <v>19.067813000000001</v>
      </c>
      <c r="AK5" s="7" t="s">
        <v>59</v>
      </c>
      <c r="AL5" s="65">
        <f t="shared" ref="AL5:AQ5" si="25">+AL20+AL21</f>
        <v>66</v>
      </c>
      <c r="AM5" s="65">
        <f t="shared" si="25"/>
        <v>85</v>
      </c>
      <c r="AN5" s="65">
        <f t="shared" si="25"/>
        <v>65</v>
      </c>
      <c r="AO5" s="65">
        <f t="shared" si="25"/>
        <v>85</v>
      </c>
      <c r="AP5" s="65">
        <f t="shared" si="25"/>
        <v>65</v>
      </c>
      <c r="AQ5" s="65">
        <f t="shared" si="25"/>
        <v>85</v>
      </c>
      <c r="AR5" s="65">
        <f t="shared" ref="AR5:AW5" si="26">+AR20+AR21</f>
        <v>65</v>
      </c>
      <c r="AS5" s="65">
        <f t="shared" si="26"/>
        <v>87</v>
      </c>
      <c r="AT5" s="65">
        <f t="shared" si="26"/>
        <v>71</v>
      </c>
      <c r="AU5" s="65">
        <f t="shared" si="26"/>
        <v>86</v>
      </c>
      <c r="AV5" s="65">
        <f t="shared" si="26"/>
        <v>68</v>
      </c>
      <c r="AW5" s="65">
        <f t="shared" si="26"/>
        <v>87</v>
      </c>
      <c r="AX5" s="65">
        <f t="shared" ref="AX5:BC5" si="27">+AX20+AX21</f>
        <v>73</v>
      </c>
      <c r="AY5" s="65">
        <f t="shared" si="27"/>
        <v>88</v>
      </c>
      <c r="AZ5" s="65">
        <f t="shared" si="27"/>
        <v>81</v>
      </c>
      <c r="BA5" s="65">
        <f t="shared" si="27"/>
        <v>88</v>
      </c>
      <c r="BB5" s="65">
        <f t="shared" si="27"/>
        <v>82</v>
      </c>
      <c r="BC5" s="65">
        <f t="shared" si="27"/>
        <v>88</v>
      </c>
      <c r="BD5" s="65">
        <f>+BD20+BD21</f>
        <v>96</v>
      </c>
      <c r="BE5" s="65">
        <f>+BE20+BE21</f>
        <v>88</v>
      </c>
      <c r="BF5" s="65"/>
      <c r="BG5" s="65">
        <f>+BG20+BG21</f>
        <v>88</v>
      </c>
      <c r="BH5" s="65"/>
      <c r="BI5" s="65">
        <f>+BI20+BI21</f>
        <v>88</v>
      </c>
      <c r="BJ5" s="65"/>
      <c r="BK5" s="65"/>
      <c r="BL5" s="65"/>
      <c r="BM5" s="65"/>
    </row>
    <row r="6" spans="1:69" x14ac:dyDescent="0.25">
      <c r="A6" s="8" t="s">
        <v>28</v>
      </c>
      <c r="B6" s="21">
        <f t="shared" si="17"/>
        <v>1.6720152800000001</v>
      </c>
      <c r="C6" s="21">
        <f t="shared" si="17"/>
        <v>0.79013500000000003</v>
      </c>
      <c r="D6" s="21">
        <f>+D20</f>
        <v>0.33799628000000009</v>
      </c>
      <c r="E6" s="22">
        <f t="shared" si="18"/>
        <v>4.875</v>
      </c>
      <c r="F6" s="22">
        <f t="shared" si="18"/>
        <v>1.8026479999999998</v>
      </c>
      <c r="G6" s="23">
        <f>+G20</f>
        <v>2.2590210000000002</v>
      </c>
      <c r="H6" s="8" t="s">
        <v>28</v>
      </c>
      <c r="I6" s="21">
        <f t="shared" si="19"/>
        <v>2.5505689999999999</v>
      </c>
      <c r="J6" s="21">
        <f t="shared" si="19"/>
        <v>1.2994109999999999</v>
      </c>
      <c r="K6" s="21">
        <f t="shared" si="19"/>
        <v>0.60499100000000006</v>
      </c>
      <c r="L6" s="22">
        <f t="shared" si="20"/>
        <v>11.875</v>
      </c>
      <c r="M6" s="22">
        <f t="shared" si="20"/>
        <v>2.304122</v>
      </c>
      <c r="N6" s="23">
        <f t="shared" si="20"/>
        <v>8.6151859999999996</v>
      </c>
      <c r="O6" s="24"/>
      <c r="P6" s="21">
        <f t="shared" si="21"/>
        <v>0.99688599999999972</v>
      </c>
      <c r="Q6" s="21">
        <f t="shared" si="21"/>
        <v>2.093127</v>
      </c>
      <c r="R6" s="21">
        <f t="shared" si="21"/>
        <v>-1.6838440000000001</v>
      </c>
      <c r="S6" s="22">
        <f t="shared" si="22"/>
        <v>11.875</v>
      </c>
      <c r="T6" s="22">
        <f t="shared" si="22"/>
        <v>2.5170659999999998</v>
      </c>
      <c r="U6" s="23">
        <f t="shared" si="22"/>
        <v>8.401542000000001</v>
      </c>
      <c r="V6" s="24"/>
      <c r="W6" s="21">
        <f t="shared" si="23"/>
        <v>0.85842700000000005</v>
      </c>
      <c r="X6" s="21">
        <f t="shared" si="23"/>
        <v>2.5170659999999998</v>
      </c>
      <c r="Y6" s="158">
        <f t="shared" si="23"/>
        <v>-2.6119809999999997</v>
      </c>
      <c r="Z6" s="22">
        <f t="shared" si="24"/>
        <v>8.875</v>
      </c>
      <c r="AA6" s="22">
        <f t="shared" si="24"/>
        <v>2.5170659999999998</v>
      </c>
      <c r="AB6" s="23">
        <f t="shared" si="24"/>
        <v>5.404592000000001</v>
      </c>
      <c r="AC6" s="24"/>
      <c r="AD6" s="21">
        <f t="shared" si="4"/>
        <v>6.0778972799999993</v>
      </c>
      <c r="AE6" s="21">
        <f t="shared" si="5"/>
        <v>6.6997389999999992</v>
      </c>
      <c r="AF6" s="21">
        <f t="shared" si="6"/>
        <v>-3.3528377199999997</v>
      </c>
      <c r="AG6" s="22">
        <f t="shared" si="7"/>
        <v>37.5</v>
      </c>
      <c r="AH6" s="22">
        <f t="shared" si="8"/>
        <v>9.1409020000000005</v>
      </c>
      <c r="AI6" s="23">
        <f t="shared" si="9"/>
        <v>24.680341000000002</v>
      </c>
      <c r="AK6" s="7" t="s">
        <v>0</v>
      </c>
      <c r="AL6" s="7">
        <f>+AL22</f>
        <v>27</v>
      </c>
      <c r="AM6" s="65">
        <f>+AM22</f>
        <v>32</v>
      </c>
      <c r="AN6" s="7">
        <f t="shared" ref="AN6:AQ7" si="28">+AN22</f>
        <v>19</v>
      </c>
      <c r="AO6" s="65">
        <f t="shared" si="28"/>
        <v>32</v>
      </c>
      <c r="AP6" s="7">
        <f t="shared" si="28"/>
        <v>21</v>
      </c>
      <c r="AQ6" s="65">
        <f t="shared" si="28"/>
        <v>32</v>
      </c>
      <c r="AR6" s="7">
        <f t="shared" ref="AR6:AU7" si="29">+AR22</f>
        <v>23</v>
      </c>
      <c r="AS6" s="65">
        <f t="shared" si="29"/>
        <v>24</v>
      </c>
      <c r="AT6" s="7">
        <f t="shared" si="29"/>
        <v>27</v>
      </c>
      <c r="AU6" s="65">
        <f t="shared" si="29"/>
        <v>24</v>
      </c>
      <c r="AV6" s="7">
        <f t="shared" ref="AV6:AY7" si="30">+AV22</f>
        <v>25</v>
      </c>
      <c r="AW6" s="65">
        <f t="shared" si="30"/>
        <v>24</v>
      </c>
      <c r="AX6" s="7">
        <f t="shared" si="30"/>
        <v>31</v>
      </c>
      <c r="AY6" s="65">
        <f t="shared" si="30"/>
        <v>24</v>
      </c>
      <c r="AZ6" s="7">
        <f t="shared" ref="AZ6:BC7" si="31">+AZ22</f>
        <v>34</v>
      </c>
      <c r="BA6" s="65">
        <f t="shared" si="31"/>
        <v>26</v>
      </c>
      <c r="BB6" s="7">
        <f t="shared" si="31"/>
        <v>44</v>
      </c>
      <c r="BC6" s="65">
        <f t="shared" si="31"/>
        <v>26</v>
      </c>
      <c r="BD6" s="7">
        <f>+BD22</f>
        <v>48</v>
      </c>
      <c r="BE6" s="65">
        <f>+BE22</f>
        <v>26</v>
      </c>
      <c r="BF6" s="65"/>
      <c r="BG6" s="65">
        <f>+BG22</f>
        <v>26</v>
      </c>
      <c r="BH6" s="65"/>
      <c r="BI6" s="65">
        <f>+BI22</f>
        <v>26</v>
      </c>
      <c r="BJ6" s="65"/>
      <c r="BK6" s="65"/>
      <c r="BL6" s="65"/>
      <c r="BM6" s="65"/>
    </row>
    <row r="7" spans="1:69" x14ac:dyDescent="0.25">
      <c r="A7" s="8" t="s">
        <v>27</v>
      </c>
      <c r="B7" s="21">
        <f t="shared" si="17"/>
        <v>13.281756999999999</v>
      </c>
      <c r="C7" s="21">
        <f t="shared" si="17"/>
        <v>2.3647780000000003</v>
      </c>
      <c r="D7" s="21">
        <f>+D21</f>
        <v>9.4641950000000001</v>
      </c>
      <c r="E7" s="22">
        <f t="shared" si="18"/>
        <v>20</v>
      </c>
      <c r="F7" s="22">
        <f t="shared" si="18"/>
        <v>3.4673859999999999</v>
      </c>
      <c r="G7" s="23">
        <f>+G21</f>
        <v>14.454606</v>
      </c>
      <c r="H7" s="8" t="s">
        <v>27</v>
      </c>
      <c r="I7" s="21">
        <f t="shared" si="19"/>
        <v>17.175999999999998</v>
      </c>
      <c r="J7" s="21">
        <f t="shared" si="19"/>
        <v>2.2957269999999999</v>
      </c>
      <c r="K7" s="21">
        <f t="shared" si="19"/>
        <v>13.173132000000001</v>
      </c>
      <c r="L7" s="22">
        <f t="shared" si="20"/>
        <v>27.5</v>
      </c>
      <c r="M7" s="22">
        <f t="shared" si="20"/>
        <v>3.7426159999999999</v>
      </c>
      <c r="N7" s="23">
        <f t="shared" si="20"/>
        <v>21.486755000000002</v>
      </c>
      <c r="O7" s="24"/>
      <c r="P7" s="21">
        <f t="shared" si="21"/>
        <v>5.7214499999999999</v>
      </c>
      <c r="Q7" s="21">
        <f t="shared" si="21"/>
        <v>3.047825</v>
      </c>
      <c r="R7" s="21">
        <f t="shared" si="21"/>
        <v>1.4289799999999999</v>
      </c>
      <c r="S7" s="22">
        <f t="shared" si="22"/>
        <v>27.37</v>
      </c>
      <c r="T7" s="22">
        <f t="shared" si="22"/>
        <v>3.3204479999999998</v>
      </c>
      <c r="U7" s="23">
        <f t="shared" si="22"/>
        <v>21.837183</v>
      </c>
      <c r="V7" s="24"/>
      <c r="W7" s="21">
        <f t="shared" si="23"/>
        <v>3.3159999999999998</v>
      </c>
      <c r="X7" s="21">
        <f t="shared" si="23"/>
        <v>1.8491360000000001</v>
      </c>
      <c r="Y7" s="158">
        <f t="shared" si="23"/>
        <v>0.18545299999999976</v>
      </c>
      <c r="Z7" s="22">
        <f t="shared" si="24"/>
        <v>29.545000000000002</v>
      </c>
      <c r="AA7" s="22">
        <f t="shared" si="24"/>
        <v>1.8491360000000001</v>
      </c>
      <c r="AB7" s="23">
        <f t="shared" si="24"/>
        <v>26.414453000000002</v>
      </c>
      <c r="AC7" s="24"/>
      <c r="AD7" s="21">
        <f t="shared" si="4"/>
        <v>39.495207000000001</v>
      </c>
      <c r="AE7" s="21">
        <f t="shared" si="5"/>
        <v>9.5574659999999998</v>
      </c>
      <c r="AF7" s="21">
        <f t="shared" si="6"/>
        <v>24.251759999999997</v>
      </c>
      <c r="AG7" s="22">
        <f t="shared" si="7"/>
        <v>104.41500000000001</v>
      </c>
      <c r="AH7" s="22">
        <f t="shared" si="8"/>
        <v>12.379585999999998</v>
      </c>
      <c r="AI7" s="23">
        <f t="shared" si="9"/>
        <v>84.192996999999991</v>
      </c>
      <c r="AK7" s="7" t="s">
        <v>1</v>
      </c>
      <c r="AL7" s="7">
        <f>+AL23</f>
        <v>15</v>
      </c>
      <c r="AM7" s="65">
        <f>+AM23</f>
        <v>26</v>
      </c>
      <c r="AN7" s="7">
        <f t="shared" si="28"/>
        <v>17</v>
      </c>
      <c r="AO7" s="65">
        <f t="shared" si="28"/>
        <v>26</v>
      </c>
      <c r="AP7" s="7">
        <f t="shared" si="28"/>
        <v>18</v>
      </c>
      <c r="AQ7" s="65">
        <f t="shared" si="28"/>
        <v>26</v>
      </c>
      <c r="AR7" s="7">
        <f t="shared" si="29"/>
        <v>18</v>
      </c>
      <c r="AS7" s="65">
        <f t="shared" si="29"/>
        <v>36</v>
      </c>
      <c r="AT7" s="7">
        <f t="shared" si="29"/>
        <v>18</v>
      </c>
      <c r="AU7" s="65">
        <f t="shared" si="29"/>
        <v>36</v>
      </c>
      <c r="AV7" s="7">
        <f t="shared" si="30"/>
        <v>15</v>
      </c>
      <c r="AW7" s="65">
        <f t="shared" si="30"/>
        <v>40</v>
      </c>
      <c r="AX7" s="7">
        <f t="shared" si="30"/>
        <v>16</v>
      </c>
      <c r="AY7" s="65">
        <f t="shared" si="30"/>
        <v>42</v>
      </c>
      <c r="AZ7" s="7">
        <f t="shared" si="31"/>
        <v>15</v>
      </c>
      <c r="BA7" s="65">
        <f t="shared" si="31"/>
        <v>42</v>
      </c>
      <c r="BB7" s="7">
        <f t="shared" si="31"/>
        <v>13</v>
      </c>
      <c r="BC7" s="65">
        <f t="shared" si="31"/>
        <v>42</v>
      </c>
      <c r="BD7" s="7">
        <f>+BD23</f>
        <v>30</v>
      </c>
      <c r="BE7" s="65">
        <f>+BE23</f>
        <v>42</v>
      </c>
      <c r="BF7" s="65"/>
      <c r="BG7" s="65">
        <f>+BG23</f>
        <v>42</v>
      </c>
      <c r="BH7" s="65"/>
      <c r="BI7" s="65">
        <f>+BI23</f>
        <v>42</v>
      </c>
      <c r="BJ7" s="65"/>
      <c r="BK7" s="65"/>
      <c r="BL7" s="65"/>
      <c r="BM7" s="65"/>
    </row>
    <row r="8" spans="1:69" x14ac:dyDescent="0.25">
      <c r="A8" s="8" t="s">
        <v>40</v>
      </c>
      <c r="B8" s="21">
        <f t="shared" si="17"/>
        <v>4.0953999999999997E-2</v>
      </c>
      <c r="C8" s="21">
        <f t="shared" si="17"/>
        <v>1.6157969999999997</v>
      </c>
      <c r="D8" s="21">
        <f>+D22</f>
        <v>-1.8434739999999998</v>
      </c>
      <c r="E8" s="22">
        <f t="shared" si="18"/>
        <v>0.5</v>
      </c>
      <c r="F8" s="22">
        <f t="shared" si="18"/>
        <v>1.5556059999999998</v>
      </c>
      <c r="G8" s="23">
        <f>+G22</f>
        <v>-1.2446959999999996</v>
      </c>
      <c r="H8" s="8" t="s">
        <v>40</v>
      </c>
      <c r="I8" s="21">
        <f t="shared" si="19"/>
        <v>1.648452</v>
      </c>
      <c r="J8" s="21">
        <f t="shared" si="19"/>
        <v>4.582465</v>
      </c>
      <c r="K8" s="21">
        <f t="shared" si="19"/>
        <v>-3.767201</v>
      </c>
      <c r="L8" s="22">
        <f t="shared" si="20"/>
        <v>1.3109999999999999</v>
      </c>
      <c r="M8" s="22">
        <f t="shared" si="20"/>
        <v>4.3568180000000005</v>
      </c>
      <c r="N8" s="23">
        <f t="shared" si="20"/>
        <v>-3.6237109999999992</v>
      </c>
      <c r="O8" s="24"/>
      <c r="P8" s="21">
        <f t="shared" si="21"/>
        <v>1.2664900000000001</v>
      </c>
      <c r="Q8" s="21">
        <f t="shared" si="21"/>
        <v>3.6831990000000001</v>
      </c>
      <c r="R8" s="21">
        <f t="shared" si="21"/>
        <v>-4.1581299999999999</v>
      </c>
      <c r="S8" s="22">
        <f t="shared" si="22"/>
        <v>5.7050000000000001</v>
      </c>
      <c r="T8" s="22">
        <f t="shared" si="22"/>
        <v>4.6250780000000002</v>
      </c>
      <c r="U8" s="23">
        <f t="shared" si="22"/>
        <v>0.24683999999999923</v>
      </c>
      <c r="V8" s="24"/>
      <c r="W8" s="21">
        <f t="shared" si="23"/>
        <v>-0.15209600000000001</v>
      </c>
      <c r="X8" s="21">
        <f t="shared" si="23"/>
        <v>7.3221759999999998</v>
      </c>
      <c r="Y8" s="158">
        <f t="shared" si="23"/>
        <v>-8.9153059999999993</v>
      </c>
      <c r="Z8" s="22">
        <f t="shared" si="24"/>
        <v>13.3055</v>
      </c>
      <c r="AA8" s="22">
        <f t="shared" si="24"/>
        <v>7.3221759999999998</v>
      </c>
      <c r="AB8" s="23">
        <f t="shared" si="24"/>
        <v>4.5422900000000013</v>
      </c>
      <c r="AC8" s="24"/>
      <c r="AD8" s="21">
        <f t="shared" si="4"/>
        <v>2.8037999999999998</v>
      </c>
      <c r="AE8" s="21">
        <f t="shared" si="5"/>
        <v>17.203637000000001</v>
      </c>
      <c r="AF8" s="21">
        <f t="shared" si="6"/>
        <v>-18.684111000000001</v>
      </c>
      <c r="AG8" s="22">
        <f t="shared" si="7"/>
        <v>20.8215</v>
      </c>
      <c r="AH8" s="23">
        <f t="shared" si="8"/>
        <v>17.859677999999999</v>
      </c>
      <c r="AI8" s="23">
        <f t="shared" si="9"/>
        <v>-7.9276999999998488E-2</v>
      </c>
      <c r="AK8" s="7" t="s">
        <v>2</v>
      </c>
      <c r="AL8" s="7">
        <f t="shared" ref="AL8:AU8" si="32">+AL29</f>
        <v>40</v>
      </c>
      <c r="AM8" s="7">
        <f t="shared" si="32"/>
        <v>54</v>
      </c>
      <c r="AN8" s="7">
        <f t="shared" si="32"/>
        <v>42</v>
      </c>
      <c r="AO8" s="7">
        <f t="shared" si="32"/>
        <v>54</v>
      </c>
      <c r="AP8" s="7">
        <f t="shared" si="32"/>
        <v>41</v>
      </c>
      <c r="AQ8" s="7">
        <f t="shared" si="32"/>
        <v>54</v>
      </c>
      <c r="AR8" s="7">
        <f t="shared" si="32"/>
        <v>41</v>
      </c>
      <c r="AS8" s="7">
        <f t="shared" si="32"/>
        <v>54</v>
      </c>
      <c r="AT8" s="7">
        <f t="shared" si="32"/>
        <v>46</v>
      </c>
      <c r="AU8" s="7">
        <f t="shared" si="32"/>
        <v>54</v>
      </c>
      <c r="AV8" s="7">
        <f t="shared" ref="AV8:BA8" si="33">+AV29</f>
        <v>48</v>
      </c>
      <c r="AW8" s="7">
        <f t="shared" si="33"/>
        <v>54</v>
      </c>
      <c r="AX8" s="7">
        <f t="shared" si="33"/>
        <v>46</v>
      </c>
      <c r="AY8" s="7">
        <f t="shared" si="33"/>
        <v>54</v>
      </c>
      <c r="AZ8" s="7">
        <f t="shared" si="33"/>
        <v>41</v>
      </c>
      <c r="BA8" s="7">
        <f t="shared" si="33"/>
        <v>54</v>
      </c>
      <c r="BB8" s="7">
        <f>+BB29</f>
        <v>38</v>
      </c>
      <c r="BC8" s="7">
        <f>+BC29</f>
        <v>54</v>
      </c>
      <c r="BD8" s="7">
        <f>+BD29</f>
        <v>34</v>
      </c>
      <c r="BE8" s="7">
        <f>+BE29</f>
        <v>54</v>
      </c>
      <c r="BF8" s="65"/>
      <c r="BG8" s="7">
        <f>+BG29</f>
        <v>54</v>
      </c>
      <c r="BH8" s="65"/>
      <c r="BI8" s="7">
        <f>+BI29</f>
        <v>54</v>
      </c>
      <c r="BJ8" s="65"/>
      <c r="BK8" s="65"/>
      <c r="BL8" s="65"/>
      <c r="BM8" s="65"/>
    </row>
    <row r="9" spans="1:69" x14ac:dyDescent="0.25">
      <c r="A9" s="8" t="s">
        <v>43</v>
      </c>
      <c r="B9" s="21">
        <f t="shared" ref="B9:G9" si="34">+B23+B24</f>
        <v>0.72031200000000006</v>
      </c>
      <c r="C9" s="21">
        <f t="shared" si="34"/>
        <v>3.1919929999999996</v>
      </c>
      <c r="D9" s="21">
        <f t="shared" si="34"/>
        <v>-4.0442699999999991</v>
      </c>
      <c r="E9" s="22">
        <f t="shared" si="34"/>
        <v>2.1414989999999996</v>
      </c>
      <c r="F9" s="22">
        <f t="shared" si="34"/>
        <v>1.7027920000000001</v>
      </c>
      <c r="G9" s="23">
        <f t="shared" si="34"/>
        <v>-1.3346310000000003</v>
      </c>
      <c r="H9" s="8" t="s">
        <v>43</v>
      </c>
      <c r="I9" s="21">
        <f t="shared" ref="I9:N9" si="35">+I23+I24</f>
        <v>2.8330689999999996</v>
      </c>
      <c r="J9" s="21">
        <f t="shared" si="35"/>
        <v>5.8071459999999995</v>
      </c>
      <c r="K9" s="21">
        <f t="shared" si="35"/>
        <v>-4.5315430000000001</v>
      </c>
      <c r="L9" s="22">
        <f t="shared" si="35"/>
        <v>6.3724989999999995</v>
      </c>
      <c r="M9" s="22">
        <f t="shared" si="35"/>
        <v>1.732531</v>
      </c>
      <c r="N9" s="23">
        <f t="shared" si="35"/>
        <v>2.875057</v>
      </c>
      <c r="O9" s="24"/>
      <c r="P9" s="21">
        <f t="shared" ref="P9:U9" si="36">+P23+P24</f>
        <v>1.5743530000000001</v>
      </c>
      <c r="Q9" s="21">
        <f t="shared" si="36"/>
        <v>6.1434679999999995</v>
      </c>
      <c r="R9" s="21">
        <f t="shared" si="36"/>
        <v>-5.7566199999999998</v>
      </c>
      <c r="S9" s="22">
        <f t="shared" si="36"/>
        <v>8</v>
      </c>
      <c r="T9" s="22">
        <f t="shared" si="36"/>
        <v>1.43025</v>
      </c>
      <c r="U9" s="23">
        <f t="shared" si="36"/>
        <v>5.3767870000000002</v>
      </c>
      <c r="V9" s="24"/>
      <c r="W9" s="21">
        <f t="shared" ref="W9:AB9" si="37">+W23+W24</f>
        <v>2.3210000000000002</v>
      </c>
      <c r="X9" s="21">
        <f t="shared" si="37"/>
        <v>6.2702499999999999</v>
      </c>
      <c r="Y9" s="158">
        <f t="shared" si="37"/>
        <v>-5.1384280000000002</v>
      </c>
      <c r="Z9" s="22">
        <f t="shared" si="37"/>
        <v>44</v>
      </c>
      <c r="AA9" s="22">
        <f t="shared" si="37"/>
        <v>1.43025</v>
      </c>
      <c r="AB9" s="23">
        <f t="shared" si="37"/>
        <v>41.380572000000001</v>
      </c>
      <c r="AC9" s="24"/>
      <c r="AD9" s="21">
        <f t="shared" ref="AD9:AI9" si="38">+B9+I9+P9+W9</f>
        <v>7.448734</v>
      </c>
      <c r="AE9" s="21">
        <f t="shared" si="38"/>
        <v>21.412856999999999</v>
      </c>
      <c r="AF9" s="21">
        <f t="shared" si="38"/>
        <v>-19.470860999999999</v>
      </c>
      <c r="AG9" s="22">
        <f t="shared" si="38"/>
        <v>60.513998000000001</v>
      </c>
      <c r="AH9" s="23">
        <f t="shared" si="38"/>
        <v>6.2958230000000004</v>
      </c>
      <c r="AI9" s="23">
        <f t="shared" si="38"/>
        <v>48.297785000000005</v>
      </c>
      <c r="AK9" s="7" t="s">
        <v>40</v>
      </c>
      <c r="AL9" s="7">
        <f t="shared" ref="AL9:AU9" si="39">+AL24</f>
        <v>7</v>
      </c>
      <c r="AM9" s="65">
        <f t="shared" si="39"/>
        <v>6</v>
      </c>
      <c r="AN9" s="7">
        <f t="shared" si="39"/>
        <v>8</v>
      </c>
      <c r="AO9" s="65">
        <f t="shared" si="39"/>
        <v>6</v>
      </c>
      <c r="AP9" s="7">
        <f t="shared" si="39"/>
        <v>20</v>
      </c>
      <c r="AQ9" s="65">
        <f t="shared" si="39"/>
        <v>20</v>
      </c>
      <c r="AR9" s="7">
        <f t="shared" si="39"/>
        <v>22</v>
      </c>
      <c r="AS9" s="65">
        <f t="shared" si="39"/>
        <v>37</v>
      </c>
      <c r="AT9" s="7">
        <f t="shared" si="39"/>
        <v>57</v>
      </c>
      <c r="AU9" s="65">
        <f t="shared" si="39"/>
        <v>37</v>
      </c>
      <c r="AV9" s="7">
        <f t="shared" ref="AV9:BA9" si="40">+AV24</f>
        <v>42</v>
      </c>
      <c r="AW9" s="65">
        <f t="shared" si="40"/>
        <v>37</v>
      </c>
      <c r="AX9" s="7">
        <f t="shared" si="40"/>
        <v>51</v>
      </c>
      <c r="AY9" s="65">
        <f t="shared" si="40"/>
        <v>63</v>
      </c>
      <c r="AZ9" s="7">
        <f t="shared" si="40"/>
        <v>55</v>
      </c>
      <c r="BA9" s="65">
        <f t="shared" si="40"/>
        <v>63</v>
      </c>
      <c r="BB9" s="7">
        <f>+BB24</f>
        <v>62</v>
      </c>
      <c r="BC9" s="65">
        <f>+BC24</f>
        <v>63</v>
      </c>
      <c r="BD9" s="7">
        <f>+BD24</f>
        <v>62</v>
      </c>
      <c r="BE9" s="65">
        <f>+BE24</f>
        <v>92</v>
      </c>
      <c r="BF9" s="65"/>
      <c r="BG9" s="65">
        <f>+BG24</f>
        <v>92</v>
      </c>
      <c r="BH9" s="65"/>
      <c r="BI9" s="65">
        <f>+BI24</f>
        <v>92</v>
      </c>
      <c r="BJ9" s="65"/>
      <c r="BK9" s="65"/>
      <c r="BL9" s="65"/>
      <c r="BM9" s="65"/>
    </row>
    <row r="10" spans="1:69" x14ac:dyDescent="0.25">
      <c r="A10" s="8" t="s">
        <v>98</v>
      </c>
      <c r="B10" s="21"/>
      <c r="C10" s="21"/>
      <c r="D10" s="21"/>
      <c r="E10" s="22"/>
      <c r="F10" s="22"/>
      <c r="G10" s="23"/>
      <c r="H10" s="8" t="s">
        <v>98</v>
      </c>
      <c r="I10" s="21"/>
      <c r="J10" s="21"/>
      <c r="K10" s="21"/>
      <c r="L10" s="22"/>
      <c r="M10" s="22"/>
      <c r="N10" s="23"/>
      <c r="O10" s="24"/>
      <c r="P10" s="21">
        <f t="shared" ref="P10:U10" si="41">+P25</f>
        <v>8.4899999999999993E-4</v>
      </c>
      <c r="Q10" s="21">
        <f t="shared" si="41"/>
        <v>0.93087699999999995</v>
      </c>
      <c r="R10" s="21">
        <f t="shared" si="41"/>
        <v>-2.53091</v>
      </c>
      <c r="S10" s="22">
        <f t="shared" si="41"/>
        <v>3.75</v>
      </c>
      <c r="T10" s="22">
        <f t="shared" si="41"/>
        <v>1.542486</v>
      </c>
      <c r="U10" s="23">
        <f t="shared" si="41"/>
        <v>0.38362199999999985</v>
      </c>
      <c r="V10" s="24"/>
      <c r="W10" s="21">
        <f t="shared" ref="W10:Y11" si="42">+W25</f>
        <v>1.4759999999999999E-3</v>
      </c>
      <c r="X10" s="21">
        <f t="shared" si="42"/>
        <v>1.542486</v>
      </c>
      <c r="Y10" s="158">
        <f t="shared" si="42"/>
        <v>-3.3649019999999998</v>
      </c>
      <c r="Z10" s="22">
        <f t="shared" ref="Z10:AB11" si="43">+Z25</f>
        <v>3.75</v>
      </c>
      <c r="AA10" s="22">
        <f t="shared" si="43"/>
        <v>1.542486</v>
      </c>
      <c r="AB10" s="23">
        <f t="shared" si="43"/>
        <v>0.38362199999999985</v>
      </c>
      <c r="AC10" s="24"/>
      <c r="AD10" s="21">
        <f t="shared" ref="AD10:AI10" si="44">+B10+I10+P10+W10</f>
        <v>2.3249999999999998E-3</v>
      </c>
      <c r="AE10" s="21">
        <f t="shared" si="44"/>
        <v>2.473363</v>
      </c>
      <c r="AF10" s="21">
        <f t="shared" si="44"/>
        <v>-5.8958119999999994</v>
      </c>
      <c r="AG10" s="22">
        <f t="shared" si="44"/>
        <v>7.5</v>
      </c>
      <c r="AH10" s="23">
        <f t="shared" si="44"/>
        <v>3.084972</v>
      </c>
      <c r="AI10" s="23">
        <f t="shared" si="44"/>
        <v>0.7672439999999997</v>
      </c>
      <c r="AK10" s="7" t="s">
        <v>58</v>
      </c>
      <c r="AL10" s="7">
        <f t="shared" ref="AL10:AU10" si="45">+AL26+AL27+AL28</f>
        <v>58</v>
      </c>
      <c r="AM10" s="7">
        <f t="shared" si="45"/>
        <v>72</v>
      </c>
      <c r="AN10" s="7">
        <f t="shared" si="45"/>
        <v>56</v>
      </c>
      <c r="AO10" s="7">
        <f t="shared" si="45"/>
        <v>72</v>
      </c>
      <c r="AP10" s="7">
        <f t="shared" si="45"/>
        <v>57.5</v>
      </c>
      <c r="AQ10" s="7">
        <f t="shared" si="45"/>
        <v>73</v>
      </c>
      <c r="AR10" s="7">
        <f t="shared" si="45"/>
        <v>39.5</v>
      </c>
      <c r="AS10" s="7">
        <f t="shared" si="45"/>
        <v>51</v>
      </c>
      <c r="AT10" s="7">
        <f t="shared" si="45"/>
        <v>41</v>
      </c>
      <c r="AU10" s="7">
        <f t="shared" si="45"/>
        <v>51</v>
      </c>
      <c r="AV10" s="7">
        <f t="shared" ref="AV10:BA10" si="46">+AV26+AV27+AV28</f>
        <v>37</v>
      </c>
      <c r="AW10" s="7">
        <f t="shared" si="46"/>
        <v>53</v>
      </c>
      <c r="AX10" s="7">
        <f t="shared" si="46"/>
        <v>35</v>
      </c>
      <c r="AY10" s="7">
        <f t="shared" si="46"/>
        <v>44</v>
      </c>
      <c r="AZ10" s="7">
        <f t="shared" si="46"/>
        <v>36</v>
      </c>
      <c r="BA10" s="7">
        <f t="shared" si="46"/>
        <v>44</v>
      </c>
      <c r="BB10" s="7">
        <f>+BB26+BB27+BB28</f>
        <v>34</v>
      </c>
      <c r="BC10" s="7">
        <f>+BC26+BC27+BC28</f>
        <v>44</v>
      </c>
      <c r="BD10" s="7">
        <f>+BD26+BD27+BD28</f>
        <v>38</v>
      </c>
      <c r="BE10" s="7">
        <f>+BE26+BE27+BE28</f>
        <v>44</v>
      </c>
      <c r="BF10" s="65"/>
      <c r="BG10" s="7">
        <f>+BG26+BG27+BG28</f>
        <v>44</v>
      </c>
      <c r="BH10" s="65"/>
      <c r="BI10" s="7">
        <f>+BI26+BI27+BI28</f>
        <v>44</v>
      </c>
      <c r="BJ10" s="65"/>
      <c r="BK10" s="65"/>
      <c r="BL10" s="65"/>
      <c r="BM10" s="65"/>
    </row>
    <row r="11" spans="1:69" ht="13.8" thickBot="1" x14ac:dyDescent="0.3">
      <c r="A11" s="152" t="s">
        <v>99</v>
      </c>
      <c r="B11" s="21">
        <f t="shared" ref="B11:G11" si="47">+B26</f>
        <v>0.21596799999999999</v>
      </c>
      <c r="C11" s="21">
        <f t="shared" si="47"/>
        <v>33.163512000000004</v>
      </c>
      <c r="D11" s="21">
        <f t="shared" si="47"/>
        <v>-15.7017925</v>
      </c>
      <c r="E11" s="22">
        <f t="shared" si="47"/>
        <v>2.5230000000000001</v>
      </c>
      <c r="F11" s="22">
        <f t="shared" si="47"/>
        <v>29.978772999999997</v>
      </c>
      <c r="G11" s="23">
        <f t="shared" si="47"/>
        <v>-6.1094079999999993</v>
      </c>
      <c r="H11" s="152" t="s">
        <v>96</v>
      </c>
      <c r="I11" s="21">
        <f t="shared" ref="I11:N11" si="48">+I26</f>
        <v>2.1317629999999999</v>
      </c>
      <c r="J11" s="21">
        <f t="shared" si="48"/>
        <v>33.355591000000004</v>
      </c>
      <c r="K11" s="21">
        <f t="shared" si="48"/>
        <v>-13.751741000000003</v>
      </c>
      <c r="L11" s="22">
        <f t="shared" si="48"/>
        <v>6.2161040000000005</v>
      </c>
      <c r="M11" s="22">
        <f t="shared" si="48"/>
        <v>29.624556999999996</v>
      </c>
      <c r="N11" s="23">
        <f t="shared" si="48"/>
        <v>-1.9159829999999893</v>
      </c>
      <c r="O11" s="24"/>
      <c r="P11" s="21">
        <f t="shared" ref="P11:U11" si="49">+P26</f>
        <v>-3.7758059999999958</v>
      </c>
      <c r="Q11" s="21">
        <f t="shared" si="49"/>
        <v>1.1761949999999999</v>
      </c>
      <c r="R11" s="21">
        <f t="shared" si="49"/>
        <v>-59.272211999999989</v>
      </c>
      <c r="S11" s="22">
        <f t="shared" si="49"/>
        <v>7.2037009999999997</v>
      </c>
      <c r="T11" s="22">
        <f t="shared" si="49"/>
        <v>31.272687999999999</v>
      </c>
      <c r="U11" s="23">
        <f t="shared" si="49"/>
        <v>-1.1209170000000022</v>
      </c>
      <c r="V11" s="24"/>
      <c r="W11" s="21">
        <f t="shared" si="42"/>
        <v>-28.853000000000002</v>
      </c>
      <c r="X11" s="21">
        <f t="shared" si="42"/>
        <v>1.371521</v>
      </c>
      <c r="Y11" s="158">
        <f t="shared" si="42"/>
        <v>-50.218253999999988</v>
      </c>
      <c r="Z11" s="22">
        <f t="shared" si="43"/>
        <v>3.3333919999999999</v>
      </c>
      <c r="AA11" s="22">
        <f t="shared" si="43"/>
        <v>44.013506</v>
      </c>
      <c r="AB11" s="23">
        <f t="shared" si="43"/>
        <v>-18.031861999999997</v>
      </c>
      <c r="AC11" s="24"/>
      <c r="AD11" s="21">
        <f t="shared" ref="AD11:AI11" si="50">+B11+I11+P11+W11</f>
        <v>-30.281074999999998</v>
      </c>
      <c r="AE11" s="21">
        <f t="shared" si="50"/>
        <v>69.06681900000001</v>
      </c>
      <c r="AF11" s="21">
        <f t="shared" si="50"/>
        <v>-138.94399949999996</v>
      </c>
      <c r="AG11" s="22">
        <f t="shared" si="50"/>
        <v>19.276197</v>
      </c>
      <c r="AH11" s="22">
        <f t="shared" si="50"/>
        <v>134.88952399999999</v>
      </c>
      <c r="AI11" s="23">
        <f t="shared" si="50"/>
        <v>-27.178169999999987</v>
      </c>
      <c r="AK11" s="7" t="s">
        <v>98</v>
      </c>
      <c r="AL11" s="7">
        <f>+AL25</f>
        <v>0</v>
      </c>
      <c r="AM11" s="7">
        <f t="shared" ref="AM11:AU11" si="51">+AM25</f>
        <v>0</v>
      </c>
      <c r="AN11" s="7">
        <f t="shared" si="51"/>
        <v>0</v>
      </c>
      <c r="AO11" s="7">
        <f t="shared" si="51"/>
        <v>0</v>
      </c>
      <c r="AP11" s="7">
        <f t="shared" si="51"/>
        <v>0</v>
      </c>
      <c r="AQ11" s="7">
        <f t="shared" si="51"/>
        <v>0</v>
      </c>
      <c r="AR11" s="7">
        <f t="shared" si="51"/>
        <v>0</v>
      </c>
      <c r="AS11" s="7">
        <f t="shared" si="51"/>
        <v>0</v>
      </c>
      <c r="AT11" s="7">
        <f t="shared" si="51"/>
        <v>0</v>
      </c>
      <c r="AU11" s="7">
        <f t="shared" si="51"/>
        <v>0</v>
      </c>
      <c r="AV11" s="7">
        <f t="shared" ref="AV11:BA11" si="52">+AV25</f>
        <v>0</v>
      </c>
      <c r="AW11" s="7">
        <f t="shared" si="52"/>
        <v>0</v>
      </c>
      <c r="AX11" s="7">
        <f t="shared" si="52"/>
        <v>19</v>
      </c>
      <c r="AY11" s="7">
        <f t="shared" si="52"/>
        <v>24</v>
      </c>
      <c r="AZ11" s="7">
        <f t="shared" si="52"/>
        <v>19</v>
      </c>
      <c r="BA11" s="7">
        <f t="shared" si="52"/>
        <v>24</v>
      </c>
      <c r="BB11" s="7">
        <f>+BB25</f>
        <v>18</v>
      </c>
      <c r="BC11" s="7">
        <f>+BC25</f>
        <v>24</v>
      </c>
      <c r="BD11" s="7">
        <f>+BD25</f>
        <v>18</v>
      </c>
      <c r="BE11" s="7">
        <f>+BE25</f>
        <v>27</v>
      </c>
      <c r="BF11" s="7"/>
      <c r="BG11" s="7">
        <f>+BG25</f>
        <v>27</v>
      </c>
      <c r="BH11" s="7"/>
      <c r="BI11" s="7">
        <f>+BI25</f>
        <v>27</v>
      </c>
      <c r="BJ11" s="65"/>
      <c r="BK11" s="65"/>
      <c r="BL11" s="65"/>
      <c r="BM11" s="65"/>
    </row>
    <row r="12" spans="1:69" ht="13.8" thickBot="1" x14ac:dyDescent="0.3">
      <c r="A12" s="8" t="s">
        <v>17</v>
      </c>
      <c r="B12" s="36">
        <f t="shared" ref="B12:G12" si="53">SUM(B3:B11)</f>
        <v>100.66806961</v>
      </c>
      <c r="C12" s="37">
        <f t="shared" si="53"/>
        <v>54.071289000000007</v>
      </c>
      <c r="D12" s="37">
        <f t="shared" si="53"/>
        <v>46.315662610000004</v>
      </c>
      <c r="E12" s="39">
        <f t="shared" si="53"/>
        <v>97.298749999999998</v>
      </c>
      <c r="F12" s="39">
        <f t="shared" si="53"/>
        <v>52.310209999999998</v>
      </c>
      <c r="G12" s="40">
        <f t="shared" si="53"/>
        <v>44.988539999999993</v>
      </c>
      <c r="H12" s="8" t="s">
        <v>17</v>
      </c>
      <c r="I12" s="36">
        <f t="shared" ref="I12:N12" si="54">SUM(I3:I11)</f>
        <v>94.209201520000008</v>
      </c>
      <c r="J12" s="37">
        <f t="shared" si="54"/>
        <v>59.979376000000002</v>
      </c>
      <c r="K12" s="37">
        <f t="shared" si="54"/>
        <v>34.129964519999994</v>
      </c>
      <c r="L12" s="38">
        <f t="shared" si="54"/>
        <v>111.60342199999999</v>
      </c>
      <c r="M12" s="39">
        <f t="shared" si="54"/>
        <v>55.578954999999993</v>
      </c>
      <c r="N12" s="40">
        <f t="shared" si="54"/>
        <v>56.023991000000009</v>
      </c>
      <c r="O12" s="25"/>
      <c r="P12" s="36">
        <f t="shared" ref="P12:U12" si="55">SUM(P3:P11)</f>
        <v>31.038480000000007</v>
      </c>
      <c r="Q12" s="37">
        <f t="shared" si="55"/>
        <v>32.75573399999999</v>
      </c>
      <c r="R12" s="37">
        <f t="shared" si="55"/>
        <v>-31.105953999999983</v>
      </c>
      <c r="S12" s="38">
        <f t="shared" si="55"/>
        <v>123.813053</v>
      </c>
      <c r="T12" s="39">
        <f t="shared" si="55"/>
        <v>58.601922000000002</v>
      </c>
      <c r="U12" s="40">
        <f t="shared" si="55"/>
        <v>65.211130999999995</v>
      </c>
      <c r="V12" s="25"/>
      <c r="W12" s="37">
        <f t="shared" ref="W12:AB12" si="56">SUM(W3:W11)</f>
        <v>-76.862033999999994</v>
      </c>
      <c r="X12" s="159">
        <f t="shared" si="56"/>
        <v>35.094576999999994</v>
      </c>
      <c r="Y12" s="160">
        <f t="shared" si="56"/>
        <v>-154.59859599999999</v>
      </c>
      <c r="Z12" s="38">
        <f t="shared" si="56"/>
        <v>175.31147199999998</v>
      </c>
      <c r="AA12" s="39">
        <f t="shared" si="56"/>
        <v>72.596562000000006</v>
      </c>
      <c r="AB12" s="40">
        <f t="shared" si="56"/>
        <v>102.71491</v>
      </c>
      <c r="AC12" s="24"/>
      <c r="AD12" s="36">
        <f t="shared" ref="AD12:AI12" si="57">SUM(AD3:AD11)</f>
        <v>149.05371713000002</v>
      </c>
      <c r="AE12" s="37">
        <f t="shared" si="57"/>
        <v>181.90097600000001</v>
      </c>
      <c r="AF12" s="37">
        <f t="shared" si="57"/>
        <v>-105.25892286999996</v>
      </c>
      <c r="AG12" s="38">
        <f t="shared" si="57"/>
        <v>508.02669700000007</v>
      </c>
      <c r="AH12" s="39">
        <f t="shared" si="57"/>
        <v>239.087649</v>
      </c>
      <c r="AI12" s="40">
        <f t="shared" si="57"/>
        <v>268.93857200000008</v>
      </c>
      <c r="AK12" s="7" t="s">
        <v>33</v>
      </c>
      <c r="AL12" s="7">
        <f t="shared" ref="AL12:AU12" si="58">+AL30</f>
        <v>220</v>
      </c>
      <c r="AM12" s="7">
        <f t="shared" si="58"/>
        <v>230</v>
      </c>
      <c r="AN12" s="7">
        <f t="shared" si="58"/>
        <v>233</v>
      </c>
      <c r="AO12" s="7">
        <f t="shared" si="58"/>
        <v>228</v>
      </c>
      <c r="AP12" s="7">
        <f t="shared" si="58"/>
        <v>228</v>
      </c>
      <c r="AQ12" s="7">
        <f t="shared" si="58"/>
        <v>228</v>
      </c>
      <c r="AR12" s="7">
        <f t="shared" si="58"/>
        <v>145</v>
      </c>
      <c r="AS12" s="7">
        <f t="shared" si="58"/>
        <v>106</v>
      </c>
      <c r="AT12" s="7">
        <f t="shared" si="58"/>
        <v>158</v>
      </c>
      <c r="AU12" s="7">
        <f t="shared" si="58"/>
        <v>118</v>
      </c>
      <c r="AV12" s="7">
        <f t="shared" ref="AV12:BA12" si="59">+AV30</f>
        <v>151</v>
      </c>
      <c r="AW12" s="7">
        <f t="shared" si="59"/>
        <v>120</v>
      </c>
      <c r="AX12" s="7">
        <f t="shared" si="59"/>
        <v>144</v>
      </c>
      <c r="AY12" s="7">
        <f t="shared" si="59"/>
        <v>120</v>
      </c>
      <c r="AZ12" s="7">
        <f t="shared" si="59"/>
        <v>141</v>
      </c>
      <c r="BA12" s="7">
        <f t="shared" si="59"/>
        <v>120</v>
      </c>
      <c r="BB12" s="7">
        <f>+BB30</f>
        <v>138</v>
      </c>
      <c r="BC12" s="7">
        <f>+BC30</f>
        <v>118</v>
      </c>
      <c r="BD12" s="7">
        <f>+BD30</f>
        <v>165</v>
      </c>
      <c r="BE12" s="7">
        <f>+BE30</f>
        <v>118</v>
      </c>
      <c r="BF12" s="106"/>
      <c r="BG12" s="7">
        <f>+BG30</f>
        <v>118</v>
      </c>
      <c r="BH12" s="65"/>
      <c r="BI12" s="7">
        <f>+BI30</f>
        <v>118</v>
      </c>
      <c r="BJ12" s="65"/>
      <c r="BK12" s="65"/>
      <c r="BL12" s="65"/>
      <c r="BM12" s="65"/>
    </row>
    <row r="13" spans="1:69" x14ac:dyDescent="0.25">
      <c r="A13" s="7"/>
      <c r="B13" s="24"/>
      <c r="C13" s="24"/>
      <c r="D13" s="24"/>
      <c r="E13" s="24"/>
      <c r="F13" s="24"/>
      <c r="G13" s="24"/>
      <c r="H13" s="7"/>
      <c r="I13" s="24"/>
      <c r="J13" s="24"/>
      <c r="K13" s="24"/>
      <c r="L13" s="24"/>
      <c r="M13" s="24"/>
      <c r="N13" s="24"/>
      <c r="O13" s="26"/>
      <c r="P13" s="24"/>
      <c r="Q13" s="24"/>
      <c r="R13" s="24"/>
      <c r="S13" s="24"/>
      <c r="T13" s="24"/>
      <c r="U13" s="24"/>
      <c r="V13" s="26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K13" s="1" t="s">
        <v>18</v>
      </c>
      <c r="AL13" s="1">
        <f t="shared" ref="AL13:AU13" si="60">SUM(AL4:AL12)</f>
        <v>545</v>
      </c>
      <c r="AM13" s="106">
        <f t="shared" si="60"/>
        <v>622</v>
      </c>
      <c r="AN13" s="106">
        <f t="shared" si="60"/>
        <v>551</v>
      </c>
      <c r="AO13" s="106">
        <f t="shared" si="60"/>
        <v>620</v>
      </c>
      <c r="AP13" s="106">
        <f t="shared" si="60"/>
        <v>562</v>
      </c>
      <c r="AQ13" s="106">
        <f t="shared" si="60"/>
        <v>635</v>
      </c>
      <c r="AR13" s="106">
        <f t="shared" si="60"/>
        <v>464</v>
      </c>
      <c r="AS13" s="106">
        <f t="shared" si="60"/>
        <v>513</v>
      </c>
      <c r="AT13" s="106">
        <f t="shared" si="60"/>
        <v>523</v>
      </c>
      <c r="AU13" s="106">
        <f t="shared" si="60"/>
        <v>524</v>
      </c>
      <c r="AV13" s="106">
        <f t="shared" ref="AV13:BD13" si="61">SUM(AV4:AV12)</f>
        <v>497</v>
      </c>
      <c r="AW13" s="106">
        <f t="shared" si="61"/>
        <v>533</v>
      </c>
      <c r="AX13" s="106">
        <f t="shared" si="61"/>
        <v>541</v>
      </c>
      <c r="AY13" s="106">
        <f t="shared" si="61"/>
        <v>578</v>
      </c>
      <c r="AZ13" s="106">
        <f t="shared" si="61"/>
        <v>553</v>
      </c>
      <c r="BA13" s="106">
        <f t="shared" si="61"/>
        <v>580</v>
      </c>
      <c r="BB13" s="106">
        <f t="shared" si="61"/>
        <v>561</v>
      </c>
      <c r="BC13" s="106">
        <f>SUM(BC4:BC12)</f>
        <v>578</v>
      </c>
      <c r="BD13" s="106">
        <f t="shared" si="61"/>
        <v>634</v>
      </c>
      <c r="BE13" s="106">
        <f>SUM(BE4:BE12)</f>
        <v>610</v>
      </c>
      <c r="BF13" s="65"/>
      <c r="BG13" s="106">
        <f>SUM(BG4:BG12)</f>
        <v>610</v>
      </c>
      <c r="BH13" s="65"/>
      <c r="BI13" s="106">
        <f>SUM(BI4:BI12)</f>
        <v>610</v>
      </c>
      <c r="BJ13" s="65"/>
      <c r="BK13" s="65"/>
      <c r="BL13" s="65"/>
      <c r="BM13" s="65"/>
    </row>
    <row r="14" spans="1:69" ht="15" x14ac:dyDescent="0.25">
      <c r="A14" s="9"/>
      <c r="B14" s="10" t="s">
        <v>20</v>
      </c>
      <c r="C14" s="10"/>
      <c r="D14" s="10"/>
      <c r="E14" s="10" t="s">
        <v>20</v>
      </c>
      <c r="F14" s="10"/>
      <c r="G14" s="10"/>
      <c r="H14" s="9"/>
      <c r="I14" s="10" t="s">
        <v>21</v>
      </c>
      <c r="J14" s="10"/>
      <c r="K14" s="10"/>
      <c r="L14" s="10"/>
      <c r="M14" s="10"/>
      <c r="N14" s="10"/>
      <c r="O14" s="11"/>
      <c r="P14" s="10" t="s">
        <v>22</v>
      </c>
      <c r="Q14" s="10"/>
      <c r="R14" s="10"/>
      <c r="S14" s="10"/>
      <c r="T14" s="10"/>
      <c r="U14" s="10"/>
      <c r="V14" s="11"/>
      <c r="W14" s="10" t="s">
        <v>23</v>
      </c>
      <c r="X14" s="10"/>
      <c r="Y14" s="10"/>
      <c r="Z14" s="10"/>
      <c r="AA14" s="10"/>
      <c r="AB14" s="10"/>
      <c r="AC14" s="26"/>
      <c r="AD14" s="10" t="s">
        <v>4</v>
      </c>
      <c r="AE14" s="10"/>
      <c r="AF14" s="10"/>
      <c r="AG14" s="10"/>
      <c r="AH14" s="10"/>
      <c r="AI14" s="10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7"/>
      <c r="BK14" s="7"/>
      <c r="BL14" s="7"/>
      <c r="BM14" s="7"/>
    </row>
    <row r="15" spans="1:69" ht="15" x14ac:dyDescent="0.25">
      <c r="B15" s="5" t="s">
        <v>3</v>
      </c>
      <c r="C15" s="5" t="s">
        <v>36</v>
      </c>
      <c r="D15" s="5" t="s">
        <v>56</v>
      </c>
      <c r="E15" s="6" t="s">
        <v>3</v>
      </c>
      <c r="F15" s="6" t="s">
        <v>36</v>
      </c>
      <c r="G15" s="6" t="s">
        <v>55</v>
      </c>
      <c r="H15" s="2"/>
      <c r="I15" s="5" t="s">
        <v>3</v>
      </c>
      <c r="J15" s="5" t="s">
        <v>36</v>
      </c>
      <c r="K15" s="5" t="s">
        <v>56</v>
      </c>
      <c r="L15" s="6" t="s">
        <v>3</v>
      </c>
      <c r="M15" s="6" t="s">
        <v>36</v>
      </c>
      <c r="N15" s="6" t="s">
        <v>55</v>
      </c>
      <c r="O15" s="3"/>
      <c r="P15" s="5" t="s">
        <v>3</v>
      </c>
      <c r="Q15" s="5" t="s">
        <v>36</v>
      </c>
      <c r="R15" s="5" t="s">
        <v>56</v>
      </c>
      <c r="S15" s="6" t="s">
        <v>3</v>
      </c>
      <c r="T15" s="6" t="s">
        <v>36</v>
      </c>
      <c r="U15" s="6" t="s">
        <v>55</v>
      </c>
      <c r="V15" s="3"/>
      <c r="W15" s="5" t="s">
        <v>3</v>
      </c>
      <c r="X15" s="5" t="s">
        <v>36</v>
      </c>
      <c r="Y15" s="5" t="s">
        <v>56</v>
      </c>
      <c r="Z15" s="6" t="s">
        <v>3</v>
      </c>
      <c r="AA15" s="6" t="s">
        <v>36</v>
      </c>
      <c r="AB15" s="6" t="s">
        <v>55</v>
      </c>
      <c r="AC15" s="11"/>
      <c r="AD15" s="5" t="s">
        <v>3</v>
      </c>
      <c r="AE15" s="5" t="s">
        <v>54</v>
      </c>
      <c r="AF15" s="5" t="s">
        <v>56</v>
      </c>
      <c r="AG15" s="6" t="s">
        <v>3</v>
      </c>
      <c r="AH15" s="6" t="s">
        <v>36</v>
      </c>
      <c r="AI15" s="6" t="s">
        <v>55</v>
      </c>
      <c r="AJ15" s="4"/>
      <c r="AM15" s="65"/>
      <c r="AN15" s="65"/>
      <c r="AO15" s="65"/>
      <c r="AP15" s="65"/>
      <c r="AQ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4"/>
      <c r="BO15" s="4"/>
      <c r="BP15" s="4"/>
      <c r="BQ15" s="4"/>
    </row>
    <row r="16" spans="1:69" s="4" customFormat="1" ht="13.8" thickBot="1" x14ac:dyDescent="0.3">
      <c r="A16" s="8" t="s">
        <v>34</v>
      </c>
      <c r="B16" s="21">
        <f>+'[1]QTD Mgmt Summary'!C9/1000</f>
        <v>61.971161000000002</v>
      </c>
      <c r="C16" s="21">
        <f>+[1]Expenses!D9/1000</f>
        <v>7.0682160000000005</v>
      </c>
      <c r="D16" s="21">
        <f>+'[1]QTD Mgmt Summary'!K9/1000</f>
        <v>46.307111499999998</v>
      </c>
      <c r="E16" s="22">
        <f>+'[2]Mgmt Summary'!C9/1000</f>
        <v>40</v>
      </c>
      <c r="F16" s="22">
        <f>+'[2]Mgmt Summary'!M9/1000</f>
        <v>6.7677700000000005</v>
      </c>
      <c r="G16" s="23">
        <f>+'[2]Mgmt Summary'!E9/1000</f>
        <v>23.249787999999999</v>
      </c>
      <c r="H16" s="8" t="s">
        <v>34</v>
      </c>
      <c r="I16" s="21">
        <f>+'[4]Mgmt Summary'!G9/1000</f>
        <v>32.796824999999998</v>
      </c>
      <c r="J16" s="21">
        <f>+'[4]Mgmt Summary'!M9/1000</f>
        <v>6.834695</v>
      </c>
      <c r="K16" s="21">
        <f>+'[4]Mgmt Summary'!O9/1000</f>
        <v>17.788537999999996</v>
      </c>
      <c r="L16" s="22">
        <f>+'[3]Mgmt Summary'!C9/1000</f>
        <v>32.5</v>
      </c>
      <c r="M16" s="22">
        <f>+'[3]Mgmt Summary'!M9/1000</f>
        <v>6.994313</v>
      </c>
      <c r="N16" s="75">
        <f>+'[4]Mgmt Summary'!E9/1000</f>
        <v>15.526515999999999</v>
      </c>
      <c r="O16" s="24"/>
      <c r="P16" s="21">
        <f>+'[6]Mgmt Summary'!J9/1000-45</f>
        <v>-16.135788999999999</v>
      </c>
      <c r="Q16" s="21">
        <f>+'[6]Mgmt Summary'!M9/1000</f>
        <v>7.9809809999999999</v>
      </c>
      <c r="R16" s="21">
        <f>+'[6]Mgmt Summary'!O9/1000</f>
        <v>13.858067999999999</v>
      </c>
      <c r="S16" s="22">
        <f>+'[6]Mgmt Summary'!C9/1000</f>
        <v>32.5</v>
      </c>
      <c r="T16" s="22">
        <f>+[6]Expenses!E9/1000</f>
        <v>6.9133320000000005</v>
      </c>
      <c r="U16" s="75">
        <f>+'[6]Mgmt Summary'!E9/1000</f>
        <v>15.606718000000001</v>
      </c>
      <c r="V16" s="24"/>
      <c r="W16" s="21">
        <f>+'[7]Mgmt Summary'!J9/1000</f>
        <v>-51.497475999999999</v>
      </c>
      <c r="X16" s="21">
        <f>+'[7]Mgmt Summary'!M9/1000</f>
        <v>6.9031189999999993</v>
      </c>
      <c r="Y16" s="21">
        <f>+'[7]Mgmt Summary'!O9/1000</f>
        <v>-68.419218999999998</v>
      </c>
      <c r="Z16" s="22">
        <f>+'[5]Mgmt Summary'!C9/1000</f>
        <v>45</v>
      </c>
      <c r="AA16" s="22">
        <f>+[5]Expenses!E9/1000</f>
        <v>6.9031189999999993</v>
      </c>
      <c r="AB16" s="75">
        <f>+'[5]Mgmt Summary'!E9/1000</f>
        <v>28.078257000000001</v>
      </c>
      <c r="AC16" s="3"/>
      <c r="AD16" s="21">
        <f t="shared" ref="AD16:AD24" si="62">+B16+I16+P16+W16</f>
        <v>27.134721000000006</v>
      </c>
      <c r="AE16" s="21">
        <f t="shared" ref="AE16:AE24" si="63">+C16+J16+Q16+X16</f>
        <v>28.787011</v>
      </c>
      <c r="AF16" s="21">
        <f t="shared" ref="AF16:AF24" si="64">+D16+K16+R16+Y16</f>
        <v>9.534498499999998</v>
      </c>
      <c r="AG16" s="22">
        <f t="shared" ref="AG16:AG24" si="65">+E16+L16+S16+Z16</f>
        <v>150</v>
      </c>
      <c r="AH16" s="22">
        <f t="shared" ref="AH16:AH24" si="66">+F16+M16+T16+AA16</f>
        <v>27.578534000000001</v>
      </c>
      <c r="AI16" s="23">
        <f t="shared" ref="AI16:AI24" si="67">+G16+N16+U16+AB16</f>
        <v>82.46127899999999</v>
      </c>
      <c r="AJ16" s="2"/>
      <c r="AK16" s="1" t="s">
        <v>5</v>
      </c>
      <c r="AL16" s="2"/>
      <c r="AM16" s="65"/>
      <c r="AN16" s="65"/>
      <c r="AO16" s="65"/>
      <c r="AP16" s="65"/>
      <c r="AQ16" s="65"/>
      <c r="AR16" s="2"/>
      <c r="AS16" s="65"/>
      <c r="AT16" s="65"/>
      <c r="AU16" s="65"/>
      <c r="AV16" s="65"/>
      <c r="AW16" s="65"/>
      <c r="AX16" s="7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2"/>
      <c r="BO16" s="2"/>
      <c r="BP16" s="2"/>
      <c r="BQ16" s="2"/>
    </row>
    <row r="17" spans="1:65" ht="15" x14ac:dyDescent="0.25">
      <c r="A17" s="8" t="s">
        <v>47</v>
      </c>
      <c r="B17" s="21">
        <f>+'[1]QTD Mgmt Summary'!C10/1000+'[1]QTD Mgmt Summary'!C11/1000</f>
        <v>20.279055329999998</v>
      </c>
      <c r="C17" s="21">
        <f>+[1]Expenses!D10/1000+[1]Expenses!D11/1000</f>
        <v>3.5849830000000003</v>
      </c>
      <c r="D17" s="21">
        <f>+'[1]QTD Mgmt Summary'!K10/1000+'[1]QTD Mgmt Summary'!K11/1000</f>
        <v>13.517180329999999</v>
      </c>
      <c r="E17" s="22">
        <f>+'[2]Mgmt Summary'!C10/1000+'[2]Mgmt Summary'!C11/1000</f>
        <v>13.75</v>
      </c>
      <c r="F17" s="22">
        <f>+'[2]Mgmt Summary'!M10/1000+'[2]Mgmt Summary'!M11/1000</f>
        <v>4.0130929999999996</v>
      </c>
      <c r="G17" s="23">
        <f>+'[2]Mgmt Summary'!E10/1000+'[2]Mgmt Summary'!E11/1000</f>
        <v>6.3372540000000006</v>
      </c>
      <c r="H17" s="8" t="s">
        <v>47</v>
      </c>
      <c r="I17" s="21">
        <f>(+'[4]Mgmt Summary'!G10+'[4]Mgmt Summary'!G11)/1000</f>
        <v>26.214523520000004</v>
      </c>
      <c r="J17" s="21">
        <f>(+'[4]Mgmt Summary'!M10+'[4]Mgmt Summary'!M11)/1000</f>
        <v>4.3150360000000001</v>
      </c>
      <c r="K17" s="21">
        <f>(+'[4]Mgmt Summary'!O10+'[4]Mgmt Summary'!O11)/1000</f>
        <v>17.966857520000001</v>
      </c>
      <c r="L17" s="22">
        <f>+'[3]Mgmt Summary'!C10/1000+'[3]Mgmt Summary'!C11/1000</f>
        <v>18.75</v>
      </c>
      <c r="M17" s="22">
        <f>+'[3]Mgmt Summary'!M10/1000+'[3]Mgmt Summary'!M11/1000</f>
        <v>5.3609910000000003</v>
      </c>
      <c r="N17" s="23">
        <f>+'[4]Mgmt Summary'!E10/1000+'[4]Mgmt Summary'!E11/1000</f>
        <v>9.2219840000000008</v>
      </c>
      <c r="O17" s="24"/>
      <c r="P17" s="21">
        <f>+('[6]Mgmt Summary'!J10+'[6]Mgmt Summary'!$J$11)/1000</f>
        <v>32.464047000000001</v>
      </c>
      <c r="Q17" s="21">
        <f>+('[6]Mgmt Summary'!M10+'[6]Mgmt Summary'!M11)/1000</f>
        <v>5.1395629999999999</v>
      </c>
      <c r="R17" s="21">
        <f>+('[6]Mgmt Summary'!O10+'[6]Mgmt Summary'!O11)/1000</f>
        <v>21.846977999999996</v>
      </c>
      <c r="S17" s="22">
        <f>+'[6]Mgmt Summary'!C10/1000+'[6]Mgmt Summary'!C11/1000</f>
        <v>18.75</v>
      </c>
      <c r="T17" s="22">
        <f>+[6]Expenses!E10/1000+[6]Expenses!E11/1000</f>
        <v>5.4528499999999998</v>
      </c>
      <c r="U17" s="23">
        <f>+'[6]Mgmt Summary'!E10/1000+'[6]Mgmt Summary'!E11/1000</f>
        <v>9.1264590000000005</v>
      </c>
      <c r="V17" s="24"/>
      <c r="W17" s="21">
        <f>+'[7]Mgmt Summary'!J10/1000+'[7]Mgmt Summary'!J11/1000</f>
        <v>6.6136349999999995</v>
      </c>
      <c r="X17" s="21">
        <f>+'[7]Mgmt Summary'!M10/1000+'[7]Mgmt Summary'!M11/1000</f>
        <v>5.458742</v>
      </c>
      <c r="Y17" s="21">
        <f>+'[7]Mgmt Summary'!O10/1000+'[7]Mgmt Summary'!O11/1000</f>
        <v>-3.0091260000000011</v>
      </c>
      <c r="Z17" s="22">
        <f>+'[5]Mgmt Summary'!C10/1000+'[5]Mgmt Summary'!C11/1000</f>
        <v>18.75</v>
      </c>
      <c r="AA17" s="22">
        <f>+[5]Expenses!E10/1000+[5]Expenses!E11/1000</f>
        <v>5.458742</v>
      </c>
      <c r="AB17" s="23">
        <f>+'[5]Mgmt Summary'!E10/1000+'[5]Mgmt Summary'!E11/1000</f>
        <v>9.1272389999999994</v>
      </c>
      <c r="AC17" s="24"/>
      <c r="AD17" s="21">
        <f t="shared" si="62"/>
        <v>85.571260850000002</v>
      </c>
      <c r="AE17" s="21">
        <f t="shared" si="63"/>
        <v>18.498324</v>
      </c>
      <c r="AF17" s="21">
        <f t="shared" si="64"/>
        <v>50.321889849999998</v>
      </c>
      <c r="AG17" s="22">
        <f t="shared" si="65"/>
        <v>70</v>
      </c>
      <c r="AH17" s="22">
        <f t="shared" si="66"/>
        <v>20.285675999999999</v>
      </c>
      <c r="AI17" s="23">
        <f t="shared" si="67"/>
        <v>33.812936000000001</v>
      </c>
      <c r="AK17" s="13"/>
      <c r="AL17" s="14" t="s">
        <v>48</v>
      </c>
      <c r="AM17" s="102" t="s">
        <v>49</v>
      </c>
      <c r="AN17" s="103" t="s">
        <v>48</v>
      </c>
      <c r="AO17" s="102" t="s">
        <v>49</v>
      </c>
      <c r="AP17" s="103" t="s">
        <v>48</v>
      </c>
      <c r="AQ17" s="102" t="s">
        <v>49</v>
      </c>
      <c r="AR17" s="14" t="s">
        <v>48</v>
      </c>
      <c r="AS17" s="102" t="s">
        <v>49</v>
      </c>
      <c r="AT17" s="14" t="s">
        <v>48</v>
      </c>
      <c r="AU17" s="102" t="s">
        <v>49</v>
      </c>
      <c r="AV17" s="14" t="s">
        <v>48</v>
      </c>
      <c r="AW17" s="102" t="s">
        <v>49</v>
      </c>
      <c r="AX17" s="14" t="s">
        <v>48</v>
      </c>
      <c r="AY17" s="98" t="s">
        <v>49</v>
      </c>
      <c r="AZ17" s="14" t="s">
        <v>48</v>
      </c>
      <c r="BA17" s="98" t="s">
        <v>49</v>
      </c>
      <c r="BB17" s="14" t="s">
        <v>48</v>
      </c>
      <c r="BC17" s="98" t="s">
        <v>49</v>
      </c>
      <c r="BD17" s="14" t="s">
        <v>48</v>
      </c>
      <c r="BE17" s="98" t="s">
        <v>49</v>
      </c>
      <c r="BF17" s="14" t="s">
        <v>48</v>
      </c>
      <c r="BG17" s="98" t="s">
        <v>49</v>
      </c>
      <c r="BH17" s="14" t="s">
        <v>48</v>
      </c>
      <c r="BI17" s="98" t="s">
        <v>49</v>
      </c>
    </row>
    <row r="18" spans="1:65" ht="13.8" thickBot="1" x14ac:dyDescent="0.3">
      <c r="A18" s="8" t="s">
        <v>44</v>
      </c>
      <c r="B18" s="21">
        <f>+'[1]QTD Mgmt Summary'!C12/1000</f>
        <v>-6.2381530000000005</v>
      </c>
      <c r="C18" s="21">
        <f>+[1]Expenses!D12/1000</f>
        <v>0.57050299999999998</v>
      </c>
      <c r="D18" s="21">
        <f>+'[1]QTD Mgmt Summary'!K12/1000</f>
        <v>-7.5603530000000001</v>
      </c>
      <c r="E18" s="22">
        <f>+'[2]Mgmt Summary'!C12/1000</f>
        <v>5</v>
      </c>
      <c r="F18" s="22">
        <f>+'[2]Mgmt Summary'!M12/1000</f>
        <v>1.213619</v>
      </c>
      <c r="G18" s="23">
        <f>+'[2]Mgmt Summary'!E12/1000</f>
        <v>2.9156240000000002</v>
      </c>
      <c r="H18" s="8" t="s">
        <v>44</v>
      </c>
      <c r="I18" s="21">
        <f>+'[4]Mgmt Summary'!G12/1000</f>
        <v>0</v>
      </c>
      <c r="J18" s="21">
        <f>+'[4]Mgmt Summary'!M12/1000</f>
        <v>0</v>
      </c>
      <c r="K18" s="21">
        <f>+'[4]Mgmt Summary'!O12/1000</f>
        <v>0</v>
      </c>
      <c r="L18" s="22">
        <f>+'[3]Mgmt Summary'!C12/1000</f>
        <v>0</v>
      </c>
      <c r="M18" s="22">
        <f>+'[3]Mgmt Summary'!M12/1000</f>
        <v>0</v>
      </c>
      <c r="N18" s="23">
        <f>+'[4]Mgmt Summary'!E12/1000</f>
        <v>0</v>
      </c>
      <c r="O18" s="24"/>
      <c r="P18" s="21"/>
      <c r="Q18" s="21"/>
      <c r="R18" s="21"/>
      <c r="S18" s="22">
        <f>+'[6]Mgmt Summary'!C12/1000</f>
        <v>0</v>
      </c>
      <c r="T18" s="22">
        <f>+[6]Expenses!E12/1000</f>
        <v>0</v>
      </c>
      <c r="U18" s="23">
        <f>+'[6]Mgmt Summary'!E12/1000</f>
        <v>0</v>
      </c>
      <c r="V18" s="24"/>
      <c r="W18" s="21"/>
      <c r="X18" s="21"/>
      <c r="Y18" s="21"/>
      <c r="Z18" s="22">
        <f>+'[5]Mgmt Summary'!C12/1000</f>
        <v>0</v>
      </c>
      <c r="AA18" s="22">
        <f>+[5]Expenses!E12/1000</f>
        <v>0</v>
      </c>
      <c r="AB18" s="23">
        <f>+'[5]Mgmt Summary'!E12/1000</f>
        <v>0</v>
      </c>
      <c r="AC18" s="24"/>
      <c r="AD18" s="21">
        <f t="shared" si="62"/>
        <v>-6.2381530000000005</v>
      </c>
      <c r="AE18" s="21">
        <f t="shared" si="63"/>
        <v>0.57050299999999998</v>
      </c>
      <c r="AF18" s="21">
        <f t="shared" si="64"/>
        <v>-7.5603530000000001</v>
      </c>
      <c r="AG18" s="22">
        <f t="shared" si="65"/>
        <v>5</v>
      </c>
      <c r="AH18" s="22">
        <f t="shared" si="66"/>
        <v>1.213619</v>
      </c>
      <c r="AI18" s="23">
        <f t="shared" si="67"/>
        <v>2.9156240000000002</v>
      </c>
      <c r="AL18" s="77" t="s">
        <v>60</v>
      </c>
      <c r="AM18" s="104"/>
      <c r="AN18" s="107" t="s">
        <v>6</v>
      </c>
      <c r="AO18" s="104"/>
      <c r="AP18" s="107" t="s">
        <v>7</v>
      </c>
      <c r="AQ18" s="104"/>
      <c r="AR18" s="15" t="s">
        <v>8</v>
      </c>
      <c r="AS18" s="104"/>
      <c r="AT18" s="15" t="s">
        <v>9</v>
      </c>
      <c r="AU18" s="104"/>
      <c r="AV18" s="15" t="s">
        <v>10</v>
      </c>
      <c r="AW18" s="104"/>
      <c r="AX18" s="15" t="s">
        <v>11</v>
      </c>
      <c r="AY18" s="99"/>
      <c r="AZ18" s="15" t="s">
        <v>12</v>
      </c>
      <c r="BA18" s="99"/>
      <c r="BB18" s="15" t="s">
        <v>13</v>
      </c>
      <c r="BC18" s="99"/>
      <c r="BD18" s="15" t="s">
        <v>14</v>
      </c>
      <c r="BE18" s="99"/>
      <c r="BF18" s="15" t="s">
        <v>15</v>
      </c>
      <c r="BG18" s="99"/>
      <c r="BH18" s="15" t="s">
        <v>16</v>
      </c>
      <c r="BI18" s="99"/>
    </row>
    <row r="19" spans="1:65" ht="14.25" customHeight="1" x14ac:dyDescent="0.25">
      <c r="A19" s="8" t="s">
        <v>0</v>
      </c>
      <c r="B19" s="21">
        <f>+'[1]QTD Mgmt Summary'!C13/1000</f>
        <v>8.7249999999999996</v>
      </c>
      <c r="C19" s="21">
        <f>+[1]Expenses!D13/1000</f>
        <v>1.7213719999999999</v>
      </c>
      <c r="D19" s="21">
        <f>+'[1]QTD Mgmt Summary'!K13/1000</f>
        <v>5.8390690000000003</v>
      </c>
      <c r="E19" s="22">
        <f>+'[2]Mgmt Summary'!C13/1000</f>
        <v>8.5092510000000008</v>
      </c>
      <c r="F19" s="22">
        <f>+'[2]Mgmt Summary'!M13/1000</f>
        <v>1.8085229999999999</v>
      </c>
      <c r="G19" s="23">
        <f>+'[2]Mgmt Summary'!E13/1000</f>
        <v>4.4609819999999996</v>
      </c>
      <c r="H19" s="8" t="s">
        <v>0</v>
      </c>
      <c r="I19" s="21">
        <f>+'[4]Mgmt Summary'!G13/1000</f>
        <v>8.8580000000000005</v>
      </c>
      <c r="J19" s="21">
        <f>+'[4]Mgmt Summary'!M13/1000</f>
        <v>1.4893050000000001</v>
      </c>
      <c r="K19" s="21">
        <f>+'[4]Mgmt Summary'!O13/1000</f>
        <v>6.6469309999999995</v>
      </c>
      <c r="L19" s="22">
        <f>+'[3]Mgmt Summary'!C13/1000</f>
        <v>7.0788189999999993</v>
      </c>
      <c r="M19" s="22">
        <f>+'[3]Mgmt Summary'!M13/1000</f>
        <v>1.4630070000000002</v>
      </c>
      <c r="N19" s="23">
        <f>+'[4]Mgmt Summary'!E13/1000</f>
        <v>3.838187</v>
      </c>
      <c r="O19" s="24"/>
      <c r="P19" s="21">
        <f>+'[6]Mgmt Summary'!J13/1000</f>
        <v>8.9260000000000002</v>
      </c>
      <c r="Q19" s="21">
        <f>+'[6]Mgmt Summary'!M13/1000</f>
        <v>2.5604989999999996</v>
      </c>
      <c r="R19" s="21">
        <f>+'[6]Mgmt Summary'!O13/1000</f>
        <v>5.1617360000000012</v>
      </c>
      <c r="S19" s="22">
        <f>+'[6]Mgmt Summary'!C13/1000</f>
        <v>8.6593520000000002</v>
      </c>
      <c r="T19" s="22">
        <f>+[6]Expenses!E13/1000</f>
        <v>1.5277240000000001</v>
      </c>
      <c r="U19" s="23">
        <f>+'[6]Mgmt Summary'!E13/1000</f>
        <v>5.3528970000000005</v>
      </c>
      <c r="V19" s="24"/>
      <c r="W19" s="21">
        <f>+'[7]Mgmt Summary'!J13/1000</f>
        <v>-9.4700000000000006</v>
      </c>
      <c r="X19" s="21">
        <f>+'[7]Mgmt Summary'!M13/1000</f>
        <v>1.8600810000000001</v>
      </c>
      <c r="Y19" s="21">
        <f>+'[7]Mgmt Summary'!O13/1000</f>
        <v>-13.106833</v>
      </c>
      <c r="Z19" s="22">
        <f>+'[5]Mgmt Summary'!C13/1000</f>
        <v>8.75258</v>
      </c>
      <c r="AA19" s="22">
        <f>+[5]Expenses!E13/1000</f>
        <v>1.5600810000000001</v>
      </c>
      <c r="AB19" s="23">
        <f>+'[5]Mgmt Summary'!E13/1000</f>
        <v>5.4157469999999996</v>
      </c>
      <c r="AC19" s="24"/>
      <c r="AD19" s="21">
        <f t="shared" si="62"/>
        <v>17.039000000000001</v>
      </c>
      <c r="AE19" s="21">
        <f t="shared" si="63"/>
        <v>7.6312569999999997</v>
      </c>
      <c r="AF19" s="21">
        <f t="shared" si="64"/>
        <v>4.5409030000000019</v>
      </c>
      <c r="AG19" s="22">
        <f t="shared" si="65"/>
        <v>33.000002000000002</v>
      </c>
      <c r="AH19" s="22">
        <f t="shared" si="66"/>
        <v>6.3593350000000006</v>
      </c>
      <c r="AI19" s="23">
        <f t="shared" si="67"/>
        <v>19.067813000000001</v>
      </c>
      <c r="AK19" s="7" t="s">
        <v>34</v>
      </c>
      <c r="AL19" s="2">
        <v>112</v>
      </c>
      <c r="AM19" s="65">
        <v>117</v>
      </c>
      <c r="AN19" s="65">
        <v>111</v>
      </c>
      <c r="AO19" s="65">
        <v>117</v>
      </c>
      <c r="AP19" s="65">
        <v>111.5</v>
      </c>
      <c r="AQ19" s="65">
        <v>117</v>
      </c>
      <c r="AR19" s="65">
        <v>110.5</v>
      </c>
      <c r="AS19" s="65">
        <v>118</v>
      </c>
      <c r="AT19" s="65">
        <v>105</v>
      </c>
      <c r="AU19" s="65">
        <v>118</v>
      </c>
      <c r="AV19" s="65">
        <v>111</v>
      </c>
      <c r="AW19" s="65">
        <v>118</v>
      </c>
      <c r="AX19">
        <f>79+35+12</f>
        <v>126</v>
      </c>
      <c r="AY19" s="100">
        <v>119</v>
      </c>
      <c r="AZ19" s="2">
        <f>83+38+10</f>
        <v>131</v>
      </c>
      <c r="BA19" s="100">
        <v>119</v>
      </c>
      <c r="BB19">
        <f>83+40+9</f>
        <v>132</v>
      </c>
      <c r="BC19" s="100">
        <v>119</v>
      </c>
      <c r="BD19" s="2">
        <f>84+50+9</f>
        <v>143</v>
      </c>
      <c r="BE19" s="100">
        <v>119</v>
      </c>
      <c r="BF19"/>
      <c r="BG19" s="100">
        <v>119</v>
      </c>
      <c r="BI19" s="100">
        <v>119</v>
      </c>
    </row>
    <row r="20" spans="1:65" x14ac:dyDescent="0.25">
      <c r="A20" s="8" t="s">
        <v>28</v>
      </c>
      <c r="B20" s="21">
        <f>+'[1]QTD Mgmt Summary'!C14/1000</f>
        <v>1.6720152800000001</v>
      </c>
      <c r="C20" s="21">
        <f>+[1]Expenses!D14/1000</f>
        <v>0.79013500000000003</v>
      </c>
      <c r="D20" s="21">
        <f>+'[1]QTD Mgmt Summary'!K14/1000</f>
        <v>0.33799628000000009</v>
      </c>
      <c r="E20" s="22">
        <f>+'[2]Mgmt Summary'!C14/1000</f>
        <v>4.875</v>
      </c>
      <c r="F20" s="22">
        <f>+'[2]Mgmt Summary'!M14/1000</f>
        <v>1.8026479999999998</v>
      </c>
      <c r="G20" s="23">
        <f>+'[2]Mgmt Summary'!E14/1000</f>
        <v>2.2590210000000002</v>
      </c>
      <c r="H20" s="8" t="s">
        <v>28</v>
      </c>
      <c r="I20" s="21">
        <f>+'[4]Mgmt Summary'!G14/1000</f>
        <v>2.5505689999999999</v>
      </c>
      <c r="J20" s="21">
        <f>+'[4]Mgmt Summary'!M14/1000</f>
        <v>1.2994109999999999</v>
      </c>
      <c r="K20" s="21">
        <f>+'[4]Mgmt Summary'!O14/1000</f>
        <v>0.60499100000000006</v>
      </c>
      <c r="L20" s="22">
        <f>+'[3]Mgmt Summary'!C14/1000</f>
        <v>11.875</v>
      </c>
      <c r="M20" s="22">
        <f>+'[3]Mgmt Summary'!M14/1000</f>
        <v>2.304122</v>
      </c>
      <c r="N20" s="23">
        <f>+'[4]Mgmt Summary'!E14/1000</f>
        <v>8.6151859999999996</v>
      </c>
      <c r="O20" s="24"/>
      <c r="P20" s="21">
        <f>+'[6]Mgmt Summary'!J14/1000</f>
        <v>0.99688599999999972</v>
      </c>
      <c r="Q20" s="21">
        <f>+'[6]Mgmt Summary'!M14/1000</f>
        <v>2.093127</v>
      </c>
      <c r="R20" s="21">
        <f>+'[6]Mgmt Summary'!O14/1000</f>
        <v>-1.6838440000000001</v>
      </c>
      <c r="S20" s="22">
        <f>+'[6]Mgmt Summary'!C14/1000</f>
        <v>11.875</v>
      </c>
      <c r="T20" s="22">
        <f>+[6]Expenses!E14/1000</f>
        <v>2.5170659999999998</v>
      </c>
      <c r="U20" s="23">
        <f>+'[6]Mgmt Summary'!E14/1000</f>
        <v>8.401542000000001</v>
      </c>
      <c r="V20" s="24"/>
      <c r="W20" s="21">
        <f>+'[7]Mgmt Summary'!J14/1000</f>
        <v>0.85842700000000005</v>
      </c>
      <c r="X20" s="21">
        <f>+'[7]Mgmt Summary'!M14/1000</f>
        <v>2.5170659999999998</v>
      </c>
      <c r="Y20" s="21">
        <f>+'[7]Mgmt Summary'!O14/1000</f>
        <v>-2.6119809999999997</v>
      </c>
      <c r="Z20" s="22">
        <f>+'[5]Mgmt Summary'!C14/1000</f>
        <v>8.875</v>
      </c>
      <c r="AA20" s="22">
        <f>+[5]Expenses!E14/1000</f>
        <v>2.5170659999999998</v>
      </c>
      <c r="AB20" s="23">
        <f>+'[5]Mgmt Summary'!E14/1000</f>
        <v>5.404592000000001</v>
      </c>
      <c r="AC20" s="24"/>
      <c r="AD20" s="21">
        <f t="shared" si="62"/>
        <v>6.0778972799999993</v>
      </c>
      <c r="AE20" s="21">
        <f t="shared" si="63"/>
        <v>6.6997389999999992</v>
      </c>
      <c r="AF20" s="21">
        <f t="shared" si="64"/>
        <v>-3.3528377199999997</v>
      </c>
      <c r="AG20" s="22">
        <f t="shared" si="65"/>
        <v>37.5</v>
      </c>
      <c r="AH20" s="22">
        <f t="shared" si="66"/>
        <v>9.1409020000000005</v>
      </c>
      <c r="AI20" s="23">
        <f t="shared" si="67"/>
        <v>24.680341000000002</v>
      </c>
      <c r="AK20" s="7" t="s">
        <v>47</v>
      </c>
      <c r="AL20" s="65">
        <v>58</v>
      </c>
      <c r="AM20" s="65">
        <v>71</v>
      </c>
      <c r="AN20" s="65">
        <v>58</v>
      </c>
      <c r="AO20" s="65">
        <v>71</v>
      </c>
      <c r="AP20" s="65">
        <v>58</v>
      </c>
      <c r="AQ20" s="65">
        <v>71</v>
      </c>
      <c r="AR20" s="65">
        <v>57.5</v>
      </c>
      <c r="AS20" s="65">
        <v>71</v>
      </c>
      <c r="AT20" s="65">
        <v>62</v>
      </c>
      <c r="AU20" s="65">
        <v>70</v>
      </c>
      <c r="AV20" s="65">
        <v>59</v>
      </c>
      <c r="AW20" s="65">
        <v>71</v>
      </c>
      <c r="AX20" s="2">
        <f>38+2+25</f>
        <v>65</v>
      </c>
      <c r="AY20" s="100">
        <v>71</v>
      </c>
      <c r="AZ20" s="65">
        <f>2+26+46</f>
        <v>74</v>
      </c>
      <c r="BA20" s="100">
        <v>71</v>
      </c>
      <c r="BB20" s="65">
        <f>1+27+43</f>
        <v>71</v>
      </c>
      <c r="BC20" s="100">
        <v>71</v>
      </c>
      <c r="BD20" s="2">
        <f>6+21+49+13</f>
        <v>89</v>
      </c>
      <c r="BE20" s="100">
        <v>71</v>
      </c>
      <c r="BF20" s="65"/>
      <c r="BG20" s="100">
        <v>71</v>
      </c>
      <c r="BH20" s="65"/>
      <c r="BI20" s="100">
        <v>71</v>
      </c>
    </row>
    <row r="21" spans="1:65" x14ac:dyDescent="0.25">
      <c r="A21" s="8" t="s">
        <v>27</v>
      </c>
      <c r="B21" s="21">
        <f>+'[1]QTD Mgmt Summary'!C15/1000</f>
        <v>13.281756999999999</v>
      </c>
      <c r="C21" s="21">
        <f>+[1]Expenses!D15/1000</f>
        <v>2.3647780000000003</v>
      </c>
      <c r="D21" s="21">
        <f>+'[1]QTD Mgmt Summary'!K15/1000</f>
        <v>9.4641950000000001</v>
      </c>
      <c r="E21" s="22">
        <f>+'[2]Mgmt Summary'!C15/1000</f>
        <v>20</v>
      </c>
      <c r="F21" s="22">
        <f>+'[2]Mgmt Summary'!M15/1000</f>
        <v>3.4673859999999999</v>
      </c>
      <c r="G21" s="23">
        <f>+'[2]Mgmt Summary'!E15/1000</f>
        <v>14.454606</v>
      </c>
      <c r="H21" s="8" t="s">
        <v>27</v>
      </c>
      <c r="I21" s="21">
        <f>+'[4]Mgmt Summary'!G15/1000</f>
        <v>17.175999999999998</v>
      </c>
      <c r="J21" s="21">
        <f>+'[4]Mgmt Summary'!M15/1000</f>
        <v>2.2957269999999999</v>
      </c>
      <c r="K21" s="21">
        <f>+'[4]Mgmt Summary'!O15/1000</f>
        <v>13.173132000000001</v>
      </c>
      <c r="L21" s="22">
        <f>+'[3]Mgmt Summary'!C15/1000</f>
        <v>27.5</v>
      </c>
      <c r="M21" s="22">
        <f>+'[3]Mgmt Summary'!M15/1000</f>
        <v>3.7426159999999999</v>
      </c>
      <c r="N21" s="23">
        <f>+'[4]Mgmt Summary'!E15/1000</f>
        <v>21.486755000000002</v>
      </c>
      <c r="O21" s="24"/>
      <c r="P21" s="21">
        <f>+'[6]Mgmt Summary'!J15/1000</f>
        <v>5.7214499999999999</v>
      </c>
      <c r="Q21" s="21">
        <f>+'[6]Mgmt Summary'!M15/1000</f>
        <v>3.047825</v>
      </c>
      <c r="R21" s="21">
        <f>+'[6]Mgmt Summary'!O15/1000</f>
        <v>1.4289799999999999</v>
      </c>
      <c r="S21" s="22">
        <f>+'[6]Mgmt Summary'!C15/1000</f>
        <v>27.37</v>
      </c>
      <c r="T21" s="22">
        <f>+[6]Expenses!E15/1000</f>
        <v>3.3204479999999998</v>
      </c>
      <c r="U21" s="23">
        <f>+'[6]Mgmt Summary'!E15/1000</f>
        <v>21.837183</v>
      </c>
      <c r="V21" s="24"/>
      <c r="W21" s="21">
        <f>+'[7]Mgmt Summary'!J15/1000</f>
        <v>3.3159999999999998</v>
      </c>
      <c r="X21" s="21">
        <f>+'[7]Mgmt Summary'!M15/1000</f>
        <v>1.8491360000000001</v>
      </c>
      <c r="Y21" s="21">
        <f>+'[7]Mgmt Summary'!O15/1000</f>
        <v>0.18545299999999976</v>
      </c>
      <c r="Z21" s="22">
        <f>+'[5]Mgmt Summary'!C15/1000</f>
        <v>29.545000000000002</v>
      </c>
      <c r="AA21" s="22">
        <f>+[5]Expenses!E15/1000</f>
        <v>1.8491360000000001</v>
      </c>
      <c r="AB21" s="23">
        <f>+'[5]Mgmt Summary'!E15/1000</f>
        <v>26.414453000000002</v>
      </c>
      <c r="AC21" s="24"/>
      <c r="AD21" s="21">
        <f t="shared" si="62"/>
        <v>39.495207000000001</v>
      </c>
      <c r="AE21" s="21">
        <f t="shared" si="63"/>
        <v>9.5574659999999998</v>
      </c>
      <c r="AF21" s="21">
        <f t="shared" si="64"/>
        <v>24.251759999999997</v>
      </c>
      <c r="AG21" s="22">
        <f t="shared" si="65"/>
        <v>104.41500000000001</v>
      </c>
      <c r="AH21" s="22">
        <f t="shared" si="66"/>
        <v>12.379585999999998</v>
      </c>
      <c r="AI21" s="23">
        <f t="shared" si="67"/>
        <v>84.192996999999991</v>
      </c>
      <c r="AK21" s="7" t="s">
        <v>44</v>
      </c>
      <c r="AL21" s="65">
        <v>8</v>
      </c>
      <c r="AM21" s="65">
        <v>14</v>
      </c>
      <c r="AN21" s="65">
        <v>7</v>
      </c>
      <c r="AO21" s="65">
        <v>14</v>
      </c>
      <c r="AP21" s="65">
        <v>7</v>
      </c>
      <c r="AQ21" s="65">
        <v>14</v>
      </c>
      <c r="AR21" s="65">
        <v>7.5</v>
      </c>
      <c r="AS21" s="65">
        <v>16</v>
      </c>
      <c r="AT21" s="65">
        <v>9</v>
      </c>
      <c r="AU21" s="65">
        <v>16</v>
      </c>
      <c r="AV21" s="65">
        <v>9</v>
      </c>
      <c r="AW21" s="65">
        <v>16</v>
      </c>
      <c r="AX21" s="2">
        <f>4+4</f>
        <v>8</v>
      </c>
      <c r="AY21" s="100">
        <v>17</v>
      </c>
      <c r="AZ21" s="2">
        <f>3+4</f>
        <v>7</v>
      </c>
      <c r="BA21" s="100">
        <v>17</v>
      </c>
      <c r="BB21" s="2">
        <f>4+7</f>
        <v>11</v>
      </c>
      <c r="BC21" s="100">
        <v>17</v>
      </c>
      <c r="BD21" s="2">
        <f>4+3</f>
        <v>7</v>
      </c>
      <c r="BE21" s="100">
        <v>17</v>
      </c>
      <c r="BG21" s="100">
        <v>17</v>
      </c>
      <c r="BI21" s="100">
        <v>17</v>
      </c>
    </row>
    <row r="22" spans="1:65" x14ac:dyDescent="0.25">
      <c r="A22" s="8" t="s">
        <v>40</v>
      </c>
      <c r="B22" s="21">
        <f>+'[1]QTD Mgmt Summary'!C16/1000</f>
        <v>4.0953999999999997E-2</v>
      </c>
      <c r="C22" s="21">
        <f>+[1]Expenses!D16/1000</f>
        <v>1.6157969999999997</v>
      </c>
      <c r="D22" s="21">
        <f>+'[1]QTD Mgmt Summary'!K16/1000</f>
        <v>-1.8434739999999998</v>
      </c>
      <c r="E22" s="22">
        <f>+'[2]Mgmt Summary'!C16/1000</f>
        <v>0.5</v>
      </c>
      <c r="F22" s="22">
        <f>+'[2]Mgmt Summary'!M16/1000</f>
        <v>1.5556059999999998</v>
      </c>
      <c r="G22" s="23">
        <f>+'[2]Mgmt Summary'!E16/1000</f>
        <v>-1.2446959999999996</v>
      </c>
      <c r="H22" s="8" t="s">
        <v>40</v>
      </c>
      <c r="I22" s="21">
        <f>+'[4]Mgmt Summary'!G16/1000</f>
        <v>1.648452</v>
      </c>
      <c r="J22" s="21">
        <f>+'[4]Mgmt Summary'!M16/1000</f>
        <v>4.582465</v>
      </c>
      <c r="K22" s="21">
        <f>+'[4]Mgmt Summary'!O16/1000</f>
        <v>-3.767201</v>
      </c>
      <c r="L22" s="22">
        <f>+'[3]Mgmt Summary'!C16/1000</f>
        <v>1.3109999999999999</v>
      </c>
      <c r="M22" s="22">
        <f>+'[3]Mgmt Summary'!M16/1000</f>
        <v>4.3568180000000005</v>
      </c>
      <c r="N22" s="23">
        <f>+'[4]Mgmt Summary'!E16/1000</f>
        <v>-3.6237109999999992</v>
      </c>
      <c r="O22" s="24"/>
      <c r="P22" s="21">
        <f>+'[6]Mgmt Summary'!J16/1000</f>
        <v>1.2664900000000001</v>
      </c>
      <c r="Q22" s="21">
        <f>+'[6]Mgmt Summary'!M16/1000</f>
        <v>3.6831990000000001</v>
      </c>
      <c r="R22" s="21">
        <f>+'[6]Mgmt Summary'!O16/1000</f>
        <v>-4.1581299999999999</v>
      </c>
      <c r="S22" s="22">
        <f>+'[6]Mgmt Summary'!C16/1000</f>
        <v>5.7050000000000001</v>
      </c>
      <c r="T22" s="22">
        <f>+[6]Expenses!E16/1000</f>
        <v>4.6250780000000002</v>
      </c>
      <c r="U22" s="23">
        <f>+'[6]Mgmt Summary'!E16/1000</f>
        <v>0.24683999999999923</v>
      </c>
      <c r="V22" s="24"/>
      <c r="W22" s="21">
        <f>+'[7]Mgmt Summary'!J16/1000</f>
        <v>-0.15209600000000001</v>
      </c>
      <c r="X22" s="21">
        <f>+'[7]Mgmt Summary'!M16/1000</f>
        <v>7.3221759999999998</v>
      </c>
      <c r="Y22" s="21">
        <f>+'[7]Mgmt Summary'!O16/1000</f>
        <v>-8.9153059999999993</v>
      </c>
      <c r="Z22" s="22">
        <f>+'[5]Mgmt Summary'!C16/1000</f>
        <v>13.3055</v>
      </c>
      <c r="AA22" s="22">
        <f>+[5]Expenses!E16/1000</f>
        <v>7.3221759999999998</v>
      </c>
      <c r="AB22" s="23">
        <f>+'[5]Mgmt Summary'!E16/1000</f>
        <v>4.5422900000000013</v>
      </c>
      <c r="AC22" s="24"/>
      <c r="AD22" s="21">
        <f t="shared" si="62"/>
        <v>2.8037999999999998</v>
      </c>
      <c r="AE22" s="21">
        <f t="shared" si="63"/>
        <v>17.203637000000001</v>
      </c>
      <c r="AF22" s="21">
        <f t="shared" si="64"/>
        <v>-18.684111000000001</v>
      </c>
      <c r="AG22" s="22">
        <f t="shared" si="65"/>
        <v>20.8215</v>
      </c>
      <c r="AH22" s="23">
        <f t="shared" si="66"/>
        <v>17.859677999999999</v>
      </c>
      <c r="AI22" s="23">
        <f t="shared" si="67"/>
        <v>-7.9276999999998488E-2</v>
      </c>
      <c r="AK22" s="7" t="s">
        <v>0</v>
      </c>
      <c r="AL22" s="7">
        <v>27</v>
      </c>
      <c r="AM22" s="65">
        <v>32</v>
      </c>
      <c r="AN22" s="65">
        <v>19</v>
      </c>
      <c r="AO22" s="65">
        <v>32</v>
      </c>
      <c r="AP22" s="65">
        <v>21</v>
      </c>
      <c r="AQ22" s="65">
        <v>32</v>
      </c>
      <c r="AR22" s="7">
        <v>23</v>
      </c>
      <c r="AS22" s="65">
        <v>24</v>
      </c>
      <c r="AT22" s="7">
        <v>27</v>
      </c>
      <c r="AU22" s="65">
        <v>24</v>
      </c>
      <c r="AV22" s="7">
        <v>25</v>
      </c>
      <c r="AW22" s="65">
        <v>24</v>
      </c>
      <c r="AX22" s="2">
        <f>27+4</f>
        <v>31</v>
      </c>
      <c r="AY22" s="100">
        <v>24</v>
      </c>
      <c r="AZ22" s="2">
        <f>3+31</f>
        <v>34</v>
      </c>
      <c r="BA22" s="100">
        <v>26</v>
      </c>
      <c r="BB22" s="2">
        <f>7+33+4</f>
        <v>44</v>
      </c>
      <c r="BC22" s="100">
        <v>26</v>
      </c>
      <c r="BD22" s="65">
        <f>2+7+2+37</f>
        <v>48</v>
      </c>
      <c r="BE22" s="100">
        <v>26</v>
      </c>
      <c r="BG22" s="100">
        <v>26</v>
      </c>
      <c r="BI22" s="100">
        <v>26</v>
      </c>
    </row>
    <row r="23" spans="1:65" x14ac:dyDescent="0.25">
      <c r="A23" s="8" t="s">
        <v>46</v>
      </c>
      <c r="B23" s="21">
        <f>+'[1]QTD Mgmt Summary'!C17/1000</f>
        <v>1.679991</v>
      </c>
      <c r="C23" s="21">
        <f>+[1]Expenses!D17/1000</f>
        <v>2.7631289999999997</v>
      </c>
      <c r="D23" s="21">
        <f>+'[1]QTD Mgmt Summary'!K17/1000</f>
        <v>-2.1585649999999994</v>
      </c>
      <c r="E23" s="22">
        <f>+'[2]Mgmt Summary'!C17/1000</f>
        <v>3</v>
      </c>
      <c r="F23" s="22">
        <f>+'[2]Mgmt Summary'!M17/1000</f>
        <v>1.43025</v>
      </c>
      <c r="G23" s="23">
        <f>+'[2]Mgmt Summary'!E17/1000</f>
        <v>0.36593599999999971</v>
      </c>
      <c r="H23" s="8" t="s">
        <v>46</v>
      </c>
      <c r="I23" s="21">
        <f>+'[4]Mgmt Summary'!G17/1000</f>
        <v>0.76521499999999998</v>
      </c>
      <c r="J23" s="21">
        <f>+'[4]Mgmt Summary'!M17/1000</f>
        <v>5.5774719999999993</v>
      </c>
      <c r="K23" s="21">
        <f>+'[4]Mgmt Summary'!O17/1000</f>
        <v>-5.8922720000000002</v>
      </c>
      <c r="L23" s="22">
        <f>+'[3]Mgmt Summary'!C17/1000</f>
        <v>5</v>
      </c>
      <c r="M23" s="22">
        <f>+'[3]Mgmt Summary'!M17/1000</f>
        <v>1.43025</v>
      </c>
      <c r="N23" s="23">
        <f>+'[4]Mgmt Summary'!E17/1000</f>
        <v>2.377904</v>
      </c>
      <c r="O23" s="24"/>
      <c r="P23" s="21">
        <f>+'[6]Mgmt Summary'!J17/1000</f>
        <v>1.5743530000000001</v>
      </c>
      <c r="Q23" s="21">
        <f>+'[6]Mgmt Summary'!M17/1000</f>
        <v>6.1434679999999995</v>
      </c>
      <c r="R23" s="21">
        <f>+'[6]Mgmt Summary'!O17/1000</f>
        <v>-5.7566199999999998</v>
      </c>
      <c r="S23" s="22">
        <f>+'[6]Mgmt Summary'!C17/1000</f>
        <v>8</v>
      </c>
      <c r="T23" s="22">
        <f>+[6]Expenses!E17/1000</f>
        <v>1.43025</v>
      </c>
      <c r="U23" s="23">
        <f>+'[6]Mgmt Summary'!E17/1000</f>
        <v>5.3767870000000002</v>
      </c>
      <c r="V23" s="24"/>
      <c r="W23" s="21">
        <f>+'[7]Mgmt Summary'!J17/1000</f>
        <v>2.3210000000000002</v>
      </c>
      <c r="X23" s="21">
        <f>+'[7]Mgmt Summary'!M17/1000</f>
        <v>6.2702499999999999</v>
      </c>
      <c r="Y23" s="21">
        <f>+'[7]Mgmt Summary'!O17/1000</f>
        <v>-5.1384280000000002</v>
      </c>
      <c r="Z23" s="22">
        <f>+'[5]Mgmt Summary'!C17/1000</f>
        <v>44</v>
      </c>
      <c r="AA23" s="22">
        <f>+[5]Expenses!E17/1000</f>
        <v>1.43025</v>
      </c>
      <c r="AB23" s="23">
        <f>+'[5]Mgmt Summary'!E17/1000</f>
        <v>41.380572000000001</v>
      </c>
      <c r="AC23" s="24"/>
      <c r="AD23" s="21">
        <f t="shared" si="62"/>
        <v>6.3405590000000007</v>
      </c>
      <c r="AE23" s="21">
        <f t="shared" si="63"/>
        <v>20.754318999999999</v>
      </c>
      <c r="AF23" s="21">
        <f t="shared" si="64"/>
        <v>-18.945885000000001</v>
      </c>
      <c r="AG23" s="22">
        <f t="shared" si="65"/>
        <v>60</v>
      </c>
      <c r="AH23" s="23">
        <f t="shared" si="66"/>
        <v>5.7210000000000001</v>
      </c>
      <c r="AI23" s="23">
        <f t="shared" si="67"/>
        <v>49.501199</v>
      </c>
      <c r="AK23" s="7" t="s">
        <v>1</v>
      </c>
      <c r="AL23" s="7">
        <v>15</v>
      </c>
      <c r="AM23" s="65">
        <v>26</v>
      </c>
      <c r="AN23" s="7">
        <v>17</v>
      </c>
      <c r="AO23" s="65">
        <v>26</v>
      </c>
      <c r="AP23" s="7">
        <v>18</v>
      </c>
      <c r="AQ23" s="65">
        <v>26</v>
      </c>
      <c r="AR23" s="7">
        <v>18</v>
      </c>
      <c r="AS23" s="65">
        <v>36</v>
      </c>
      <c r="AT23" s="7">
        <v>18</v>
      </c>
      <c r="AU23" s="65">
        <v>36</v>
      </c>
      <c r="AV23" s="7">
        <v>15</v>
      </c>
      <c r="AW23" s="65">
        <v>40</v>
      </c>
      <c r="AX23" s="65">
        <v>16</v>
      </c>
      <c r="AY23" s="100">
        <v>42</v>
      </c>
      <c r="AZ23" s="65">
        <v>15</v>
      </c>
      <c r="BA23" s="100">
        <v>42</v>
      </c>
      <c r="BB23" s="65">
        <v>13</v>
      </c>
      <c r="BC23" s="100">
        <v>42</v>
      </c>
      <c r="BD23" s="65">
        <v>30</v>
      </c>
      <c r="BE23" s="100">
        <v>42</v>
      </c>
      <c r="BG23" s="100">
        <v>42</v>
      </c>
      <c r="BI23" s="100">
        <v>42</v>
      </c>
    </row>
    <row r="24" spans="1:65" x14ac:dyDescent="0.25">
      <c r="A24" s="8" t="s">
        <v>45</v>
      </c>
      <c r="B24" s="21">
        <f>+'[1]QTD Mgmt Summary'!C19/1000</f>
        <v>-0.95967899999999995</v>
      </c>
      <c r="C24" s="21">
        <f>+[1]Expenses!D19/1000</f>
        <v>0.42886399999999997</v>
      </c>
      <c r="D24" s="21">
        <f>+'[1]QTD Mgmt Summary'!K19/1000</f>
        <v>-1.885705</v>
      </c>
      <c r="E24" s="22">
        <f>+'[2]Mgmt Summary'!C19/1000</f>
        <v>-0.85850100000000018</v>
      </c>
      <c r="F24" s="22">
        <f>+'[2]Mgmt Summary'!M19/1000</f>
        <v>0.27254199999999995</v>
      </c>
      <c r="G24" s="23">
        <f>+'[2]Mgmt Summary'!E19/1000</f>
        <v>-1.7005670000000002</v>
      </c>
      <c r="H24" s="8" t="s">
        <v>45</v>
      </c>
      <c r="I24" s="21">
        <f>+'[4]Mgmt Summary'!G18/1000</f>
        <v>2.0678539999999996</v>
      </c>
      <c r="J24" s="21">
        <f>+'[4]Mgmt Summary'!M18/1000</f>
        <v>0.22967400000000002</v>
      </c>
      <c r="K24" s="21">
        <f>+'[4]Mgmt Summary'!O18/1000</f>
        <v>1.3607289999999999</v>
      </c>
      <c r="L24" s="22">
        <f>+'[3]Mgmt Summary'!C18/1000</f>
        <v>1.3724989999999997</v>
      </c>
      <c r="M24" s="22">
        <f>+'[3]Mgmt Summary'!M18/1000</f>
        <v>0.30228100000000002</v>
      </c>
      <c r="N24" s="23">
        <f>+'[4]Mgmt Summary'!E18/1000</f>
        <v>0.49715299999999979</v>
      </c>
      <c r="O24" s="24"/>
      <c r="P24" s="21">
        <f>+'[6]Mgmt Summary'!J18/1000</f>
        <v>0</v>
      </c>
      <c r="Q24" s="21">
        <f>+'[6]Mgmt Summary'!M18/1000</f>
        <v>0</v>
      </c>
      <c r="R24" s="21">
        <f>+'[6]Mgmt Summary'!O18/1000</f>
        <v>0</v>
      </c>
      <c r="S24" s="22">
        <f>+'[6]Mgmt Summary'!C18/1000</f>
        <v>0</v>
      </c>
      <c r="T24" s="22">
        <f>+[6]Expenses!E18/1000</f>
        <v>0</v>
      </c>
      <c r="U24" s="23">
        <f>+'[6]Mgmt Summary'!E18/1000</f>
        <v>0</v>
      </c>
      <c r="V24" s="24"/>
      <c r="W24" s="21"/>
      <c r="X24" s="21"/>
      <c r="Y24" s="21"/>
      <c r="Z24" s="22">
        <f>+'[5]Mgmt Summary'!C18/1000</f>
        <v>0</v>
      </c>
      <c r="AA24" s="22">
        <f>+[5]Expenses!E18/1000</f>
        <v>0</v>
      </c>
      <c r="AB24" s="23">
        <f>+'[5]Mgmt Summary'!E18/1000</f>
        <v>0</v>
      </c>
      <c r="AC24" s="24"/>
      <c r="AD24" s="21">
        <f t="shared" si="62"/>
        <v>1.1081749999999997</v>
      </c>
      <c r="AE24" s="21">
        <f t="shared" si="63"/>
        <v>0.65853799999999996</v>
      </c>
      <c r="AF24" s="21">
        <f t="shared" si="64"/>
        <v>-0.52497600000000011</v>
      </c>
      <c r="AG24" s="22">
        <f t="shared" si="65"/>
        <v>0.51399799999999951</v>
      </c>
      <c r="AH24" s="22">
        <f t="shared" si="66"/>
        <v>0.57482299999999997</v>
      </c>
      <c r="AI24" s="23">
        <f t="shared" si="67"/>
        <v>-1.2034140000000004</v>
      </c>
      <c r="AK24" s="7" t="s">
        <v>40</v>
      </c>
      <c r="AL24" s="7">
        <v>7</v>
      </c>
      <c r="AM24" s="65">
        <v>6</v>
      </c>
      <c r="AN24" s="65">
        <v>8</v>
      </c>
      <c r="AO24" s="65">
        <v>6</v>
      </c>
      <c r="AP24" s="65">
        <v>20</v>
      </c>
      <c r="AQ24" s="65">
        <v>20</v>
      </c>
      <c r="AR24" s="7">
        <v>22</v>
      </c>
      <c r="AS24" s="65">
        <v>37</v>
      </c>
      <c r="AT24" s="7">
        <v>57</v>
      </c>
      <c r="AU24" s="65">
        <v>37</v>
      </c>
      <c r="AV24" s="7">
        <v>42</v>
      </c>
      <c r="AW24" s="65">
        <v>37</v>
      </c>
      <c r="AX24" s="65">
        <v>51</v>
      </c>
      <c r="AY24" s="100">
        <v>63</v>
      </c>
      <c r="AZ24" s="65">
        <v>55</v>
      </c>
      <c r="BA24" s="100">
        <v>63</v>
      </c>
      <c r="BB24" s="65">
        <v>62</v>
      </c>
      <c r="BC24" s="100">
        <v>63</v>
      </c>
      <c r="BD24" s="65">
        <v>62</v>
      </c>
      <c r="BE24" s="100">
        <v>92</v>
      </c>
      <c r="BG24" s="100">
        <v>92</v>
      </c>
      <c r="BI24" s="100">
        <v>92</v>
      </c>
    </row>
    <row r="25" spans="1:65" x14ac:dyDescent="0.25">
      <c r="A25" s="8" t="s">
        <v>98</v>
      </c>
      <c r="B25" s="21"/>
      <c r="C25" s="21"/>
      <c r="D25" s="21"/>
      <c r="E25" s="22"/>
      <c r="F25" s="22"/>
      <c r="G25" s="23"/>
      <c r="H25" s="8" t="s">
        <v>98</v>
      </c>
      <c r="I25" s="21"/>
      <c r="J25" s="21"/>
      <c r="K25" s="21"/>
      <c r="L25" s="22"/>
      <c r="M25" s="22"/>
      <c r="N25" s="23"/>
      <c r="O25" s="24"/>
      <c r="P25" s="21">
        <f>+'[6]Mgmt Summary'!J19/1000</f>
        <v>8.4899999999999993E-4</v>
      </c>
      <c r="Q25" s="21">
        <f>+'[6]Mgmt Summary'!M19/1000</f>
        <v>0.93087699999999995</v>
      </c>
      <c r="R25" s="21">
        <f>+'[6]Mgmt Summary'!O19/1000</f>
        <v>-2.53091</v>
      </c>
      <c r="S25" s="22">
        <f>+'[6]Mgmt Summary'!C19/1000</f>
        <v>3.75</v>
      </c>
      <c r="T25" s="22">
        <f>+[6]Expenses!E19/1000</f>
        <v>1.542486</v>
      </c>
      <c r="U25" s="23">
        <f>+'[6]Mgmt Summary'!E19/1000</f>
        <v>0.38362199999999985</v>
      </c>
      <c r="V25" s="24"/>
      <c r="W25" s="21">
        <f>+'[7]Mgmt Summary'!J19/1000</f>
        <v>1.4759999999999999E-3</v>
      </c>
      <c r="X25" s="21">
        <f>+'[7]Mgmt Summary'!M19/1000</f>
        <v>1.542486</v>
      </c>
      <c r="Y25" s="21">
        <f>+'[7]Mgmt Summary'!O19/1000</f>
        <v>-3.3649019999999998</v>
      </c>
      <c r="Z25" s="22">
        <f>+'[5]Mgmt Summary'!C19/1000</f>
        <v>3.75</v>
      </c>
      <c r="AA25" s="22">
        <f>+[5]Expenses!E19/1000</f>
        <v>1.542486</v>
      </c>
      <c r="AB25" s="23">
        <f>+'[5]Mgmt Summary'!E19/1000</f>
        <v>0.38362199999999985</v>
      </c>
      <c r="AC25" s="24"/>
      <c r="AD25" s="21">
        <f t="shared" ref="AD25:AI25" si="68">+B25+I25+P25+W25</f>
        <v>2.3249999999999998E-3</v>
      </c>
      <c r="AE25" s="21">
        <f t="shared" si="68"/>
        <v>2.473363</v>
      </c>
      <c r="AF25" s="21">
        <f t="shared" si="68"/>
        <v>-5.8958119999999994</v>
      </c>
      <c r="AG25" s="22">
        <f t="shared" si="68"/>
        <v>7.5</v>
      </c>
      <c r="AH25" s="22">
        <f t="shared" si="68"/>
        <v>3.084972</v>
      </c>
      <c r="AI25" s="23">
        <f t="shared" si="68"/>
        <v>0.7672439999999997</v>
      </c>
      <c r="AK25" s="7" t="s">
        <v>98</v>
      </c>
      <c r="AL25" s="7"/>
      <c r="AM25" s="65"/>
      <c r="AN25" s="65"/>
      <c r="AO25" s="65"/>
      <c r="AP25" s="65"/>
      <c r="AQ25" s="65"/>
      <c r="AR25" s="7"/>
      <c r="AS25" s="65"/>
      <c r="AT25" s="7"/>
      <c r="AU25" s="65"/>
      <c r="AW25" s="65"/>
      <c r="AX25" s="2">
        <v>19</v>
      </c>
      <c r="AY25" s="100">
        <v>24</v>
      </c>
      <c r="AZ25" s="2">
        <v>19</v>
      </c>
      <c r="BA25" s="100">
        <v>24</v>
      </c>
      <c r="BB25" s="2">
        <v>18</v>
      </c>
      <c r="BC25" s="100">
        <v>24</v>
      </c>
      <c r="BD25" s="65">
        <v>18</v>
      </c>
      <c r="BE25" s="100">
        <v>27</v>
      </c>
      <c r="BG25" s="100">
        <v>27</v>
      </c>
      <c r="BI25" s="100">
        <v>27</v>
      </c>
    </row>
    <row r="26" spans="1:65" ht="13.8" thickBot="1" x14ac:dyDescent="0.3">
      <c r="A26" s="152" t="s">
        <v>99</v>
      </c>
      <c r="B26" s="21">
        <f>+('[1]QTD Mgmt Summary'!C20+'[1]QTD Mgmt Summary'!C21+'[1]QTD Mgmt Summary'!C25+'[1]QTD Mgmt Summary'!C26+'[1]QTD Mgmt Summary'!C32)/1000+'[1]QTD Mgmt Summary'!C18/1000</f>
        <v>0.21596799999999999</v>
      </c>
      <c r="C26" s="21">
        <f>(+[1]Expenses!$D$20+[1]Expenses!$D$21+[1]Expenses!$D$25)/1000+[1]Expenses!D18/1000</f>
        <v>33.163512000000004</v>
      </c>
      <c r="D26" s="21">
        <f>(+'[1]QTD Mgmt Summary'!K20+'[1]QTD Mgmt Summary'!K21+'[1]QTD Mgmt Summary'!K25+'[1]QTD Mgmt Summary'!K26+'[1]QTD Mgmt Summary'!K27)/1000+'[1]QTD Mgmt Summary'!K18/1000</f>
        <v>-15.7017925</v>
      </c>
      <c r="E26" s="22">
        <f>+('[2]Mgmt Summary'!$C$18+'[2]Mgmt Summary'!$C$20+'[2]Mgmt Summary'!$C$21+'[2]Mgmt Summary'!$C$22+'[2]Mgmt Summary'!$C$26+'[2]Mgmt Summary'!$C$27)/1000</f>
        <v>2.5230000000000001</v>
      </c>
      <c r="F26" s="22">
        <f>+('[2]Mgmt Summary'!$M$18+'[2]Mgmt Summary'!$M$20+'[2]Mgmt Summary'!$M$21+'[2]Mgmt Summary'!$M$22+'[2]Mgmt Summary'!$M$26+'[2]Mgmt Summary'!$M$27)/1000</f>
        <v>29.978772999999997</v>
      </c>
      <c r="G26" s="23">
        <f>+('[2]Mgmt Summary'!$E$18+'[2]Mgmt Summary'!$E$20+'[2]Mgmt Summary'!$E$21+'[2]Mgmt Summary'!$E$22+'[2]Mgmt Summary'!$E$26+'[2]Mgmt Summary'!$E$27)/1000</f>
        <v>-6.1094079999999993</v>
      </c>
      <c r="H26" s="152" t="s">
        <v>96</v>
      </c>
      <c r="I26" s="21">
        <f>SUM('[4]Mgmt Summary'!$G$19:$G$22)/1000</f>
        <v>2.1317629999999999</v>
      </c>
      <c r="J26" s="21">
        <f>SUM('[4]Mgmt Summary'!$M$19:$M$22)/1000+'[4]Mgmt Summary'!$M$26/1000</f>
        <v>33.355591000000004</v>
      </c>
      <c r="K26" s="21">
        <f>SUM('[4]Mgmt Summary'!$O$19:$O$22)/1000+'[4]Mgmt Summary'!$O$26/1000+'[4]Mgmt Summary'!$O$27/1000</f>
        <v>-13.751741000000003</v>
      </c>
      <c r="L26" s="22">
        <f>SUM('[4]Mgmt Summary'!$C$19:$C$22)/1000</f>
        <v>6.2161040000000005</v>
      </c>
      <c r="M26" s="22">
        <f>SUM(([4]Expenses!$E$19:$E$21))/1000+[4]Expenses!$E$25/1000</f>
        <v>29.624556999999996</v>
      </c>
      <c r="N26" s="76">
        <f>+('[4]Mgmt Summary'!E19+'[4]Mgmt Summary'!E20+'[4]Mgmt Summary'!E21+'[4]Mgmt Summary'!E22+'[4]Mgmt Summary'!E26+'[4]Mgmt Summary'!E27)/1000</f>
        <v>-1.9159829999999893</v>
      </c>
      <c r="O26" s="24"/>
      <c r="P26" s="21">
        <f>SUM('[6]Mgmt Summary'!$J$20:$J$23)/1000+SUM('[6]Mgmt Summary'!$J$27:$J$27)/1000+45</f>
        <v>-3.7758059999999958</v>
      </c>
      <c r="Q26" s="21">
        <f>SUM('[6]Mgmt Summary'!M20:M23)/1000+'[6]Mgmt Summary'!$M$27/1000</f>
        <v>1.1761949999999999</v>
      </c>
      <c r="R26" s="21">
        <f>SUM('[6]Mgmt Summary'!O20:O23)/1000+'[6]Mgmt Summary'!$O$27/1000+'[6]Mgmt Summary'!$O$28/1000+'[6]Mgmt Summary'!$O$29/1000+'[6]Mgmt Summary'!$O$30/1000</f>
        <v>-59.272211999999989</v>
      </c>
      <c r="S26" s="22">
        <f>+SUM(('[6]Mgmt Summary'!C20:C23))/1000</f>
        <v>7.2037009999999997</v>
      </c>
      <c r="T26" s="22">
        <f>+SUM(([6]Expenses!E20:E22))/1000+[6]Expenses!$E$27/1000</f>
        <v>31.272687999999999</v>
      </c>
      <c r="U26" s="76">
        <f>+SUM(('[6]Mgmt Summary'!E20:E23))/1000+'[6]Mgmt Summary'!$E$27/1000+'[6]Mgmt Summary'!$E$28/1000+'[6]Mgmt Summary'!$E$29/1000+'[6]Mgmt Summary'!$E$30/1000</f>
        <v>-1.1209170000000022</v>
      </c>
      <c r="V26" s="24"/>
      <c r="W26" s="21">
        <f>SUM('[7]Mgmt Summary'!$J$20:$J$24)/1000+('[7]Mgmt Summary'!$J$27)/1000</f>
        <v>-28.853000000000002</v>
      </c>
      <c r="X26" s="21">
        <f>SUM('[7]Mgmt Summary'!$M$20:$M$24)/1000+'[7]Mgmt Summary'!$M$28/1000</f>
        <v>1.371521</v>
      </c>
      <c r="Y26" s="21">
        <f>SUM('[7]Mgmt Summary'!$O$20:$O$24)/1000+'[7]Mgmt Summary'!$O$28/1000+'[7]Mgmt Summary'!$O$29/1000+'[7]Mgmt Summary'!$O$27/1000+'[7]Mgmt Summary'!$O$30/1000</f>
        <v>-50.218253999999988</v>
      </c>
      <c r="Z26" s="22">
        <f>('[5]Mgmt Summary'!C20+'[5]Mgmt Summary'!C21+'[5]Mgmt Summary'!C22+'[5]Mgmt Summary'!C23)/1000</f>
        <v>3.3333919999999999</v>
      </c>
      <c r="AA26" s="22">
        <f>+([5]Expenses!$E$20+[5]Expenses!$E$21+[5]Expenses!$E$22+[5]Expenses!$E$26)/1000</f>
        <v>44.013506</v>
      </c>
      <c r="AB26" s="76">
        <f>+('[5]Mgmt Summary'!$E$20+'[5]Mgmt Summary'!$E$21+'[5]Mgmt Summary'!$E$22+'[5]Mgmt Summary'!$E$23+'[5]Mgmt Summary'!$E$27+'[5]Mgmt Summary'!$E$28)/1000</f>
        <v>-18.031861999999997</v>
      </c>
      <c r="AC26" s="24"/>
      <c r="AD26" s="21">
        <f t="shared" ref="AD26:AI26" si="69">+B26+I26+P26+W26</f>
        <v>-30.281074999999998</v>
      </c>
      <c r="AE26" s="21">
        <f t="shared" si="69"/>
        <v>69.06681900000001</v>
      </c>
      <c r="AF26" s="21">
        <f t="shared" si="69"/>
        <v>-138.94399949999996</v>
      </c>
      <c r="AG26" s="22">
        <f t="shared" si="69"/>
        <v>19.276197</v>
      </c>
      <c r="AH26" s="22">
        <f t="shared" si="69"/>
        <v>134.88952399999999</v>
      </c>
      <c r="AI26" s="23">
        <f t="shared" si="69"/>
        <v>-27.178169999999987</v>
      </c>
      <c r="AK26" s="7" t="s">
        <v>46</v>
      </c>
      <c r="AL26" s="7">
        <v>33</v>
      </c>
      <c r="AM26" s="65">
        <v>44</v>
      </c>
      <c r="AN26" s="65">
        <v>32</v>
      </c>
      <c r="AO26" s="65">
        <v>44</v>
      </c>
      <c r="AP26" s="65">
        <v>33.5</v>
      </c>
      <c r="AQ26" s="65">
        <v>44</v>
      </c>
      <c r="AR26" s="7">
        <v>34.5</v>
      </c>
      <c r="AS26" s="65">
        <v>44</v>
      </c>
      <c r="AT26" s="7">
        <v>37</v>
      </c>
      <c r="AU26" s="65">
        <v>44</v>
      </c>
      <c r="AV26" s="65">
        <v>33</v>
      </c>
      <c r="AW26" s="65">
        <v>44</v>
      </c>
      <c r="AX26" s="65">
        <f>33+2</f>
        <v>35</v>
      </c>
      <c r="AY26" s="100">
        <v>44</v>
      </c>
      <c r="AZ26" s="65">
        <v>36</v>
      </c>
      <c r="BA26" s="100">
        <v>44</v>
      </c>
      <c r="BB26" s="65">
        <v>34</v>
      </c>
      <c r="BC26" s="100">
        <v>44</v>
      </c>
      <c r="BD26" s="65">
        <v>38</v>
      </c>
      <c r="BE26" s="100">
        <v>44</v>
      </c>
      <c r="BG26" s="100">
        <v>44</v>
      </c>
      <c r="BI26" s="100">
        <v>44</v>
      </c>
    </row>
    <row r="27" spans="1:65" ht="13.8" thickBot="1" x14ac:dyDescent="0.3">
      <c r="A27" s="8" t="s">
        <v>17</v>
      </c>
      <c r="B27" s="36">
        <f t="shared" ref="B27:G27" si="70">SUM(B16:B26)</f>
        <v>100.66806961</v>
      </c>
      <c r="C27" s="37">
        <f t="shared" si="70"/>
        <v>54.071289000000007</v>
      </c>
      <c r="D27" s="37">
        <f t="shared" si="70"/>
        <v>46.315662610000004</v>
      </c>
      <c r="E27" s="39">
        <f t="shared" si="70"/>
        <v>97.298749999999998</v>
      </c>
      <c r="F27" s="39">
        <f t="shared" si="70"/>
        <v>52.310209999999998</v>
      </c>
      <c r="G27" s="40">
        <f t="shared" si="70"/>
        <v>44.988539999999993</v>
      </c>
      <c r="H27" s="8" t="s">
        <v>17</v>
      </c>
      <c r="I27" s="36">
        <f t="shared" ref="I27:N27" si="71">SUM(I16:I26)</f>
        <v>94.209201520000008</v>
      </c>
      <c r="J27" s="36">
        <f t="shared" si="71"/>
        <v>59.979376000000002</v>
      </c>
      <c r="K27" s="36">
        <f t="shared" si="71"/>
        <v>34.129964519999994</v>
      </c>
      <c r="L27" s="38">
        <f t="shared" si="71"/>
        <v>111.60342199999999</v>
      </c>
      <c r="M27" s="39">
        <f t="shared" si="71"/>
        <v>55.578954999999993</v>
      </c>
      <c r="N27" s="40">
        <f t="shared" si="71"/>
        <v>56.023991000000009</v>
      </c>
      <c r="O27" s="25"/>
      <c r="P27" s="36">
        <f t="shared" ref="P27:U27" si="72">SUM(P16:P26)</f>
        <v>31.038480000000007</v>
      </c>
      <c r="Q27" s="37">
        <f t="shared" si="72"/>
        <v>32.75573399999999</v>
      </c>
      <c r="R27" s="37">
        <f t="shared" si="72"/>
        <v>-31.105953999999983</v>
      </c>
      <c r="S27" s="38">
        <f t="shared" si="72"/>
        <v>123.813053</v>
      </c>
      <c r="T27" s="39">
        <f t="shared" si="72"/>
        <v>58.601922000000002</v>
      </c>
      <c r="U27" s="40">
        <f t="shared" si="72"/>
        <v>65.211130999999995</v>
      </c>
      <c r="V27" s="25"/>
      <c r="W27" s="36">
        <f t="shared" ref="W27:AB27" si="73">SUM(W16:W26)</f>
        <v>-76.862033999999994</v>
      </c>
      <c r="X27" s="37">
        <f t="shared" si="73"/>
        <v>35.094576999999994</v>
      </c>
      <c r="Y27" s="37">
        <f t="shared" si="73"/>
        <v>-154.59859599999999</v>
      </c>
      <c r="Z27" s="38">
        <f t="shared" si="73"/>
        <v>175.31147199999998</v>
      </c>
      <c r="AA27" s="39">
        <f t="shared" si="73"/>
        <v>72.596562000000006</v>
      </c>
      <c r="AB27" s="40">
        <f t="shared" si="73"/>
        <v>102.71491</v>
      </c>
      <c r="AC27" s="24"/>
      <c r="AD27" s="36">
        <f t="shared" ref="AD27:AI27" si="74">SUM(AD16:AD26)</f>
        <v>149.05371713000002</v>
      </c>
      <c r="AE27" s="37">
        <f t="shared" si="74"/>
        <v>181.90097600000001</v>
      </c>
      <c r="AF27" s="37">
        <f t="shared" si="74"/>
        <v>-105.25892286999998</v>
      </c>
      <c r="AG27" s="38">
        <f t="shared" si="74"/>
        <v>508.02669700000007</v>
      </c>
      <c r="AH27" s="39">
        <f t="shared" si="74"/>
        <v>239.087649</v>
      </c>
      <c r="AI27" s="40">
        <f t="shared" si="74"/>
        <v>268.93857200000002</v>
      </c>
      <c r="AK27" s="7" t="s">
        <v>45</v>
      </c>
      <c r="AL27" s="7">
        <v>5</v>
      </c>
      <c r="AM27" s="65">
        <v>6</v>
      </c>
      <c r="AN27" s="65">
        <v>5</v>
      </c>
      <c r="AO27" s="65">
        <v>6</v>
      </c>
      <c r="AP27" s="65">
        <v>5</v>
      </c>
      <c r="AQ27" s="65">
        <v>7</v>
      </c>
      <c r="AR27" s="7">
        <v>5</v>
      </c>
      <c r="AS27" s="65">
        <v>7</v>
      </c>
      <c r="AT27" s="7">
        <v>4</v>
      </c>
      <c r="AU27" s="65">
        <v>7</v>
      </c>
      <c r="AV27" s="65">
        <v>4</v>
      </c>
      <c r="AW27" s="65">
        <v>9</v>
      </c>
      <c r="AX27" s="65">
        <v>0</v>
      </c>
      <c r="AY27" s="100"/>
      <c r="BA27" s="100"/>
      <c r="BC27" s="100"/>
      <c r="BE27" s="100"/>
      <c r="BG27" s="100"/>
      <c r="BI27" s="100"/>
    </row>
    <row r="28" spans="1:65" x14ac:dyDescent="0.25">
      <c r="A28" s="7"/>
      <c r="B28" s="27"/>
      <c r="C28" s="27"/>
      <c r="D28" s="27"/>
      <c r="E28" s="27"/>
      <c r="F28" s="27"/>
      <c r="G28" s="27"/>
      <c r="H28" s="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4"/>
      <c r="AD28" s="27"/>
      <c r="AE28" s="27"/>
      <c r="AF28" s="27"/>
      <c r="AG28" s="27"/>
      <c r="AH28" s="27"/>
      <c r="AI28" s="27"/>
      <c r="AK28" s="7" t="s">
        <v>41</v>
      </c>
      <c r="AL28" s="7">
        <v>20</v>
      </c>
      <c r="AM28" s="65">
        <v>22</v>
      </c>
      <c r="AN28" s="7">
        <v>19</v>
      </c>
      <c r="AO28" s="65">
        <v>22</v>
      </c>
      <c r="AP28" s="7">
        <v>19</v>
      </c>
      <c r="AQ28" s="65">
        <v>22</v>
      </c>
      <c r="AR28" s="7">
        <v>0</v>
      </c>
      <c r="AS28" s="65">
        <v>0</v>
      </c>
      <c r="AT28" s="7">
        <v>0</v>
      </c>
      <c r="AU28" s="65">
        <v>0</v>
      </c>
      <c r="AW28" s="65">
        <v>0</v>
      </c>
      <c r="AX28" s="65">
        <v>0</v>
      </c>
      <c r="AY28" s="100">
        <v>0</v>
      </c>
      <c r="BA28" s="100">
        <v>0</v>
      </c>
      <c r="BC28" s="100">
        <v>0</v>
      </c>
      <c r="BE28" s="100">
        <v>0</v>
      </c>
      <c r="BG28" s="100">
        <v>0</v>
      </c>
      <c r="BI28" s="100">
        <v>0</v>
      </c>
    </row>
    <row r="29" spans="1:65" x14ac:dyDescent="0.25">
      <c r="A29" s="7"/>
      <c r="B29" s="27"/>
      <c r="C29" s="27"/>
      <c r="D29" s="27"/>
      <c r="E29" s="27"/>
      <c r="F29" s="27"/>
      <c r="G29" s="27"/>
      <c r="H29" s="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5"/>
      <c r="AD29" s="27"/>
      <c r="AE29" s="27"/>
      <c r="AF29" s="27"/>
      <c r="AG29" s="27"/>
      <c r="AH29" s="27"/>
      <c r="AI29" s="27"/>
      <c r="AK29" s="7" t="s">
        <v>2</v>
      </c>
      <c r="AL29" s="65">
        <v>40</v>
      </c>
      <c r="AM29" s="65">
        <v>54</v>
      </c>
      <c r="AN29" s="65">
        <v>42</v>
      </c>
      <c r="AO29" s="65">
        <v>54</v>
      </c>
      <c r="AP29" s="65">
        <v>41</v>
      </c>
      <c r="AQ29" s="65">
        <v>54</v>
      </c>
      <c r="AR29" s="7">
        <v>41</v>
      </c>
      <c r="AS29" s="65">
        <v>54</v>
      </c>
      <c r="AT29" s="7">
        <v>46</v>
      </c>
      <c r="AU29" s="65">
        <v>54</v>
      </c>
      <c r="AV29" s="7">
        <v>48</v>
      </c>
      <c r="AW29" s="65">
        <v>54</v>
      </c>
      <c r="AX29" s="4">
        <f>11+1+20+7+5+2</f>
        <v>46</v>
      </c>
      <c r="AY29" s="100">
        <v>54</v>
      </c>
      <c r="AZ29" s="4">
        <f>6+2+21+7+5</f>
        <v>41</v>
      </c>
      <c r="BA29" s="100">
        <v>54</v>
      </c>
      <c r="BB29" s="4">
        <f>3+2+21+7+5</f>
        <v>38</v>
      </c>
      <c r="BC29" s="100">
        <v>54</v>
      </c>
      <c r="BD29" s="4">
        <f>2+20+7+5</f>
        <v>34</v>
      </c>
      <c r="BE29" s="100">
        <v>54</v>
      </c>
      <c r="BF29" s="4"/>
      <c r="BG29" s="100">
        <v>54</v>
      </c>
      <c r="BH29" s="4"/>
      <c r="BI29" s="100">
        <v>54</v>
      </c>
    </row>
    <row r="30" spans="1:65" x14ac:dyDescent="0.25">
      <c r="A30" s="7"/>
      <c r="B30" s="24"/>
      <c r="C30" s="24"/>
      <c r="D30" s="24"/>
      <c r="E30" s="24"/>
      <c r="F30" s="24"/>
      <c r="G30" s="24"/>
      <c r="H30" s="26"/>
      <c r="I30" s="24"/>
      <c r="J30" s="24"/>
      <c r="K30" s="24"/>
      <c r="L30" s="24"/>
      <c r="M30" s="24"/>
      <c r="N30" s="24"/>
      <c r="O30" s="26"/>
      <c r="P30" s="24"/>
      <c r="Q30" s="24"/>
      <c r="R30" s="24"/>
      <c r="S30" s="24"/>
      <c r="T30" s="24"/>
      <c r="U30" s="24"/>
      <c r="V30" s="26"/>
      <c r="W30" s="24"/>
      <c r="X30" s="24"/>
      <c r="Y30" s="24"/>
      <c r="Z30" s="24"/>
      <c r="AA30" s="24"/>
      <c r="AB30" s="24"/>
      <c r="AC30" s="26"/>
      <c r="AD30" s="24"/>
      <c r="AE30" s="24"/>
      <c r="AF30" s="24"/>
      <c r="AG30" s="24"/>
      <c r="AH30" s="24"/>
      <c r="AI30" s="24"/>
      <c r="AK30" s="7" t="s">
        <v>33</v>
      </c>
      <c r="AL30" s="65">
        <f>5+7+208</f>
        <v>220</v>
      </c>
      <c r="AM30" s="7">
        <f>5+8+217</f>
        <v>230</v>
      </c>
      <c r="AN30" s="65">
        <f>5+7+221</f>
        <v>233</v>
      </c>
      <c r="AO30" s="7">
        <f>8+5+215</f>
        <v>228</v>
      </c>
      <c r="AP30" s="65">
        <f>7+5+216</f>
        <v>228</v>
      </c>
      <c r="AQ30" s="7">
        <f>8+5+215</f>
        <v>228</v>
      </c>
      <c r="AR30" s="2">
        <f>130+5+10</f>
        <v>145</v>
      </c>
      <c r="AS30" s="7">
        <f>106</f>
        <v>106</v>
      </c>
      <c r="AT30" s="2">
        <v>158</v>
      </c>
      <c r="AU30" s="7">
        <f>105+8+5</f>
        <v>118</v>
      </c>
      <c r="AV30" s="2">
        <f>108+5+10+28</f>
        <v>151</v>
      </c>
      <c r="AW30" s="7">
        <f>107+5+8</f>
        <v>120</v>
      </c>
      <c r="AX30" s="2">
        <f>11+6+94+32+1</f>
        <v>144</v>
      </c>
      <c r="AY30" s="7">
        <f>107+5+8</f>
        <v>120</v>
      </c>
      <c r="AZ30" s="2">
        <f>31+11+4+95</f>
        <v>141</v>
      </c>
      <c r="BA30" s="7">
        <f>107+5+8</f>
        <v>120</v>
      </c>
      <c r="BB30" s="2">
        <f>11+28+4+95</f>
        <v>138</v>
      </c>
      <c r="BC30" s="7">
        <f>105+5+8</f>
        <v>118</v>
      </c>
      <c r="BD30" s="2">
        <f>11+27+6+121</f>
        <v>165</v>
      </c>
      <c r="BE30" s="7">
        <f>105+5+8</f>
        <v>118</v>
      </c>
      <c r="BG30" s="7">
        <f>105+5+8</f>
        <v>118</v>
      </c>
      <c r="BI30" s="7">
        <f>105+5+8</f>
        <v>118</v>
      </c>
      <c r="BJ30" s="4"/>
      <c r="BK30" s="4"/>
      <c r="BL30" s="4"/>
      <c r="BM30" s="4"/>
    </row>
    <row r="31" spans="1:65" x14ac:dyDescent="0.25">
      <c r="A31" s="69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K31" s="1" t="s">
        <v>18</v>
      </c>
      <c r="AL31" s="1">
        <f t="shared" ref="AL31:AT31" si="75">SUM(AL19:AL30)</f>
        <v>545</v>
      </c>
      <c r="AM31" s="106">
        <f t="shared" si="75"/>
        <v>622</v>
      </c>
      <c r="AN31" s="106">
        <f t="shared" si="75"/>
        <v>551</v>
      </c>
      <c r="AO31" s="106">
        <f t="shared" si="75"/>
        <v>620</v>
      </c>
      <c r="AP31" s="106">
        <f t="shared" si="75"/>
        <v>562</v>
      </c>
      <c r="AQ31" s="106">
        <f t="shared" si="75"/>
        <v>635</v>
      </c>
      <c r="AR31" s="106">
        <f t="shared" si="75"/>
        <v>464</v>
      </c>
      <c r="AS31" s="106">
        <f>SUM(AS19:AS30)</f>
        <v>513</v>
      </c>
      <c r="AT31" s="106">
        <f t="shared" si="75"/>
        <v>523</v>
      </c>
      <c r="AU31" s="106">
        <f t="shared" ref="AU31:BB31" si="76">SUM(AU19:AU30)</f>
        <v>524</v>
      </c>
      <c r="AV31" s="106">
        <f t="shared" si="76"/>
        <v>497</v>
      </c>
      <c r="AW31" s="106">
        <f t="shared" si="76"/>
        <v>533</v>
      </c>
      <c r="AX31" s="106">
        <f t="shared" si="76"/>
        <v>541</v>
      </c>
      <c r="AY31" s="106">
        <f t="shared" si="76"/>
        <v>578</v>
      </c>
      <c r="AZ31" s="106">
        <f t="shared" si="76"/>
        <v>553</v>
      </c>
      <c r="BA31" s="106">
        <f t="shared" si="76"/>
        <v>580</v>
      </c>
      <c r="BB31" s="106">
        <f t="shared" si="76"/>
        <v>561</v>
      </c>
      <c r="BC31" s="106">
        <f>SUM(BC19:BC30)</f>
        <v>578</v>
      </c>
      <c r="BD31" s="106">
        <f>SUM(BD19:BD30)</f>
        <v>634</v>
      </c>
      <c r="BE31" s="106">
        <f>SUM(BE19:BE30)</f>
        <v>610</v>
      </c>
      <c r="BG31" s="106">
        <f>SUM(BG19:BG30)</f>
        <v>610</v>
      </c>
      <c r="BI31" s="106">
        <f>SUM(BI19:BI30)</f>
        <v>610</v>
      </c>
      <c r="BJ31" s="4"/>
      <c r="BK31" s="4"/>
      <c r="BL31" s="4"/>
      <c r="BM31" s="4"/>
    </row>
    <row r="32" spans="1:65" ht="13.8" thickBot="1" x14ac:dyDescent="0.3">
      <c r="A32" s="7"/>
      <c r="B32" s="24"/>
      <c r="C32" s="24"/>
      <c r="D32" s="24"/>
      <c r="E32" s="24"/>
      <c r="F32" s="24"/>
      <c r="G32" s="24"/>
      <c r="H32" s="26"/>
      <c r="I32" s="24"/>
      <c r="J32" s="24"/>
      <c r="K32" s="24"/>
      <c r="L32" s="24"/>
      <c r="M32" s="24"/>
      <c r="N32" s="72"/>
      <c r="O32" s="26"/>
      <c r="P32" s="24"/>
      <c r="Q32" s="24"/>
      <c r="R32" s="24"/>
      <c r="S32" s="24"/>
      <c r="T32" s="24"/>
      <c r="U32" s="24"/>
      <c r="V32" s="26"/>
      <c r="W32" s="24"/>
      <c r="X32" s="24"/>
      <c r="Y32" s="24"/>
      <c r="Z32" s="24"/>
      <c r="AA32" s="24"/>
      <c r="AB32" s="24"/>
      <c r="AC32" s="26"/>
      <c r="AD32" s="24"/>
      <c r="AE32" s="24"/>
      <c r="AF32" s="24"/>
      <c r="AG32" s="24"/>
      <c r="AH32" s="24"/>
      <c r="AI32" s="24"/>
      <c r="AN32" s="4"/>
      <c r="AP32" s="4"/>
      <c r="AQ32" s="7"/>
      <c r="AR32" s="1"/>
      <c r="AS32" s="1"/>
      <c r="AT32" s="1"/>
      <c r="AU32" s="1"/>
      <c r="AV32" s="1"/>
      <c r="AW32" s="1"/>
      <c r="AX32" s="31"/>
      <c r="AY32" s="1"/>
      <c r="BA32" s="1"/>
      <c r="BC32" s="1"/>
      <c r="BJ32" s="4"/>
      <c r="BK32" s="4"/>
      <c r="BL32" s="4"/>
      <c r="BM32" s="4"/>
    </row>
    <row r="33" spans="1:62" x14ac:dyDescent="0.25">
      <c r="A33" s="60"/>
      <c r="B33" s="44" t="s">
        <v>26</v>
      </c>
      <c r="C33" s="45" t="s">
        <v>26</v>
      </c>
      <c r="D33" s="45" t="s">
        <v>26</v>
      </c>
      <c r="E33" s="46" t="s">
        <v>26</v>
      </c>
      <c r="F33" s="29"/>
      <c r="G33" s="29"/>
      <c r="H33" s="60"/>
      <c r="I33" s="44" t="s">
        <v>25</v>
      </c>
      <c r="J33" s="45" t="s">
        <v>25</v>
      </c>
      <c r="K33" s="45" t="s">
        <v>25</v>
      </c>
      <c r="L33" s="46" t="s">
        <v>25</v>
      </c>
      <c r="N33" s="68"/>
      <c r="AK33" s="30"/>
      <c r="AL33" s="1"/>
      <c r="AM33" s="1"/>
      <c r="AR33" s="29"/>
    </row>
    <row r="34" spans="1:62" ht="13.8" thickBot="1" x14ac:dyDescent="0.3">
      <c r="A34" s="61" t="s">
        <v>37</v>
      </c>
      <c r="B34" s="47" t="s">
        <v>20</v>
      </c>
      <c r="C34" s="48" t="s">
        <v>30</v>
      </c>
      <c r="D34" s="48" t="s">
        <v>31</v>
      </c>
      <c r="E34" s="49" t="s">
        <v>32</v>
      </c>
      <c r="F34" s="29"/>
      <c r="G34" s="29"/>
      <c r="H34" s="61" t="s">
        <v>37</v>
      </c>
      <c r="I34" s="47" t="s">
        <v>20</v>
      </c>
      <c r="J34" s="48" t="s">
        <v>30</v>
      </c>
      <c r="K34" s="48" t="s">
        <v>31</v>
      </c>
      <c r="L34" s="49" t="s">
        <v>32</v>
      </c>
      <c r="M34" s="29"/>
      <c r="N34" s="68"/>
      <c r="AR34" s="101"/>
      <c r="AT34"/>
      <c r="AU34" s="65"/>
      <c r="AW34" s="65"/>
      <c r="AX34" s="108"/>
      <c r="AY34" s="65"/>
      <c r="AZ34" s="65"/>
      <c r="BA34" s="65"/>
      <c r="BB34" s="108"/>
      <c r="BC34" s="65"/>
      <c r="BD34" s="65"/>
      <c r="BE34" s="65"/>
      <c r="BF34" s="108"/>
      <c r="BG34" s="65"/>
      <c r="BH34" s="65"/>
      <c r="BI34" s="65"/>
      <c r="BJ34" s="2" t="s">
        <v>102</v>
      </c>
    </row>
    <row r="35" spans="1:62" x14ac:dyDescent="0.25">
      <c r="A35" s="62" t="s">
        <v>34</v>
      </c>
      <c r="B35" s="51">
        <f t="shared" ref="B35:B42" si="77">+B3</f>
        <v>61.971161000000002</v>
      </c>
      <c r="C35" s="51">
        <f t="shared" ref="C35:C43" si="78">+B35+I3</f>
        <v>94.767986000000008</v>
      </c>
      <c r="D35" s="51">
        <f t="shared" ref="D35:D43" si="79">+C35+P3</f>
        <v>78.632197000000005</v>
      </c>
      <c r="E35" s="52">
        <f t="shared" ref="E35:E43" si="80">+D35+W3</f>
        <v>27.134721000000006</v>
      </c>
      <c r="H35" s="62" t="s">
        <v>34</v>
      </c>
      <c r="I35" s="50">
        <f t="shared" ref="I35:I41" si="81">+E3</f>
        <v>40</v>
      </c>
      <c r="J35" s="51">
        <f t="shared" ref="J35:J43" si="82">+I35+L3</f>
        <v>72.5</v>
      </c>
      <c r="K35" s="51">
        <f t="shared" ref="K35:K43" si="83">+J35+S3</f>
        <v>105</v>
      </c>
      <c r="L35" s="52">
        <f t="shared" ref="L35:L43" si="84">+K35+Z3</f>
        <v>150</v>
      </c>
      <c r="N35" s="68"/>
      <c r="AR35" s="101"/>
      <c r="AT35" s="65"/>
      <c r="AU35" s="65"/>
      <c r="AV35" s="65"/>
      <c r="AW35" s="65"/>
      <c r="AX35" s="65"/>
      <c r="AY35" s="65"/>
      <c r="AZ35" s="65"/>
      <c r="BA35" s="65"/>
      <c r="BB35" s="65"/>
      <c r="BC35" s="65">
        <v>63</v>
      </c>
      <c r="BD35" s="65"/>
      <c r="BE35" s="65">
        <v>65</v>
      </c>
      <c r="BF35" s="65"/>
      <c r="BG35" s="65">
        <v>67</v>
      </c>
      <c r="BH35" s="65"/>
      <c r="BI35" s="65">
        <v>69</v>
      </c>
      <c r="BJ35" s="7" t="s">
        <v>40</v>
      </c>
    </row>
    <row r="36" spans="1:62" x14ac:dyDescent="0.25">
      <c r="A36" s="63" t="s">
        <v>42</v>
      </c>
      <c r="B36" s="54">
        <f t="shared" si="77"/>
        <v>14.040902329999998</v>
      </c>
      <c r="C36" s="54">
        <f t="shared" si="78"/>
        <v>40.255425850000002</v>
      </c>
      <c r="D36" s="54">
        <f t="shared" si="79"/>
        <v>72.719472850000002</v>
      </c>
      <c r="E36" s="55">
        <f t="shared" si="80"/>
        <v>79.333107850000005</v>
      </c>
      <c r="H36" s="63" t="s">
        <v>42</v>
      </c>
      <c r="I36" s="53">
        <f t="shared" si="81"/>
        <v>18.75</v>
      </c>
      <c r="J36" s="54">
        <f t="shared" si="82"/>
        <v>37.5</v>
      </c>
      <c r="K36" s="54">
        <f t="shared" si="83"/>
        <v>56.25</v>
      </c>
      <c r="L36" s="55">
        <f t="shared" si="84"/>
        <v>75</v>
      </c>
      <c r="N36" s="68"/>
      <c r="AU36" s="65" t="s">
        <v>90</v>
      </c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</row>
    <row r="37" spans="1:62" x14ac:dyDescent="0.25">
      <c r="A37" s="63" t="s">
        <v>0</v>
      </c>
      <c r="B37" s="54">
        <f t="shared" si="77"/>
        <v>8.7249999999999996</v>
      </c>
      <c r="C37" s="54">
        <f t="shared" si="78"/>
        <v>17.582999999999998</v>
      </c>
      <c r="D37" s="54">
        <f t="shared" si="79"/>
        <v>26.509</v>
      </c>
      <c r="E37" s="55">
        <f t="shared" si="80"/>
        <v>17.039000000000001</v>
      </c>
      <c r="H37" s="63" t="s">
        <v>0</v>
      </c>
      <c r="I37" s="53">
        <f t="shared" si="81"/>
        <v>8.5092510000000008</v>
      </c>
      <c r="J37" s="54">
        <f t="shared" si="82"/>
        <v>15.58807</v>
      </c>
      <c r="K37" s="54">
        <f t="shared" si="83"/>
        <v>24.247422</v>
      </c>
      <c r="L37" s="55">
        <f t="shared" si="84"/>
        <v>33.000002000000002</v>
      </c>
      <c r="N37" s="68"/>
      <c r="AU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</row>
    <row r="38" spans="1:62" x14ac:dyDescent="0.25">
      <c r="A38" s="63" t="s">
        <v>28</v>
      </c>
      <c r="B38" s="54">
        <f t="shared" si="77"/>
        <v>1.6720152800000001</v>
      </c>
      <c r="C38" s="54">
        <f t="shared" si="78"/>
        <v>4.2225842799999995</v>
      </c>
      <c r="D38" s="54">
        <f t="shared" si="79"/>
        <v>5.2194702799999995</v>
      </c>
      <c r="E38" s="55">
        <f t="shared" si="80"/>
        <v>6.0778972799999993</v>
      </c>
      <c r="H38" s="63" t="s">
        <v>28</v>
      </c>
      <c r="I38" s="53">
        <f t="shared" si="81"/>
        <v>4.875</v>
      </c>
      <c r="J38" s="54">
        <f t="shared" si="82"/>
        <v>16.75</v>
      </c>
      <c r="K38" s="54">
        <f t="shared" si="83"/>
        <v>28.625</v>
      </c>
      <c r="L38" s="55">
        <f t="shared" si="84"/>
        <v>37.5</v>
      </c>
      <c r="N38" s="68"/>
      <c r="AU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</row>
    <row r="39" spans="1:62" x14ac:dyDescent="0.25">
      <c r="A39" s="63" t="s">
        <v>27</v>
      </c>
      <c r="B39" s="54">
        <f t="shared" si="77"/>
        <v>13.281756999999999</v>
      </c>
      <c r="C39" s="54">
        <f t="shared" si="78"/>
        <v>30.457756999999997</v>
      </c>
      <c r="D39" s="54">
        <f t="shared" si="79"/>
        <v>36.179206999999998</v>
      </c>
      <c r="E39" s="55">
        <f t="shared" si="80"/>
        <v>39.495207000000001</v>
      </c>
      <c r="H39" s="63" t="s">
        <v>27</v>
      </c>
      <c r="I39" s="53">
        <f t="shared" si="81"/>
        <v>20</v>
      </c>
      <c r="J39" s="54">
        <f t="shared" si="82"/>
        <v>47.5</v>
      </c>
      <c r="K39" s="54">
        <f t="shared" si="83"/>
        <v>74.87</v>
      </c>
      <c r="L39" s="55">
        <f t="shared" si="84"/>
        <v>104.41500000000001</v>
      </c>
      <c r="N39" s="68"/>
      <c r="AU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</row>
    <row r="40" spans="1:62" x14ac:dyDescent="0.25">
      <c r="A40" s="63" t="s">
        <v>40</v>
      </c>
      <c r="B40" s="54">
        <f t="shared" si="77"/>
        <v>4.0953999999999997E-2</v>
      </c>
      <c r="C40" s="54">
        <f t="shared" si="78"/>
        <v>1.689406</v>
      </c>
      <c r="D40" s="54">
        <f t="shared" si="79"/>
        <v>2.9558960000000001</v>
      </c>
      <c r="E40" s="55">
        <f t="shared" si="80"/>
        <v>2.8037999999999998</v>
      </c>
      <c r="H40" s="63" t="s">
        <v>40</v>
      </c>
      <c r="I40" s="53">
        <f t="shared" si="81"/>
        <v>0.5</v>
      </c>
      <c r="J40" s="54">
        <f t="shared" si="82"/>
        <v>1.8109999999999999</v>
      </c>
      <c r="K40" s="54">
        <f t="shared" si="83"/>
        <v>7.516</v>
      </c>
      <c r="L40" s="55">
        <f t="shared" si="84"/>
        <v>20.8215</v>
      </c>
      <c r="N40" s="68"/>
      <c r="AU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</row>
    <row r="41" spans="1:62" x14ac:dyDescent="0.25">
      <c r="A41" s="63" t="s">
        <v>43</v>
      </c>
      <c r="B41" s="54">
        <f t="shared" si="77"/>
        <v>0.72031200000000006</v>
      </c>
      <c r="C41" s="54">
        <f t="shared" si="78"/>
        <v>3.5533809999999999</v>
      </c>
      <c r="D41" s="54">
        <f t="shared" si="79"/>
        <v>5.1277340000000002</v>
      </c>
      <c r="E41" s="55">
        <f t="shared" si="80"/>
        <v>7.448734</v>
      </c>
      <c r="H41" s="63" t="s">
        <v>43</v>
      </c>
      <c r="I41" s="53">
        <f t="shared" si="81"/>
        <v>2.1414989999999996</v>
      </c>
      <c r="J41" s="54">
        <f t="shared" si="82"/>
        <v>8.5139979999999991</v>
      </c>
      <c r="K41" s="54">
        <f t="shared" si="83"/>
        <v>16.513998000000001</v>
      </c>
      <c r="L41" s="55">
        <f t="shared" si="84"/>
        <v>60.513998000000001</v>
      </c>
      <c r="N41" s="68"/>
      <c r="AU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</row>
    <row r="42" spans="1:62" x14ac:dyDescent="0.25">
      <c r="A42" s="63" t="s">
        <v>98</v>
      </c>
      <c r="B42" s="54">
        <f t="shared" si="77"/>
        <v>0</v>
      </c>
      <c r="C42" s="54">
        <f t="shared" si="78"/>
        <v>0</v>
      </c>
      <c r="D42" s="54">
        <f t="shared" si="79"/>
        <v>8.4899999999999993E-4</v>
      </c>
      <c r="E42" s="55">
        <f t="shared" si="80"/>
        <v>2.3249999999999998E-3</v>
      </c>
      <c r="H42" s="63" t="s">
        <v>98</v>
      </c>
      <c r="I42" s="53">
        <f>+E10</f>
        <v>0</v>
      </c>
      <c r="J42" s="54">
        <f t="shared" si="82"/>
        <v>0</v>
      </c>
      <c r="K42" s="54">
        <f t="shared" si="83"/>
        <v>3.75</v>
      </c>
      <c r="L42" s="55">
        <f t="shared" si="84"/>
        <v>7.5</v>
      </c>
      <c r="N42" s="68"/>
      <c r="AU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</row>
    <row r="43" spans="1:62" ht="13.8" thickBot="1" x14ac:dyDescent="0.3">
      <c r="A43" s="64" t="s">
        <v>35</v>
      </c>
      <c r="B43" s="54">
        <f>+B11</f>
        <v>0.21596799999999999</v>
      </c>
      <c r="C43" s="54">
        <f t="shared" si="78"/>
        <v>2.347731</v>
      </c>
      <c r="D43" s="54">
        <f t="shared" si="79"/>
        <v>-1.4280749999999958</v>
      </c>
      <c r="E43" s="55">
        <f t="shared" si="80"/>
        <v>-30.281074999999998</v>
      </c>
      <c r="H43" s="64" t="s">
        <v>35</v>
      </c>
      <c r="I43" s="53">
        <f>+E11</f>
        <v>2.5230000000000001</v>
      </c>
      <c r="J43" s="54">
        <f t="shared" si="82"/>
        <v>8.7391040000000011</v>
      </c>
      <c r="K43" s="54">
        <f t="shared" si="83"/>
        <v>15.942805</v>
      </c>
      <c r="L43" s="55">
        <f t="shared" si="84"/>
        <v>19.276197</v>
      </c>
      <c r="N43" s="68"/>
      <c r="AU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</row>
    <row r="44" spans="1:62" ht="13.8" thickBot="1" x14ac:dyDescent="0.3">
      <c r="A44" s="59" t="s">
        <v>17</v>
      </c>
      <c r="B44" s="42">
        <f>SUM(B35:B43)</f>
        <v>100.66806961</v>
      </c>
      <c r="C44" s="42">
        <f>SUM(C35:C43)</f>
        <v>194.87727113</v>
      </c>
      <c r="D44" s="42">
        <f>SUM(D35:D43)</f>
        <v>225.91575112999999</v>
      </c>
      <c r="E44" s="43">
        <f>SUM(E35:E43)</f>
        <v>149.05371713000002</v>
      </c>
      <c r="F44" s="35"/>
      <c r="H44" s="59" t="s">
        <v>17</v>
      </c>
      <c r="I44" s="41">
        <f>SUM(I35:I43)</f>
        <v>97.298749999999998</v>
      </c>
      <c r="J44" s="42">
        <f>SUM(J35:J43)</f>
        <v>208.90217200000001</v>
      </c>
      <c r="K44" s="42">
        <f>SUM(K35:K43)</f>
        <v>332.71522500000009</v>
      </c>
      <c r="L44" s="43">
        <f>SUM(L35:L43)</f>
        <v>508.02669700000007</v>
      </c>
      <c r="N44" s="68"/>
      <c r="AT44" s="4"/>
      <c r="AU44" s="65"/>
      <c r="AV44" s="4"/>
      <c r="AW44" s="65"/>
      <c r="AX44" s="7"/>
      <c r="AY44" s="65"/>
      <c r="AZ44" s="7"/>
      <c r="BA44" s="65"/>
      <c r="BB44" s="7"/>
      <c r="BC44" s="65"/>
      <c r="BD44" s="7"/>
      <c r="BE44" s="65"/>
      <c r="BF44" s="7"/>
      <c r="BG44" s="65"/>
      <c r="BH44" s="7"/>
      <c r="BI44" s="65"/>
    </row>
    <row r="45" spans="1:62" x14ac:dyDescent="0.25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71"/>
      <c r="AT45" s="1"/>
      <c r="AU45" s="7"/>
      <c r="AV45" s="1"/>
      <c r="AW45" s="7"/>
      <c r="AX45" s="106"/>
      <c r="AY45" s="7"/>
      <c r="AZ45" s="106"/>
      <c r="BA45" s="7"/>
      <c r="BB45" s="106"/>
      <c r="BC45" s="7"/>
      <c r="BD45" s="65"/>
      <c r="BE45" s="7"/>
      <c r="BF45" s="65"/>
      <c r="BG45" s="7"/>
      <c r="BH45" s="65"/>
      <c r="BI45" s="7"/>
    </row>
    <row r="46" spans="1:62" x14ac:dyDescent="0.25">
      <c r="A46" s="8"/>
      <c r="B46" s="29" t="s">
        <v>20</v>
      </c>
      <c r="C46" s="29" t="s">
        <v>21</v>
      </c>
      <c r="D46" s="29" t="s">
        <v>22</v>
      </c>
      <c r="E46" s="29" t="s">
        <v>23</v>
      </c>
      <c r="F46" s="29" t="s">
        <v>4</v>
      </c>
      <c r="I46" s="29" t="s">
        <v>20</v>
      </c>
      <c r="J46" s="29" t="s">
        <v>21</v>
      </c>
      <c r="K46" s="29" t="s">
        <v>22</v>
      </c>
      <c r="L46" s="29" t="s">
        <v>23</v>
      </c>
      <c r="M46" s="29" t="s">
        <v>4</v>
      </c>
      <c r="N46" s="68"/>
      <c r="AU46" s="106"/>
      <c r="AW46" s="106"/>
      <c r="AX46" s="65"/>
      <c r="AY46" s="106"/>
      <c r="AZ46" s="65"/>
      <c r="BA46" s="106"/>
      <c r="BB46" s="65"/>
      <c r="BC46" s="106"/>
      <c r="BD46" s="65"/>
      <c r="BE46" s="106"/>
      <c r="BF46" s="65"/>
      <c r="BG46" s="106"/>
      <c r="BH46" s="65"/>
      <c r="BI46" s="106"/>
    </row>
    <row r="47" spans="1:62" x14ac:dyDescent="0.25">
      <c r="A47" s="67" t="s">
        <v>38</v>
      </c>
      <c r="B47" s="28">
        <f>+B44</f>
        <v>100.66806961</v>
      </c>
      <c r="C47" s="28">
        <f>+I12</f>
        <v>94.209201520000008</v>
      </c>
      <c r="D47" s="28">
        <f>+P12</f>
        <v>31.038480000000007</v>
      </c>
      <c r="E47" s="28">
        <f>+W12</f>
        <v>-76.862033999999994</v>
      </c>
      <c r="F47" s="34">
        <f>SUM(B47:E47)</f>
        <v>149.05371713</v>
      </c>
      <c r="I47" s="28">
        <f>+E12</f>
        <v>97.298749999999998</v>
      </c>
      <c r="J47" s="28">
        <f>+L12</f>
        <v>111.60342199999999</v>
      </c>
      <c r="K47" s="28">
        <f>+S12</f>
        <v>123.813053</v>
      </c>
      <c r="L47" s="28">
        <f>+Z12</f>
        <v>175.31147199999998</v>
      </c>
      <c r="M47" s="66">
        <f>SUM(I47:L47)</f>
        <v>508.02669700000001</v>
      </c>
      <c r="N47" s="68"/>
      <c r="O47" s="27"/>
      <c r="P47" s="27"/>
      <c r="Q47" s="27"/>
      <c r="R47" s="27"/>
      <c r="S47" s="27"/>
      <c r="T47" s="27"/>
      <c r="U47" s="24"/>
      <c r="V47" s="26"/>
      <c r="W47" s="24"/>
      <c r="X47" s="24"/>
      <c r="Y47" s="24"/>
      <c r="Z47" s="24"/>
      <c r="AA47" s="24"/>
      <c r="AB47" s="24"/>
      <c r="AC47" s="26"/>
      <c r="AD47" s="24"/>
      <c r="AE47" s="24"/>
      <c r="AF47" s="24"/>
      <c r="AG47" s="24"/>
      <c r="AH47" s="24"/>
      <c r="AI47" s="24"/>
    </row>
    <row r="48" spans="1:62" x14ac:dyDescent="0.25">
      <c r="A48" s="30"/>
      <c r="B48" s="28"/>
      <c r="C48" s="28"/>
      <c r="D48" s="28"/>
      <c r="E48" s="28"/>
      <c r="F48" s="34"/>
      <c r="I48" s="28"/>
      <c r="J48" s="28"/>
      <c r="K48" s="28"/>
      <c r="L48" s="28"/>
      <c r="M48" s="66"/>
      <c r="N48" s="68"/>
    </row>
    <row r="49" spans="1:35" x14ac:dyDescent="0.25">
      <c r="A49" s="68"/>
      <c r="B49" s="68"/>
      <c r="C49" s="68"/>
      <c r="D49" s="68"/>
      <c r="E49" s="68"/>
      <c r="F49" s="68"/>
      <c r="G49" s="68"/>
      <c r="H49" s="69"/>
      <c r="I49" s="68"/>
      <c r="J49" s="68"/>
      <c r="K49" s="68"/>
      <c r="L49" s="68"/>
      <c r="M49" s="68"/>
      <c r="N49" s="68"/>
    </row>
    <row r="50" spans="1:35" ht="13.8" thickBot="1" x14ac:dyDescent="0.3">
      <c r="N50" s="68"/>
    </row>
    <row r="51" spans="1:35" x14ac:dyDescent="0.25">
      <c r="A51" s="60"/>
      <c r="B51" s="44" t="s">
        <v>26</v>
      </c>
      <c r="C51" s="45" t="s">
        <v>26</v>
      </c>
      <c r="D51" s="45" t="s">
        <v>26</v>
      </c>
      <c r="E51" s="46" t="s">
        <v>26</v>
      </c>
      <c r="F51" s="29"/>
      <c r="G51" s="29"/>
      <c r="H51" s="60"/>
      <c r="I51" s="44" t="s">
        <v>25</v>
      </c>
      <c r="J51" s="45" t="s">
        <v>25</v>
      </c>
      <c r="K51" s="45" t="s">
        <v>25</v>
      </c>
      <c r="L51" s="46" t="s">
        <v>25</v>
      </c>
      <c r="N51" s="68"/>
      <c r="U51" s="24"/>
      <c r="V51" s="26"/>
      <c r="W51" s="24"/>
      <c r="X51" s="24"/>
      <c r="Y51" s="24"/>
      <c r="Z51" s="24"/>
      <c r="AA51" s="24"/>
      <c r="AB51" s="24"/>
      <c r="AC51" s="26"/>
      <c r="AD51" s="24"/>
      <c r="AE51" s="24"/>
      <c r="AF51" s="24"/>
      <c r="AG51" s="24"/>
      <c r="AH51" s="24"/>
      <c r="AI51" s="24"/>
    </row>
    <row r="52" spans="1:35" ht="13.8" thickBot="1" x14ac:dyDescent="0.3">
      <c r="A52" s="61" t="s">
        <v>24</v>
      </c>
      <c r="B52" s="47" t="s">
        <v>20</v>
      </c>
      <c r="C52" s="48" t="s">
        <v>30</v>
      </c>
      <c r="D52" s="48" t="s">
        <v>31</v>
      </c>
      <c r="E52" s="49" t="s">
        <v>32</v>
      </c>
      <c r="F52" s="29"/>
      <c r="G52" s="29"/>
      <c r="H52" s="61" t="s">
        <v>24</v>
      </c>
      <c r="I52" s="47" t="s">
        <v>20</v>
      </c>
      <c r="J52" s="48" t="s">
        <v>30</v>
      </c>
      <c r="K52" s="48" t="s">
        <v>31</v>
      </c>
      <c r="L52" s="49" t="s">
        <v>32</v>
      </c>
      <c r="M52" s="29"/>
      <c r="N52" s="68"/>
      <c r="V52" s="7"/>
    </row>
    <row r="53" spans="1:35" x14ac:dyDescent="0.25">
      <c r="A53" s="62" t="s">
        <v>34</v>
      </c>
      <c r="B53" s="50">
        <f t="shared" ref="B53:B60" si="85">+D3</f>
        <v>46.307111499999998</v>
      </c>
      <c r="C53" s="51">
        <f t="shared" ref="C53:C59" si="86">+D3+K3</f>
        <v>64.095649499999993</v>
      </c>
      <c r="D53" s="51">
        <f t="shared" ref="D53:D59" si="87">+D3+K3+R3</f>
        <v>77.953717499999996</v>
      </c>
      <c r="E53" s="52">
        <f t="shared" ref="E53:E59" si="88">+D3+K3+R3+Y3</f>
        <v>9.534498499999998</v>
      </c>
      <c r="H53" s="62" t="s">
        <v>34</v>
      </c>
      <c r="I53" s="50">
        <f t="shared" ref="I53:I59" si="89">+G3</f>
        <v>23.249787999999999</v>
      </c>
      <c r="J53" s="51">
        <f t="shared" ref="J53:J59" si="90">+G3+N3</f>
        <v>38.776303999999996</v>
      </c>
      <c r="K53" s="51">
        <f t="shared" ref="K53:K59" si="91">+G3+N3+U3</f>
        <v>54.383021999999997</v>
      </c>
      <c r="L53" s="52">
        <f t="shared" ref="L53:L59" si="92">+G3+N3+U3+AB3</f>
        <v>82.46127899999999</v>
      </c>
      <c r="N53" s="68"/>
    </row>
    <row r="54" spans="1:35" x14ac:dyDescent="0.25">
      <c r="A54" s="63" t="s">
        <v>42</v>
      </c>
      <c r="B54" s="53">
        <f t="shared" si="85"/>
        <v>5.9568273299999985</v>
      </c>
      <c r="C54" s="54">
        <f t="shared" si="86"/>
        <v>23.923684850000001</v>
      </c>
      <c r="D54" s="54">
        <f t="shared" si="87"/>
        <v>45.770662849999994</v>
      </c>
      <c r="E54" s="55">
        <f t="shared" si="88"/>
        <v>42.761536849999992</v>
      </c>
      <c r="H54" s="63" t="s">
        <v>42</v>
      </c>
      <c r="I54" s="53">
        <f t="shared" si="89"/>
        <v>9.2528780000000008</v>
      </c>
      <c r="J54" s="54">
        <f t="shared" si="90"/>
        <v>18.474862000000002</v>
      </c>
      <c r="K54" s="54">
        <f t="shared" si="91"/>
        <v>27.601321000000002</v>
      </c>
      <c r="L54" s="55">
        <f t="shared" si="92"/>
        <v>36.728560000000002</v>
      </c>
      <c r="N54" s="68"/>
    </row>
    <row r="55" spans="1:35" x14ac:dyDescent="0.25">
      <c r="A55" s="63" t="s">
        <v>0</v>
      </c>
      <c r="B55" s="53">
        <f t="shared" si="85"/>
        <v>5.8390690000000003</v>
      </c>
      <c r="C55" s="54">
        <f t="shared" si="86"/>
        <v>12.486000000000001</v>
      </c>
      <c r="D55" s="54">
        <f t="shared" si="87"/>
        <v>17.647736000000002</v>
      </c>
      <c r="E55" s="55">
        <f t="shared" si="88"/>
        <v>4.5409030000000019</v>
      </c>
      <c r="H55" s="63" t="s">
        <v>0</v>
      </c>
      <c r="I55" s="53">
        <f t="shared" si="89"/>
        <v>4.4609819999999996</v>
      </c>
      <c r="J55" s="54">
        <f t="shared" si="90"/>
        <v>8.2991689999999991</v>
      </c>
      <c r="K55" s="54">
        <f t="shared" si="91"/>
        <v>13.652066</v>
      </c>
      <c r="L55" s="55">
        <f t="shared" si="92"/>
        <v>19.067813000000001</v>
      </c>
      <c r="N55" s="68"/>
    </row>
    <row r="56" spans="1:35" x14ac:dyDescent="0.25">
      <c r="A56" s="63" t="s">
        <v>28</v>
      </c>
      <c r="B56" s="53">
        <f t="shared" si="85"/>
        <v>0.33799628000000009</v>
      </c>
      <c r="C56" s="54">
        <f t="shared" si="86"/>
        <v>0.94298728000000009</v>
      </c>
      <c r="D56" s="54">
        <f t="shared" si="87"/>
        <v>-0.74085672000000002</v>
      </c>
      <c r="E56" s="55">
        <f t="shared" si="88"/>
        <v>-3.3528377199999997</v>
      </c>
      <c r="H56" s="63" t="s">
        <v>28</v>
      </c>
      <c r="I56" s="53">
        <f t="shared" si="89"/>
        <v>2.2590210000000002</v>
      </c>
      <c r="J56" s="54">
        <f t="shared" si="90"/>
        <v>10.874207</v>
      </c>
      <c r="K56" s="54">
        <f t="shared" si="91"/>
        <v>19.275749000000001</v>
      </c>
      <c r="L56" s="55">
        <f t="shared" si="92"/>
        <v>24.680341000000002</v>
      </c>
      <c r="N56" s="68"/>
    </row>
    <row r="57" spans="1:35" x14ac:dyDescent="0.25">
      <c r="A57" s="63" t="s">
        <v>27</v>
      </c>
      <c r="B57" s="53">
        <f t="shared" si="85"/>
        <v>9.4641950000000001</v>
      </c>
      <c r="C57" s="54">
        <f t="shared" si="86"/>
        <v>22.637326999999999</v>
      </c>
      <c r="D57" s="54">
        <f t="shared" si="87"/>
        <v>24.066306999999998</v>
      </c>
      <c r="E57" s="55">
        <f t="shared" si="88"/>
        <v>24.251759999999997</v>
      </c>
      <c r="H57" s="63" t="s">
        <v>27</v>
      </c>
      <c r="I57" s="53">
        <f t="shared" si="89"/>
        <v>14.454606</v>
      </c>
      <c r="J57" s="54">
        <f t="shared" si="90"/>
        <v>35.941361000000001</v>
      </c>
      <c r="K57" s="54">
        <f t="shared" si="91"/>
        <v>57.778543999999997</v>
      </c>
      <c r="L57" s="55">
        <f t="shared" si="92"/>
        <v>84.192996999999991</v>
      </c>
      <c r="N57" s="68"/>
    </row>
    <row r="58" spans="1:35" x14ac:dyDescent="0.25">
      <c r="A58" s="63" t="s">
        <v>40</v>
      </c>
      <c r="B58" s="53">
        <f t="shared" si="85"/>
        <v>-1.8434739999999998</v>
      </c>
      <c r="C58" s="54">
        <f t="shared" si="86"/>
        <v>-5.6106749999999996</v>
      </c>
      <c r="D58" s="54">
        <f t="shared" si="87"/>
        <v>-9.7688050000000004</v>
      </c>
      <c r="E58" s="55">
        <f t="shared" si="88"/>
        <v>-18.684111000000001</v>
      </c>
      <c r="H58" s="63" t="s">
        <v>40</v>
      </c>
      <c r="I58" s="53">
        <f t="shared" si="89"/>
        <v>-1.2446959999999996</v>
      </c>
      <c r="J58" s="54">
        <f t="shared" si="90"/>
        <v>-4.8684069999999986</v>
      </c>
      <c r="K58" s="54">
        <f t="shared" si="91"/>
        <v>-4.6215669999999998</v>
      </c>
      <c r="L58" s="55">
        <f t="shared" si="92"/>
        <v>-7.9276999999998488E-2</v>
      </c>
      <c r="N58" s="68"/>
    </row>
    <row r="59" spans="1:35" x14ac:dyDescent="0.25">
      <c r="A59" s="63" t="s">
        <v>43</v>
      </c>
      <c r="B59" s="53">
        <f t="shared" si="85"/>
        <v>-4.0442699999999991</v>
      </c>
      <c r="C59" s="54">
        <f t="shared" si="86"/>
        <v>-8.5758130000000001</v>
      </c>
      <c r="D59" s="54">
        <f t="shared" si="87"/>
        <v>-14.332433</v>
      </c>
      <c r="E59" s="55">
        <f t="shared" si="88"/>
        <v>-19.470860999999999</v>
      </c>
      <c r="H59" s="63" t="s">
        <v>43</v>
      </c>
      <c r="I59" s="53">
        <f t="shared" si="89"/>
        <v>-1.3346310000000003</v>
      </c>
      <c r="J59" s="54">
        <f t="shared" si="90"/>
        <v>1.5404259999999996</v>
      </c>
      <c r="K59" s="54">
        <f t="shared" si="91"/>
        <v>6.9172130000000003</v>
      </c>
      <c r="L59" s="55">
        <f t="shared" si="92"/>
        <v>48.297785000000005</v>
      </c>
      <c r="N59" s="68"/>
    </row>
    <row r="60" spans="1:35" x14ac:dyDescent="0.25">
      <c r="A60" s="63" t="s">
        <v>98</v>
      </c>
      <c r="B60" s="53">
        <f t="shared" si="85"/>
        <v>0</v>
      </c>
      <c r="C60" s="54">
        <f>+D10+K10</f>
        <v>0</v>
      </c>
      <c r="D60" s="54">
        <f>+D10+K10+R10</f>
        <v>-2.53091</v>
      </c>
      <c r="E60" s="55">
        <f>+D10+K10+R10+Y10</f>
        <v>-5.8958119999999994</v>
      </c>
      <c r="H60" s="63" t="s">
        <v>98</v>
      </c>
      <c r="I60" s="53">
        <f>+G10</f>
        <v>0</v>
      </c>
      <c r="J60" s="54">
        <f>+G10+N10</f>
        <v>0</v>
      </c>
      <c r="K60" s="54">
        <f>+G10+N10+U10</f>
        <v>0.38362199999999985</v>
      </c>
      <c r="L60" s="55">
        <f>+G10+N10+U10+AB10</f>
        <v>0.7672439999999997</v>
      </c>
      <c r="N60" s="68"/>
    </row>
    <row r="61" spans="1:35" ht="13.8" thickBot="1" x14ac:dyDescent="0.3">
      <c r="A61" s="64" t="s">
        <v>35</v>
      </c>
      <c r="B61" s="56">
        <f>+D11</f>
        <v>-15.7017925</v>
      </c>
      <c r="C61" s="57">
        <f>+D11+K11</f>
        <v>-29.453533500000002</v>
      </c>
      <c r="D61" s="57">
        <f>+D11+K11+R11</f>
        <v>-88.725745499999988</v>
      </c>
      <c r="E61" s="58">
        <f>+D11+K11+R11+Y11</f>
        <v>-138.94399949999996</v>
      </c>
      <c r="F61" s="35"/>
      <c r="H61" s="64" t="s">
        <v>35</v>
      </c>
      <c r="I61" s="56">
        <f>+G11</f>
        <v>-6.1094079999999993</v>
      </c>
      <c r="J61" s="57">
        <f>+G11+N11</f>
        <v>-8.0253909999999884</v>
      </c>
      <c r="K61" s="57">
        <f>+G11+N11+U11</f>
        <v>-9.1463079999999906</v>
      </c>
      <c r="L61" s="58">
        <f>+G11+N11+U11+AB11</f>
        <v>-27.178169999999987</v>
      </c>
      <c r="N61" s="68"/>
    </row>
    <row r="62" spans="1:35" ht="13.8" thickBot="1" x14ac:dyDescent="0.3">
      <c r="A62" s="59" t="s">
        <v>17</v>
      </c>
      <c r="B62" s="41">
        <f>SUM(B53:B61)</f>
        <v>46.315662610000004</v>
      </c>
      <c r="C62" s="42">
        <f>SUM(C53:C61)</f>
        <v>80.445627129999991</v>
      </c>
      <c r="D62" s="42">
        <f>SUM(D53:D61)</f>
        <v>49.339673129999994</v>
      </c>
      <c r="E62" s="43">
        <f>SUM(E53:E61)</f>
        <v>-105.25892286999996</v>
      </c>
      <c r="F62" s="35"/>
      <c r="H62" s="59" t="s">
        <v>17</v>
      </c>
      <c r="I62" s="41">
        <f>SUM(I53:I61)</f>
        <v>44.988539999999993</v>
      </c>
      <c r="J62" s="42">
        <f>SUM(J53:J61)</f>
        <v>101.012531</v>
      </c>
      <c r="K62" s="42">
        <f>SUM(K53:K61)</f>
        <v>166.22366199999999</v>
      </c>
      <c r="L62" s="43">
        <f>SUM(L53:L61)</f>
        <v>268.93857200000008</v>
      </c>
      <c r="N62" s="68"/>
    </row>
    <row r="63" spans="1:35" x14ac:dyDescent="0.25">
      <c r="A63" s="8"/>
      <c r="B63" s="28"/>
      <c r="C63" s="28"/>
      <c r="D63" s="28"/>
      <c r="F63" s="35"/>
      <c r="I63" s="28"/>
      <c r="J63" s="28"/>
      <c r="K63" s="28"/>
      <c r="N63" s="68"/>
    </row>
    <row r="64" spans="1:35" x14ac:dyDescent="0.25">
      <c r="A64" s="8"/>
      <c r="B64" s="28"/>
      <c r="C64" s="28"/>
      <c r="D64" s="28"/>
      <c r="F64" s="35"/>
      <c r="I64" s="28"/>
      <c r="J64" s="28"/>
      <c r="K64" s="28"/>
      <c r="N64" s="68"/>
    </row>
    <row r="65" spans="1:14" x14ac:dyDescent="0.25">
      <c r="A65" s="8"/>
      <c r="B65" s="29" t="s">
        <v>20</v>
      </c>
      <c r="C65" s="29" t="s">
        <v>21</v>
      </c>
      <c r="D65" s="29" t="s">
        <v>22</v>
      </c>
      <c r="E65" s="29" t="s">
        <v>23</v>
      </c>
      <c r="F65" s="29" t="s">
        <v>4</v>
      </c>
      <c r="I65" s="29" t="s">
        <v>20</v>
      </c>
      <c r="J65" s="29" t="s">
        <v>21</v>
      </c>
      <c r="K65" s="29" t="s">
        <v>22</v>
      </c>
      <c r="L65" s="29" t="s">
        <v>23</v>
      </c>
      <c r="M65" s="29" t="s">
        <v>4</v>
      </c>
      <c r="N65" s="68"/>
    </row>
    <row r="66" spans="1:14" x14ac:dyDescent="0.25">
      <c r="A66" s="67" t="s">
        <v>39</v>
      </c>
      <c r="B66" s="28">
        <f>+D12</f>
        <v>46.315662610000004</v>
      </c>
      <c r="C66" s="28">
        <f>+K12</f>
        <v>34.129964519999994</v>
      </c>
      <c r="D66" s="28">
        <f>+R12</f>
        <v>-31.105953999999983</v>
      </c>
      <c r="E66" s="28">
        <f>+Y12</f>
        <v>-154.59859599999999</v>
      </c>
      <c r="F66" s="34">
        <f>SUM(B66:E66)</f>
        <v>-105.25892286999998</v>
      </c>
      <c r="I66" s="28">
        <f>+G12</f>
        <v>44.988539999999993</v>
      </c>
      <c r="J66" s="28">
        <f>+N12</f>
        <v>56.023991000000009</v>
      </c>
      <c r="K66" s="28">
        <f>+U12</f>
        <v>65.211130999999995</v>
      </c>
      <c r="L66" s="28">
        <f>+AB12</f>
        <v>102.71491</v>
      </c>
      <c r="M66" s="66">
        <f>SUM(I66:L66)</f>
        <v>268.93857200000002</v>
      </c>
      <c r="N66" s="68"/>
    </row>
    <row r="67" spans="1:14" x14ac:dyDescent="0.25">
      <c r="A67" s="68"/>
      <c r="B67" s="68"/>
      <c r="C67" s="70"/>
      <c r="D67" s="70"/>
      <c r="E67" s="68"/>
      <c r="F67" s="68"/>
      <c r="G67" s="68"/>
      <c r="H67" s="69"/>
      <c r="I67" s="68"/>
      <c r="J67" s="70"/>
      <c r="K67" s="70"/>
      <c r="L67" s="68"/>
      <c r="M67" s="68"/>
      <c r="N67" s="68"/>
    </row>
    <row r="68" spans="1:14" ht="13.8" thickBot="1" x14ac:dyDescent="0.3">
      <c r="G68" s="73"/>
    </row>
    <row r="69" spans="1:14" x14ac:dyDescent="0.25">
      <c r="A69" s="60"/>
      <c r="B69" s="44" t="s">
        <v>52</v>
      </c>
      <c r="C69" s="45" t="s">
        <v>52</v>
      </c>
      <c r="D69" s="45" t="s">
        <v>52</v>
      </c>
      <c r="E69" s="46" t="s">
        <v>52</v>
      </c>
      <c r="F69" s="29"/>
      <c r="G69" s="73"/>
    </row>
    <row r="70" spans="1:14" ht="13.8" thickBot="1" x14ac:dyDescent="0.3">
      <c r="A70" s="61" t="s">
        <v>50</v>
      </c>
      <c r="B70" s="47" t="s">
        <v>20</v>
      </c>
      <c r="C70" s="48" t="s">
        <v>21</v>
      </c>
      <c r="D70" s="48" t="s">
        <v>22</v>
      </c>
      <c r="E70" s="49" t="s">
        <v>23</v>
      </c>
      <c r="F70" s="29"/>
      <c r="G70" s="73"/>
    </row>
    <row r="71" spans="1:14" x14ac:dyDescent="0.25">
      <c r="A71" s="62" t="s">
        <v>34</v>
      </c>
      <c r="B71" s="51">
        <v>27.4</v>
      </c>
      <c r="C71" s="51">
        <v>14.5</v>
      </c>
      <c r="D71" s="51">
        <v>-2.9089999999999998</v>
      </c>
      <c r="E71" s="52">
        <v>16.411999999999999</v>
      </c>
      <c r="F71" s="28">
        <f>SUM(B71:E71)</f>
        <v>55.402999999999999</v>
      </c>
      <c r="G71" s="73"/>
    </row>
    <row r="72" spans="1:14" x14ac:dyDescent="0.25">
      <c r="A72" s="63" t="s">
        <v>42</v>
      </c>
      <c r="B72" s="54">
        <f>2.359+3.674</f>
        <v>6.0329999999999995</v>
      </c>
      <c r="C72" s="54">
        <f>4.009+-6.918</f>
        <v>-2.9089999999999998</v>
      </c>
      <c r="D72" s="54">
        <f>-1.548+2.948</f>
        <v>1.4</v>
      </c>
      <c r="E72" s="55">
        <f>46.518+6.453</f>
        <v>52.971000000000004</v>
      </c>
      <c r="F72" s="28">
        <f>SUM(B72:E72)</f>
        <v>57.495000000000005</v>
      </c>
      <c r="G72" s="73"/>
    </row>
    <row r="73" spans="1:14" x14ac:dyDescent="0.25">
      <c r="A73" s="63" t="s">
        <v>44</v>
      </c>
      <c r="B73" s="54">
        <v>0</v>
      </c>
      <c r="C73" s="54">
        <v>0</v>
      </c>
      <c r="D73" s="54">
        <v>0</v>
      </c>
      <c r="E73" s="55">
        <v>0</v>
      </c>
      <c r="F73" s="28">
        <f t="shared" ref="F73:F81" si="93">SUM(B73:E73)</f>
        <v>0</v>
      </c>
      <c r="G73" s="73"/>
    </row>
    <row r="74" spans="1:14" x14ac:dyDescent="0.25">
      <c r="A74" s="63" t="s">
        <v>0</v>
      </c>
      <c r="B74" s="54">
        <v>5.6660000000000004</v>
      </c>
      <c r="C74" s="54">
        <v>3.794</v>
      </c>
      <c r="D74" s="54">
        <v>3.4359999999999999</v>
      </c>
      <c r="E74" s="55">
        <v>6.2149999999999999</v>
      </c>
      <c r="F74" s="28">
        <f t="shared" si="93"/>
        <v>19.111000000000001</v>
      </c>
      <c r="G74" s="73"/>
    </row>
    <row r="75" spans="1:14" x14ac:dyDescent="0.25">
      <c r="A75" s="63" t="s">
        <v>28</v>
      </c>
      <c r="B75" s="54">
        <v>0</v>
      </c>
      <c r="C75" s="54">
        <v>1.22</v>
      </c>
      <c r="D75" s="54">
        <v>0</v>
      </c>
      <c r="E75" s="55">
        <v>0</v>
      </c>
      <c r="F75" s="28">
        <f t="shared" si="93"/>
        <v>1.22</v>
      </c>
      <c r="G75" s="73"/>
    </row>
    <row r="76" spans="1:14" x14ac:dyDescent="0.25">
      <c r="A76" s="63" t="s">
        <v>27</v>
      </c>
      <c r="B76" s="54">
        <v>32.515000000000001</v>
      </c>
      <c r="C76" s="54">
        <v>13.6</v>
      </c>
      <c r="D76" s="54">
        <v>18.670000000000002</v>
      </c>
      <c r="E76" s="55">
        <v>4.0830000000000002</v>
      </c>
      <c r="F76" s="28">
        <f t="shared" si="93"/>
        <v>68.867999999999995</v>
      </c>
      <c r="G76" s="73"/>
    </row>
    <row r="77" spans="1:14" x14ac:dyDescent="0.25">
      <c r="A77" s="63" t="s">
        <v>40</v>
      </c>
      <c r="B77" s="54"/>
      <c r="C77" s="54"/>
      <c r="D77" s="54">
        <v>0</v>
      </c>
      <c r="E77" s="55">
        <v>0</v>
      </c>
      <c r="F77" s="28">
        <f t="shared" si="93"/>
        <v>0</v>
      </c>
      <c r="G77" s="73"/>
    </row>
    <row r="78" spans="1:14" x14ac:dyDescent="0.25">
      <c r="A78" s="63" t="s">
        <v>46</v>
      </c>
      <c r="B78" s="54">
        <v>0</v>
      </c>
      <c r="C78" s="54">
        <v>0</v>
      </c>
      <c r="D78" s="54">
        <v>0</v>
      </c>
      <c r="E78" s="55">
        <f>5.489</f>
        <v>5.4889999999999999</v>
      </c>
      <c r="F78" s="28">
        <f t="shared" si="93"/>
        <v>5.4889999999999999</v>
      </c>
      <c r="G78" s="73"/>
    </row>
    <row r="79" spans="1:14" x14ac:dyDescent="0.25">
      <c r="A79" s="63" t="s">
        <v>45</v>
      </c>
      <c r="B79" s="54">
        <v>0</v>
      </c>
      <c r="C79" s="54">
        <v>0</v>
      </c>
      <c r="D79" s="54">
        <v>0</v>
      </c>
      <c r="E79" s="55">
        <v>-1.304</v>
      </c>
      <c r="F79" s="28">
        <f>SUM(B79:E79)</f>
        <v>-1.304</v>
      </c>
      <c r="G79" s="73"/>
    </row>
    <row r="80" spans="1:14" x14ac:dyDescent="0.25">
      <c r="A80" s="63" t="s">
        <v>41</v>
      </c>
      <c r="B80" s="54">
        <v>0</v>
      </c>
      <c r="C80" s="54">
        <v>0</v>
      </c>
      <c r="D80" s="54">
        <v>0</v>
      </c>
      <c r="E80" s="55">
        <v>0.13200000000000001</v>
      </c>
      <c r="F80" s="28">
        <f t="shared" si="93"/>
        <v>0.13200000000000001</v>
      </c>
      <c r="G80" s="73"/>
    </row>
    <row r="81" spans="1:7" ht="13.8" thickBot="1" x14ac:dyDescent="0.3">
      <c r="A81" s="64" t="s">
        <v>35</v>
      </c>
      <c r="B81" s="54">
        <v>-0.6</v>
      </c>
      <c r="C81" s="54">
        <v>-0.6</v>
      </c>
      <c r="D81" s="54">
        <v>-0.5</v>
      </c>
      <c r="E81" s="55">
        <v>-0.5</v>
      </c>
      <c r="F81" s="28">
        <f t="shared" si="93"/>
        <v>-2.2000000000000002</v>
      </c>
      <c r="G81" s="73"/>
    </row>
    <row r="82" spans="1:7" ht="13.8" thickBot="1" x14ac:dyDescent="0.3">
      <c r="A82" s="59" t="s">
        <v>17</v>
      </c>
      <c r="B82" s="42">
        <f>SUM(B71:B81)</f>
        <v>71.01400000000001</v>
      </c>
      <c r="C82" s="42">
        <f>SUM(C71:C81)</f>
        <v>29.604999999999997</v>
      </c>
      <c r="D82" s="42">
        <f>SUM(D71:D81)</f>
        <v>20.097000000000001</v>
      </c>
      <c r="E82" s="43">
        <f>SUM(E71:E81)</f>
        <v>83.498000000000019</v>
      </c>
      <c r="F82" s="35">
        <f>SUM(B82:E82)</f>
        <v>204.21400000000003</v>
      </c>
      <c r="G82" s="73"/>
    </row>
    <row r="83" spans="1:7" x14ac:dyDescent="0.25">
      <c r="B83" s="27"/>
      <c r="C83" s="27"/>
      <c r="D83" s="27"/>
      <c r="E83" s="27"/>
      <c r="F83" s="27"/>
      <c r="G83" s="73"/>
    </row>
    <row r="84" spans="1:7" x14ac:dyDescent="0.25">
      <c r="A84" s="30"/>
      <c r="B84" s="28"/>
      <c r="C84" s="28"/>
      <c r="D84" s="28"/>
      <c r="E84" s="28"/>
      <c r="F84" s="34"/>
      <c r="G84" s="73"/>
    </row>
    <row r="85" spans="1:7" x14ac:dyDescent="0.25">
      <c r="A85" s="73"/>
      <c r="B85" s="73"/>
      <c r="C85" s="73"/>
      <c r="D85" s="73"/>
      <c r="E85" s="73"/>
      <c r="F85" s="73"/>
      <c r="G85" s="73"/>
    </row>
    <row r="86" spans="1:7" ht="13.8" thickBot="1" x14ac:dyDescent="0.3">
      <c r="G86" s="73"/>
    </row>
    <row r="87" spans="1:7" x14ac:dyDescent="0.25">
      <c r="A87" s="74">
        <v>2000</v>
      </c>
      <c r="B87" s="44" t="s">
        <v>52</v>
      </c>
      <c r="C87" s="45" t="s">
        <v>52</v>
      </c>
      <c r="D87" s="45" t="s">
        <v>52</v>
      </c>
      <c r="E87" s="46" t="s">
        <v>52</v>
      </c>
      <c r="F87" s="29"/>
      <c r="G87" s="73"/>
    </row>
    <row r="88" spans="1:7" ht="13.8" thickBot="1" x14ac:dyDescent="0.3">
      <c r="A88" s="61" t="s">
        <v>51</v>
      </c>
      <c r="B88" s="47" t="s">
        <v>20</v>
      </c>
      <c r="C88" s="48" t="s">
        <v>21</v>
      </c>
      <c r="D88" s="48" t="s">
        <v>22</v>
      </c>
      <c r="E88" s="49" t="s">
        <v>23</v>
      </c>
      <c r="F88" s="29"/>
      <c r="G88" s="73"/>
    </row>
    <row r="89" spans="1:7" x14ac:dyDescent="0.25">
      <c r="A89" s="62" t="s">
        <v>34</v>
      </c>
      <c r="B89" s="50">
        <v>5.4690000000000003</v>
      </c>
      <c r="C89" s="51">
        <v>11.058</v>
      </c>
      <c r="D89" s="51">
        <v>13.843999999999999</v>
      </c>
      <c r="E89" s="52">
        <v>6.4829999999999997</v>
      </c>
      <c r="F89" s="28">
        <f>SUM(B89:E89)</f>
        <v>36.853999999999999</v>
      </c>
      <c r="G89" s="73"/>
    </row>
    <row r="90" spans="1:7" x14ac:dyDescent="0.25">
      <c r="A90" s="63" t="s">
        <v>42</v>
      </c>
      <c r="B90" s="53">
        <f>4.496+0.077</f>
        <v>4.5730000000000004</v>
      </c>
      <c r="C90" s="54">
        <f>2.726+0.085</f>
        <v>2.8109999999999999</v>
      </c>
      <c r="D90" s="54">
        <f>3.84+0.143</f>
        <v>3.9829999999999997</v>
      </c>
      <c r="E90" s="55">
        <f>3.03+1.443</f>
        <v>4.4729999999999999</v>
      </c>
      <c r="F90" s="28">
        <f>SUM(B90:E90)</f>
        <v>15.84</v>
      </c>
      <c r="G90" s="73"/>
    </row>
    <row r="91" spans="1:7" x14ac:dyDescent="0.25">
      <c r="A91" s="63" t="s">
        <v>44</v>
      </c>
      <c r="B91" s="53">
        <v>0</v>
      </c>
      <c r="C91" s="54">
        <v>0</v>
      </c>
      <c r="D91" s="54">
        <v>0</v>
      </c>
      <c r="E91" s="55">
        <v>0</v>
      </c>
      <c r="F91" s="28">
        <f t="shared" ref="F91:F99" si="94">SUM(B91:E91)</f>
        <v>0</v>
      </c>
      <c r="G91" s="73"/>
    </row>
    <row r="92" spans="1:7" x14ac:dyDescent="0.25">
      <c r="A92" s="63" t="s">
        <v>0</v>
      </c>
      <c r="B92" s="53">
        <v>1.927</v>
      </c>
      <c r="C92" s="54">
        <v>0.68799999999999994</v>
      </c>
      <c r="D92" s="54">
        <v>0.64200000000000002</v>
      </c>
      <c r="E92" s="55">
        <v>1.131</v>
      </c>
      <c r="F92" s="28">
        <f t="shared" si="94"/>
        <v>4.3879999999999999</v>
      </c>
      <c r="G92" s="73"/>
    </row>
    <row r="93" spans="1:7" x14ac:dyDescent="0.25">
      <c r="A93" s="63" t="s">
        <v>28</v>
      </c>
      <c r="B93" s="53">
        <v>1.101</v>
      </c>
      <c r="C93" s="54">
        <v>1.2949999999999999</v>
      </c>
      <c r="D93" s="54">
        <v>0.73699999999999999</v>
      </c>
      <c r="E93" s="55">
        <v>1.8160000000000001</v>
      </c>
      <c r="F93" s="28">
        <f t="shared" si="94"/>
        <v>4.9489999999999998</v>
      </c>
      <c r="G93" s="73"/>
    </row>
    <row r="94" spans="1:7" x14ac:dyDescent="0.25">
      <c r="A94" s="63" t="s">
        <v>27</v>
      </c>
      <c r="B94" s="53">
        <v>0.64300000000000002</v>
      </c>
      <c r="C94" s="54">
        <v>0.93799999999999994</v>
      </c>
      <c r="D94" s="54">
        <v>1.0249999999999999</v>
      </c>
      <c r="E94" s="55">
        <v>1.46</v>
      </c>
      <c r="F94" s="28">
        <f t="shared" si="94"/>
        <v>4.0659999999999998</v>
      </c>
      <c r="G94" s="73"/>
    </row>
    <row r="95" spans="1:7" x14ac:dyDescent="0.25">
      <c r="A95" s="63" t="s">
        <v>40</v>
      </c>
      <c r="B95" s="53"/>
      <c r="C95" s="54"/>
      <c r="D95" s="54"/>
      <c r="E95" s="55">
        <v>1.6020000000000001</v>
      </c>
      <c r="F95" s="28">
        <f t="shared" si="94"/>
        <v>1.6020000000000001</v>
      </c>
      <c r="G95" s="73"/>
    </row>
    <row r="96" spans="1:7" x14ac:dyDescent="0.25">
      <c r="A96" s="63" t="s">
        <v>46</v>
      </c>
      <c r="B96" s="53">
        <v>0</v>
      </c>
      <c r="C96" s="54">
        <v>0</v>
      </c>
      <c r="D96" s="54">
        <v>0</v>
      </c>
      <c r="E96" s="55">
        <f>2.625</f>
        <v>2.625</v>
      </c>
      <c r="F96" s="28">
        <f t="shared" si="94"/>
        <v>2.625</v>
      </c>
      <c r="G96" s="73"/>
    </row>
    <row r="97" spans="1:7" x14ac:dyDescent="0.25">
      <c r="A97" s="63" t="s">
        <v>45</v>
      </c>
      <c r="B97" s="53">
        <v>0</v>
      </c>
      <c r="C97" s="54">
        <v>0</v>
      </c>
      <c r="D97" s="54">
        <v>0</v>
      </c>
      <c r="E97" s="55">
        <v>0.30099999999999999</v>
      </c>
      <c r="F97" s="28">
        <f>SUM(B97:E97)</f>
        <v>0.30099999999999999</v>
      </c>
      <c r="G97" s="73"/>
    </row>
    <row r="98" spans="1:7" x14ac:dyDescent="0.25">
      <c r="A98" s="63" t="s">
        <v>41</v>
      </c>
      <c r="B98" s="53">
        <v>0</v>
      </c>
      <c r="C98" s="54">
        <v>0</v>
      </c>
      <c r="D98" s="54">
        <v>0</v>
      </c>
      <c r="E98" s="55">
        <v>1.3440000000000001</v>
      </c>
      <c r="F98" s="28">
        <f t="shared" si="94"/>
        <v>1.3440000000000001</v>
      </c>
      <c r="G98" s="73"/>
    </row>
    <row r="99" spans="1:7" ht="13.8" thickBot="1" x14ac:dyDescent="0.3">
      <c r="A99" s="64" t="s">
        <v>35</v>
      </c>
      <c r="B99" s="56">
        <v>0</v>
      </c>
      <c r="C99" s="57">
        <v>0</v>
      </c>
      <c r="D99" s="57">
        <v>0.06</v>
      </c>
      <c r="E99" s="58">
        <v>1.3720000000000001</v>
      </c>
      <c r="F99" s="28">
        <f t="shared" si="94"/>
        <v>1.4320000000000002</v>
      </c>
      <c r="G99" s="73"/>
    </row>
    <row r="100" spans="1:7" ht="13.8" thickBot="1" x14ac:dyDescent="0.3">
      <c r="A100" s="59" t="s">
        <v>17</v>
      </c>
      <c r="B100" s="41">
        <f>SUM(B89:B99)</f>
        <v>13.713000000000001</v>
      </c>
      <c r="C100" s="42">
        <f>SUM(C89:C99)</f>
        <v>16.79</v>
      </c>
      <c r="D100" s="42">
        <f>SUM(D89:D99)</f>
        <v>20.290999999999993</v>
      </c>
      <c r="E100" s="43">
        <f>SUM(E89:E99)</f>
        <v>22.606999999999999</v>
      </c>
      <c r="F100" s="35">
        <f>SUM(B100:E100)</f>
        <v>73.400999999999996</v>
      </c>
      <c r="G100" s="73"/>
    </row>
    <row r="101" spans="1:7" x14ac:dyDescent="0.25">
      <c r="A101" s="8"/>
      <c r="B101" s="28"/>
      <c r="C101" s="28"/>
      <c r="D101" s="28"/>
      <c r="F101" s="35"/>
      <c r="G101" s="73"/>
    </row>
    <row r="102" spans="1:7" x14ac:dyDescent="0.25">
      <c r="G102" s="73"/>
    </row>
    <row r="103" spans="1:7" x14ac:dyDescent="0.25">
      <c r="A103" s="73"/>
      <c r="B103" s="73"/>
      <c r="C103" s="73"/>
      <c r="D103" s="73"/>
      <c r="E103" s="73"/>
      <c r="F103" s="73"/>
      <c r="G103" s="73"/>
    </row>
    <row r="104" spans="1:7" ht="13.8" thickBot="1" x14ac:dyDescent="0.3">
      <c r="G104" s="73"/>
    </row>
    <row r="105" spans="1:7" x14ac:dyDescent="0.25">
      <c r="A105" s="74">
        <v>2000</v>
      </c>
      <c r="B105" s="44" t="s">
        <v>52</v>
      </c>
      <c r="C105" s="45" t="s">
        <v>52</v>
      </c>
      <c r="D105" s="45" t="s">
        <v>52</v>
      </c>
      <c r="E105" s="46" t="s">
        <v>52</v>
      </c>
      <c r="F105" s="29"/>
      <c r="G105" s="73"/>
    </row>
    <row r="106" spans="1:7" ht="13.8" thickBot="1" x14ac:dyDescent="0.3">
      <c r="A106" s="61" t="s">
        <v>53</v>
      </c>
      <c r="B106" s="47" t="s">
        <v>20</v>
      </c>
      <c r="C106" s="48" t="s">
        <v>21</v>
      </c>
      <c r="D106" s="48" t="s">
        <v>22</v>
      </c>
      <c r="E106" s="49" t="s">
        <v>23</v>
      </c>
      <c r="F106" s="29"/>
      <c r="G106" s="73"/>
    </row>
    <row r="107" spans="1:7" x14ac:dyDescent="0.25">
      <c r="A107" s="62" t="s">
        <v>34</v>
      </c>
      <c r="B107" s="50">
        <v>19.7</v>
      </c>
      <c r="C107" s="51">
        <v>-7.2009999999999996</v>
      </c>
      <c r="D107" s="51">
        <v>-22.509</v>
      </c>
      <c r="E107" s="52">
        <v>-1.51</v>
      </c>
      <c r="F107" s="28">
        <f>SUM(B107:E107)</f>
        <v>-11.520000000000001</v>
      </c>
      <c r="G107" s="73"/>
    </row>
    <row r="108" spans="1:7" x14ac:dyDescent="0.25">
      <c r="A108" s="63" t="s">
        <v>42</v>
      </c>
      <c r="B108" s="53">
        <v>0</v>
      </c>
      <c r="C108" s="54">
        <v>-7.9</v>
      </c>
      <c r="D108" s="54">
        <v>-4.7</v>
      </c>
      <c r="E108" s="55">
        <v>42.9</v>
      </c>
      <c r="F108" s="28">
        <f>SUM(B108:E108)</f>
        <v>30.299999999999997</v>
      </c>
      <c r="G108" s="73"/>
    </row>
    <row r="109" spans="1:7" x14ac:dyDescent="0.25">
      <c r="A109" s="63" t="s">
        <v>44</v>
      </c>
      <c r="B109" s="53">
        <v>0</v>
      </c>
      <c r="C109" s="54">
        <v>0</v>
      </c>
      <c r="D109" s="54">
        <v>0</v>
      </c>
      <c r="E109" s="55">
        <v>0</v>
      </c>
      <c r="F109" s="28">
        <f t="shared" ref="F109:F117" si="95">SUM(B109:E109)</f>
        <v>0</v>
      </c>
      <c r="G109" s="73"/>
    </row>
    <row r="110" spans="1:7" x14ac:dyDescent="0.25">
      <c r="A110" s="63" t="s">
        <v>0</v>
      </c>
      <c r="B110" s="53">
        <v>3.0569999999999999</v>
      </c>
      <c r="C110" s="54">
        <v>2.3969999999999998</v>
      </c>
      <c r="D110" s="54">
        <v>2.2349999999999999</v>
      </c>
      <c r="E110" s="55">
        <v>3.6760000000000002</v>
      </c>
      <c r="F110" s="28">
        <f t="shared" si="95"/>
        <v>11.365</v>
      </c>
      <c r="G110" s="73"/>
    </row>
    <row r="111" spans="1:7" x14ac:dyDescent="0.25">
      <c r="A111" s="63" t="s">
        <v>28</v>
      </c>
      <c r="B111" s="53">
        <v>-1.5489999999999999</v>
      </c>
      <c r="C111" s="54">
        <v>-0.52800000000000002</v>
      </c>
      <c r="D111" s="54">
        <v>-1.4179999999999999</v>
      </c>
      <c r="E111" s="55">
        <v>-3.0990000000000002</v>
      </c>
      <c r="F111" s="28">
        <f t="shared" si="95"/>
        <v>-6.5940000000000003</v>
      </c>
      <c r="G111" s="73"/>
    </row>
    <row r="112" spans="1:7" x14ac:dyDescent="0.25">
      <c r="A112" s="63" t="s">
        <v>27</v>
      </c>
      <c r="B112" s="53">
        <v>31.094999999999999</v>
      </c>
      <c r="C112" s="54">
        <v>11.920999999999999</v>
      </c>
      <c r="D112" s="54">
        <v>16.914999999999999</v>
      </c>
      <c r="E112" s="55">
        <v>-1.6459999999999999</v>
      </c>
      <c r="F112" s="28">
        <f t="shared" si="95"/>
        <v>58.284999999999997</v>
      </c>
      <c r="G112" s="73"/>
    </row>
    <row r="113" spans="1:7" x14ac:dyDescent="0.25">
      <c r="A113" s="63" t="s">
        <v>40</v>
      </c>
      <c r="B113" s="53"/>
      <c r="C113" s="54"/>
      <c r="D113" s="54"/>
      <c r="E113" s="55">
        <v>-1.6020000000000001</v>
      </c>
      <c r="F113" s="28">
        <f t="shared" si="95"/>
        <v>-1.6020000000000001</v>
      </c>
      <c r="G113" s="73"/>
    </row>
    <row r="114" spans="1:7" x14ac:dyDescent="0.25">
      <c r="A114" s="63" t="s">
        <v>46</v>
      </c>
      <c r="B114" s="53">
        <v>0</v>
      </c>
      <c r="C114" s="54">
        <v>0</v>
      </c>
      <c r="D114" s="54">
        <v>0</v>
      </c>
      <c r="E114" s="55">
        <v>2.8639999999999999</v>
      </c>
      <c r="F114" s="28">
        <f t="shared" si="95"/>
        <v>2.8639999999999999</v>
      </c>
      <c r="G114" s="73"/>
    </row>
    <row r="115" spans="1:7" x14ac:dyDescent="0.25">
      <c r="A115" s="63" t="s">
        <v>45</v>
      </c>
      <c r="B115" s="53">
        <v>0</v>
      </c>
      <c r="C115" s="54">
        <v>0</v>
      </c>
      <c r="D115" s="54">
        <v>0</v>
      </c>
      <c r="E115" s="55">
        <v>-1.605</v>
      </c>
      <c r="F115" s="28">
        <f>SUM(B115:E115)</f>
        <v>-1.605</v>
      </c>
      <c r="G115" s="73"/>
    </row>
    <row r="116" spans="1:7" x14ac:dyDescent="0.25">
      <c r="A116" s="63" t="s">
        <v>41</v>
      </c>
      <c r="B116" s="53">
        <v>0</v>
      </c>
      <c r="C116" s="54">
        <v>0</v>
      </c>
      <c r="D116" s="54">
        <v>0</v>
      </c>
      <c r="E116" s="55">
        <v>-1.871</v>
      </c>
      <c r="F116" s="28">
        <f t="shared" si="95"/>
        <v>-1.871</v>
      </c>
      <c r="G116" s="73"/>
    </row>
    <row r="117" spans="1:7" ht="13.8" thickBot="1" x14ac:dyDescent="0.3">
      <c r="A117" s="64" t="s">
        <v>35</v>
      </c>
      <c r="B117" s="56">
        <v>-2.2000000000000002</v>
      </c>
      <c r="C117" s="57">
        <v>-2.2000000000000002</v>
      </c>
      <c r="D117" s="57">
        <v>-2.2999999999999998</v>
      </c>
      <c r="E117" s="58">
        <f>-3.929-1.8</f>
        <v>-5.7290000000000001</v>
      </c>
      <c r="F117" s="28">
        <f t="shared" si="95"/>
        <v>-12.429</v>
      </c>
      <c r="G117" s="73"/>
    </row>
    <row r="118" spans="1:7" ht="13.8" thickBot="1" x14ac:dyDescent="0.3">
      <c r="A118" s="59" t="s">
        <v>17</v>
      </c>
      <c r="B118" s="41">
        <f>SUM(B107:B117)</f>
        <v>50.102999999999994</v>
      </c>
      <c r="C118" s="42">
        <f>SUM(C107:C117)</f>
        <v>-3.5110000000000001</v>
      </c>
      <c r="D118" s="42">
        <f>SUM(D107:D117)</f>
        <v>-11.777000000000001</v>
      </c>
      <c r="E118" s="43">
        <f>SUM(E107:E117)</f>
        <v>32.378</v>
      </c>
      <c r="F118" s="35">
        <f>SUM(B118:E118)</f>
        <v>67.192999999999984</v>
      </c>
      <c r="G118" s="73"/>
    </row>
    <row r="119" spans="1:7" x14ac:dyDescent="0.25">
      <c r="A119" s="8"/>
      <c r="B119" s="28"/>
      <c r="C119" s="28"/>
      <c r="D119" s="28"/>
      <c r="F119" s="35"/>
      <c r="G119" s="73"/>
    </row>
    <row r="120" spans="1:7" x14ac:dyDescent="0.25">
      <c r="G120" s="73"/>
    </row>
    <row r="121" spans="1:7" x14ac:dyDescent="0.25">
      <c r="A121" s="73"/>
      <c r="B121" s="73"/>
      <c r="C121" s="73"/>
      <c r="D121" s="73"/>
      <c r="E121" s="73"/>
      <c r="F121" s="73"/>
      <c r="G121" s="73"/>
    </row>
  </sheetData>
  <phoneticPr fontId="0" type="noConversion"/>
  <pageMargins left="0.25" right="0.25" top="1" bottom="1" header="0.5" footer="0.5"/>
  <pageSetup scale="73" orientation="portrait" blackAndWhite="1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8" workbookViewId="0">
      <selection activeCell="H24" sqref="H2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 t="s">
        <v>44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87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3" workbookViewId="0">
      <selection activeCell="D24" sqref="D2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56" t="s">
        <v>97</v>
      </c>
      <c r="B2" s="19"/>
      <c r="C2" s="19"/>
      <c r="D2" s="19"/>
      <c r="E2" s="19"/>
      <c r="F2" s="19"/>
      <c r="G2" s="19"/>
      <c r="H2" s="154" t="s">
        <v>47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3"/>
  <sheetViews>
    <sheetView topLeftCell="A2" workbookViewId="0">
      <selection activeCell="L23" sqref="L2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10"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56" t="s">
        <v>97</v>
      </c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"/>
  <sheetViews>
    <sheetView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4" t="s">
        <v>104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3"/>
  <sheetViews>
    <sheetView topLeftCell="A2"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2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45</v>
      </c>
      <c r="I2" s="19"/>
      <c r="J2" s="19"/>
      <c r="K2" s="19"/>
      <c r="L2" s="19"/>
      <c r="M2" s="19"/>
      <c r="N2" s="19"/>
      <c r="O2" s="128" t="s">
        <v>100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4" t="s">
        <v>40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56" t="s">
        <v>97</v>
      </c>
      <c r="B2" s="19"/>
      <c r="C2" s="19"/>
      <c r="D2" s="19"/>
      <c r="E2" s="19"/>
      <c r="F2" s="19"/>
      <c r="G2" s="19"/>
      <c r="H2" s="153" t="s">
        <v>40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4"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46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H26"/>
  <sheetViews>
    <sheetView zoomScale="80" workbookViewId="0">
      <pane xSplit="1" ySplit="2" topLeftCell="AN3" activePane="bottomRight" state="frozen"/>
      <selection pane="topRight" activeCell="B1" sqref="B1"/>
      <selection pane="bottomLeft" activeCell="A3" sqref="A3"/>
      <selection pane="bottomRight" activeCell="AV12" sqref="AV12"/>
    </sheetView>
  </sheetViews>
  <sheetFormatPr defaultColWidth="9.109375" defaultRowHeight="13.2" x14ac:dyDescent="0.25"/>
  <cols>
    <col min="1" max="1" width="18" style="2" customWidth="1"/>
    <col min="2" max="2" width="13.6640625" style="2" bestFit="1" customWidth="1"/>
    <col min="3" max="3" width="16.6640625" style="2" bestFit="1" customWidth="1"/>
    <col min="4" max="5" width="12.109375" style="2" customWidth="1"/>
    <col min="6" max="6" width="2.44140625" style="4" customWidth="1"/>
    <col min="7" max="7" width="13.6640625" style="2" bestFit="1" customWidth="1"/>
    <col min="8" max="8" width="16.6640625" style="2" bestFit="1" customWidth="1"/>
    <col min="9" max="10" width="12.109375" style="2" customWidth="1"/>
    <col min="11" max="11" width="2.44140625" style="4" customWidth="1"/>
    <col min="12" max="12" width="12.6640625" style="2" bestFit="1" customWidth="1"/>
    <col min="13" max="13" width="15.6640625" style="2" bestFit="1" customWidth="1"/>
    <col min="14" max="15" width="12.109375" style="2" customWidth="1"/>
    <col min="16" max="16" width="2.44140625" style="4" customWidth="1"/>
    <col min="17" max="17" width="12.6640625" style="2" bestFit="1" customWidth="1"/>
    <col min="18" max="18" width="13.6640625" style="2" bestFit="1" customWidth="1"/>
    <col min="19" max="20" width="12.109375" style="2" customWidth="1"/>
    <col min="21" max="21" width="2.44140625" style="4" customWidth="1"/>
    <col min="22" max="22" width="13.6640625" style="2" bestFit="1" customWidth="1"/>
    <col min="23" max="23" width="15.6640625" style="2" bestFit="1" customWidth="1"/>
    <col min="24" max="25" width="12.109375" style="2" customWidth="1"/>
    <col min="26" max="26" width="2.44140625" style="7" customWidth="1"/>
    <col min="27" max="27" width="12.6640625" style="7" bestFit="1" customWidth="1"/>
    <col min="28" max="28" width="13.6640625" style="7" bestFit="1" customWidth="1"/>
    <col min="29" max="30" width="12.109375" style="7" customWidth="1"/>
    <col min="31" max="31" width="2.44140625" style="7" customWidth="1"/>
    <col min="32" max="32" width="12.6640625" style="7" bestFit="1" customWidth="1"/>
    <col min="33" max="33" width="13.6640625" style="7" bestFit="1" customWidth="1"/>
    <col min="34" max="35" width="12.109375" style="7" customWidth="1"/>
    <col min="36" max="36" width="2.44140625" style="7" customWidth="1"/>
    <col min="37" max="37" width="12.6640625" style="7" bestFit="1" customWidth="1"/>
    <col min="38" max="38" width="13.6640625" style="7" bestFit="1" customWidth="1"/>
    <col min="39" max="40" width="12.109375" style="7" customWidth="1"/>
    <col min="41" max="41" width="2.44140625" style="7" customWidth="1"/>
    <col min="42" max="42" width="12.6640625" style="7" bestFit="1" customWidth="1"/>
    <col min="43" max="43" width="13.6640625" style="7" bestFit="1" customWidth="1"/>
    <col min="44" max="45" width="12.109375" style="7" customWidth="1"/>
    <col min="46" max="46" width="2.44140625" style="7" customWidth="1"/>
    <col min="47" max="47" width="12.6640625" style="7" bestFit="1" customWidth="1"/>
    <col min="48" max="48" width="13.6640625" style="7" bestFit="1" customWidth="1"/>
    <col min="49" max="50" width="12.109375" style="7" customWidth="1"/>
    <col min="51" max="51" width="2.44140625" style="7" customWidth="1"/>
    <col min="52" max="52" width="13.6640625" style="7" bestFit="1" customWidth="1"/>
    <col min="53" max="53" width="13.6640625" style="2" bestFit="1" customWidth="1"/>
    <col min="54" max="55" width="12.109375" style="2" customWidth="1"/>
    <col min="56" max="56" width="2.44140625" style="2" customWidth="1"/>
    <col min="57" max="57" width="12.6640625" style="2" bestFit="1" customWidth="1"/>
    <col min="58" max="58" width="13.6640625" style="2" bestFit="1" customWidth="1"/>
    <col min="59" max="60" width="12.109375" style="2" customWidth="1"/>
    <col min="61" max="61" width="2.44140625" style="2" customWidth="1"/>
    <col min="62" max="62" width="13.6640625" style="2" bestFit="1" customWidth="1"/>
    <col min="63" max="63" width="15.6640625" style="2" bestFit="1" customWidth="1"/>
    <col min="64" max="65" width="12.109375" style="2" customWidth="1"/>
    <col min="66" max="68" width="9.109375" style="2"/>
    <col min="69" max="69" width="11.5546875" style="2" bestFit="1" customWidth="1"/>
    <col min="70" max="16384" width="9.109375" style="2"/>
  </cols>
  <sheetData>
    <row r="1" spans="1:138" s="12" customFormat="1" ht="19.5" customHeight="1" x14ac:dyDescent="0.25">
      <c r="A1" s="9"/>
      <c r="B1" s="10" t="s">
        <v>20</v>
      </c>
      <c r="C1" s="10"/>
      <c r="D1" s="10"/>
      <c r="E1" s="10"/>
      <c r="F1" s="11"/>
      <c r="G1" s="10" t="s">
        <v>21</v>
      </c>
      <c r="H1" s="10"/>
      <c r="I1" s="10"/>
      <c r="J1" s="10"/>
      <c r="K1" s="11"/>
      <c r="L1" s="10" t="s">
        <v>22</v>
      </c>
      <c r="M1" s="10"/>
      <c r="N1" s="10"/>
      <c r="O1" s="10"/>
      <c r="P1" s="11"/>
      <c r="Q1" s="10" t="s">
        <v>23</v>
      </c>
      <c r="R1" s="10"/>
      <c r="S1" s="10"/>
      <c r="T1" s="10"/>
      <c r="U1" s="11"/>
      <c r="V1" s="10" t="s">
        <v>4</v>
      </c>
      <c r="W1" s="10"/>
      <c r="X1" s="10"/>
      <c r="Y1" s="10"/>
      <c r="Z1" s="130"/>
      <c r="AA1" s="30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130"/>
    </row>
    <row r="2" spans="1:138" ht="15" x14ac:dyDescent="0.25">
      <c r="B2" s="131" t="s">
        <v>91</v>
      </c>
      <c r="C2" s="131" t="s">
        <v>92</v>
      </c>
      <c r="D2" s="131" t="s">
        <v>93</v>
      </c>
      <c r="E2" s="131" t="s">
        <v>94</v>
      </c>
      <c r="F2" s="3"/>
      <c r="G2" s="131" t="s">
        <v>91</v>
      </c>
      <c r="H2" s="131" t="s">
        <v>92</v>
      </c>
      <c r="I2" s="131" t="s">
        <v>93</v>
      </c>
      <c r="J2" s="131" t="s">
        <v>94</v>
      </c>
      <c r="K2" s="3"/>
      <c r="L2" s="131" t="s">
        <v>91</v>
      </c>
      <c r="M2" s="131" t="s">
        <v>92</v>
      </c>
      <c r="N2" s="131" t="s">
        <v>93</v>
      </c>
      <c r="O2" s="131" t="s">
        <v>94</v>
      </c>
      <c r="P2" s="3"/>
      <c r="Q2" s="131" t="s">
        <v>91</v>
      </c>
      <c r="R2" s="131" t="s">
        <v>92</v>
      </c>
      <c r="S2" s="131" t="s">
        <v>93</v>
      </c>
      <c r="T2" s="131" t="s">
        <v>94</v>
      </c>
      <c r="U2" s="3"/>
      <c r="V2" s="131" t="s">
        <v>91</v>
      </c>
      <c r="W2" s="131" t="s">
        <v>92</v>
      </c>
      <c r="X2" s="131" t="s">
        <v>93</v>
      </c>
      <c r="Y2" s="131" t="s">
        <v>94</v>
      </c>
      <c r="AA2" s="132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BA2" s="65"/>
      <c r="BB2" s="65"/>
      <c r="BC2" s="65"/>
    </row>
    <row r="3" spans="1:138" x14ac:dyDescent="0.25">
      <c r="A3" s="8" t="s">
        <v>34</v>
      </c>
      <c r="B3" s="134">
        <f>+B11+G11+L11</f>
        <v>111902.855</v>
      </c>
      <c r="C3" s="134">
        <f t="shared" ref="C3:E6" si="0">+C11+H11+M11</f>
        <v>1055869.8500000001</v>
      </c>
      <c r="D3" s="134">
        <f t="shared" si="0"/>
        <v>31272</v>
      </c>
      <c r="E3" s="136">
        <f t="shared" si="0"/>
        <v>17807</v>
      </c>
      <c r="F3" s="135"/>
      <c r="G3" s="134">
        <f>+Q11+V11+AA11</f>
        <v>164653.35699999999</v>
      </c>
      <c r="H3" s="134">
        <f t="shared" ref="H3:J6" si="1">+R11+W11+AB11</f>
        <v>1218385.273</v>
      </c>
      <c r="I3" s="134">
        <f t="shared" si="1"/>
        <v>29685</v>
      </c>
      <c r="J3" s="136">
        <f t="shared" si="1"/>
        <v>17434</v>
      </c>
      <c r="K3" s="135"/>
      <c r="L3" s="134">
        <f>+AF11+AK11+AP11</f>
        <v>157096.524</v>
      </c>
      <c r="M3" s="134">
        <f t="shared" ref="M3:O6" si="2">+AG11+AL11+AQ11</f>
        <v>1242720</v>
      </c>
      <c r="N3" s="134">
        <f t="shared" si="2"/>
        <v>33660</v>
      </c>
      <c r="O3" s="136">
        <f t="shared" si="2"/>
        <v>20111</v>
      </c>
      <c r="P3" s="135"/>
      <c r="Q3" s="134">
        <f>+AU11+AZ11+BE11</f>
        <v>69486</v>
      </c>
      <c r="R3" s="134">
        <f t="shared" ref="R3:T6" si="3">+AV11+BA11+BF11</f>
        <v>352307</v>
      </c>
      <c r="S3" s="134">
        <f t="shared" si="3"/>
        <v>9779</v>
      </c>
      <c r="T3" s="136">
        <f t="shared" si="3"/>
        <v>4992</v>
      </c>
      <c r="U3" s="135"/>
      <c r="V3" s="134">
        <f>+B3+G3+L3+Q3</f>
        <v>503138.73600000003</v>
      </c>
      <c r="W3" s="134">
        <f t="shared" ref="W3:Y6" si="4">+C3+H3+M3+R3</f>
        <v>3869282.1230000001</v>
      </c>
      <c r="X3" s="134">
        <f t="shared" si="4"/>
        <v>104396</v>
      </c>
      <c r="Y3" s="136">
        <f t="shared" si="4"/>
        <v>60344</v>
      </c>
      <c r="Z3" s="137"/>
      <c r="AA3" s="137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7"/>
      <c r="BA3" s="139"/>
      <c r="BB3" s="139"/>
      <c r="BC3" s="139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0"/>
      <c r="CI3" s="140"/>
      <c r="CJ3" s="140"/>
      <c r="CK3" s="140"/>
      <c r="CL3" s="140"/>
    </row>
    <row r="4" spans="1:138" x14ac:dyDescent="0.25">
      <c r="A4" s="8" t="s">
        <v>47</v>
      </c>
      <c r="B4" s="134">
        <f>+B12+G12+L12</f>
        <v>19532.814999999999</v>
      </c>
      <c r="C4" s="134">
        <f t="shared" si="0"/>
        <v>4023.3999999999996</v>
      </c>
      <c r="D4" s="134">
        <f t="shared" si="0"/>
        <v>740</v>
      </c>
      <c r="E4" s="136">
        <f t="shared" si="0"/>
        <v>187</v>
      </c>
      <c r="F4" s="135"/>
      <c r="G4" s="134">
        <f>+Q12+V12+AA12</f>
        <v>21693.868999999999</v>
      </c>
      <c r="H4" s="134">
        <f t="shared" si="1"/>
        <v>4893.6120000000001</v>
      </c>
      <c r="I4" s="134">
        <f t="shared" si="1"/>
        <v>385</v>
      </c>
      <c r="J4" s="136">
        <f t="shared" si="1"/>
        <v>31</v>
      </c>
      <c r="K4" s="135"/>
      <c r="L4" s="134">
        <f>+AF12+AK12+AP12</f>
        <v>22637.37</v>
      </c>
      <c r="M4" s="134">
        <f t="shared" si="2"/>
        <v>842.5</v>
      </c>
      <c r="N4" s="134">
        <f t="shared" si="2"/>
        <v>1749</v>
      </c>
      <c r="O4" s="136">
        <f t="shared" si="2"/>
        <v>362</v>
      </c>
      <c r="P4" s="135"/>
      <c r="Q4" s="134">
        <f>+AU12+AZ12+BE12</f>
        <v>6593</v>
      </c>
      <c r="R4" s="134">
        <f t="shared" si="3"/>
        <v>533</v>
      </c>
      <c r="S4" s="134">
        <f t="shared" si="3"/>
        <v>466</v>
      </c>
      <c r="T4" s="136">
        <f t="shared" si="3"/>
        <v>104</v>
      </c>
      <c r="U4" s="135"/>
      <c r="V4" s="134">
        <f>+B4+G4+L4+Q4</f>
        <v>70457.053999999989</v>
      </c>
      <c r="W4" s="134">
        <f t="shared" si="4"/>
        <v>10292.511999999999</v>
      </c>
      <c r="X4" s="134">
        <f t="shared" si="4"/>
        <v>3340</v>
      </c>
      <c r="Y4" s="136">
        <f t="shared" si="4"/>
        <v>684</v>
      </c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41"/>
      <c r="AK4" s="137"/>
      <c r="AL4" s="137"/>
      <c r="AM4" s="137"/>
      <c r="AN4" s="141"/>
      <c r="AO4" s="137"/>
      <c r="AP4" s="137"/>
      <c r="AQ4" s="137"/>
      <c r="AR4" s="141"/>
      <c r="AS4" s="137"/>
      <c r="AT4" s="137"/>
      <c r="AU4" s="137"/>
      <c r="AV4" s="141"/>
      <c r="AW4" s="137"/>
      <c r="AX4" s="137"/>
      <c r="AY4" s="137"/>
      <c r="AZ4" s="137"/>
      <c r="BA4" s="139"/>
      <c r="BB4" s="139"/>
      <c r="BC4" s="139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</row>
    <row r="5" spans="1:138" x14ac:dyDescent="0.25">
      <c r="A5" s="8" t="s">
        <v>0</v>
      </c>
      <c r="B5" s="134">
        <f>+B13+G13+L13</f>
        <v>0</v>
      </c>
      <c r="C5" s="134">
        <f t="shared" si="0"/>
        <v>290100</v>
      </c>
      <c r="D5" s="134">
        <f t="shared" si="0"/>
        <v>378</v>
      </c>
      <c r="E5" s="136">
        <f t="shared" si="0"/>
        <v>139</v>
      </c>
      <c r="F5" s="135"/>
      <c r="G5" s="134">
        <f>+Q13+V13+AA13</f>
        <v>0</v>
      </c>
      <c r="H5" s="134">
        <f t="shared" si="1"/>
        <v>185205.9</v>
      </c>
      <c r="I5" s="134">
        <f t="shared" si="1"/>
        <v>328</v>
      </c>
      <c r="J5" s="136">
        <f t="shared" si="1"/>
        <v>204</v>
      </c>
      <c r="K5" s="135"/>
      <c r="L5" s="134">
        <f>+AF13+AK13+AP13</f>
        <v>0</v>
      </c>
      <c r="M5" s="134">
        <f t="shared" si="2"/>
        <v>303650</v>
      </c>
      <c r="N5" s="134">
        <f t="shared" si="2"/>
        <v>354</v>
      </c>
      <c r="O5" s="136">
        <f t="shared" si="2"/>
        <v>163</v>
      </c>
      <c r="P5" s="135"/>
      <c r="Q5" s="134">
        <f>+AU13+AZ13+BE13</f>
        <v>0</v>
      </c>
      <c r="R5" s="134">
        <f t="shared" si="3"/>
        <v>259335</v>
      </c>
      <c r="S5" s="134">
        <f t="shared" si="3"/>
        <v>180</v>
      </c>
      <c r="T5" s="136">
        <f t="shared" si="3"/>
        <v>118</v>
      </c>
      <c r="U5" s="135"/>
      <c r="V5" s="134">
        <f>+B5+G5+L5+Q5</f>
        <v>0</v>
      </c>
      <c r="W5" s="134">
        <f t="shared" si="4"/>
        <v>1038290.9</v>
      </c>
      <c r="X5" s="134">
        <f t="shared" si="4"/>
        <v>1240</v>
      </c>
      <c r="Y5" s="136">
        <f t="shared" si="4"/>
        <v>624</v>
      </c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9"/>
      <c r="BB5" s="139"/>
      <c r="BC5" s="139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</row>
    <row r="6" spans="1:138" ht="13.8" thickBot="1" x14ac:dyDescent="0.3">
      <c r="A6" s="8" t="s">
        <v>40</v>
      </c>
      <c r="B6" s="134">
        <f>+B14+G14+L14</f>
        <v>772.79899999999998</v>
      </c>
      <c r="C6" s="134">
        <f t="shared" si="0"/>
        <v>0</v>
      </c>
      <c r="D6" s="134">
        <f t="shared" si="0"/>
        <v>2211</v>
      </c>
      <c r="E6" s="136">
        <f t="shared" si="0"/>
        <v>0</v>
      </c>
      <c r="F6" s="135"/>
      <c r="G6" s="134">
        <f>+Q14+V14+AA14</f>
        <v>2162.8789999999999</v>
      </c>
      <c r="H6" s="134">
        <f t="shared" si="1"/>
        <v>0</v>
      </c>
      <c r="I6" s="134">
        <f t="shared" si="1"/>
        <v>5690</v>
      </c>
      <c r="J6" s="136">
        <f t="shared" si="1"/>
        <v>0</v>
      </c>
      <c r="K6" s="135"/>
      <c r="L6" s="134">
        <f>+AF14+AK14+AP14</f>
        <v>2645.66</v>
      </c>
      <c r="M6" s="134">
        <f t="shared" si="2"/>
        <v>0</v>
      </c>
      <c r="N6" s="134">
        <f t="shared" si="2"/>
        <v>5356</v>
      </c>
      <c r="O6" s="136">
        <f t="shared" si="2"/>
        <v>0</v>
      </c>
      <c r="P6" s="135"/>
      <c r="Q6" s="134">
        <f>+AU14+AZ14+BE14</f>
        <v>2291</v>
      </c>
      <c r="R6" s="134">
        <f t="shared" si="3"/>
        <v>0</v>
      </c>
      <c r="S6" s="134">
        <f t="shared" si="3"/>
        <v>3335</v>
      </c>
      <c r="T6" s="136">
        <f t="shared" si="3"/>
        <v>0</v>
      </c>
      <c r="U6" s="135"/>
      <c r="V6" s="134">
        <f>+B6+G6+L6+Q6</f>
        <v>7872.3379999999997</v>
      </c>
      <c r="W6" s="134">
        <f t="shared" si="4"/>
        <v>0</v>
      </c>
      <c r="X6" s="134">
        <f t="shared" si="4"/>
        <v>16592</v>
      </c>
      <c r="Y6" s="136">
        <f t="shared" si="4"/>
        <v>0</v>
      </c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9"/>
      <c r="BB6" s="139"/>
      <c r="BC6" s="139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</row>
    <row r="7" spans="1:138" ht="13.8" thickBot="1" x14ac:dyDescent="0.3">
      <c r="A7" s="8" t="s">
        <v>17</v>
      </c>
      <c r="B7" s="142">
        <f>SUM(B3:B6)</f>
        <v>132208.46899999998</v>
      </c>
      <c r="C7" s="142">
        <f>SUM(C3:C6)</f>
        <v>1349993.25</v>
      </c>
      <c r="D7" s="142">
        <f>SUM(D3:D6)</f>
        <v>34601</v>
      </c>
      <c r="E7" s="143">
        <f>SUM(E3:E6)</f>
        <v>18133</v>
      </c>
      <c r="F7" s="144"/>
      <c r="G7" s="142">
        <f>SUM(G3:G6)</f>
        <v>188510.10499999998</v>
      </c>
      <c r="H7" s="142">
        <f>SUM(H3:H6)</f>
        <v>1408484.7849999999</v>
      </c>
      <c r="I7" s="142">
        <f>SUM(I3:I6)</f>
        <v>36088</v>
      </c>
      <c r="J7" s="143">
        <f>SUM(J3:J6)</f>
        <v>17669</v>
      </c>
      <c r="K7" s="144"/>
      <c r="L7" s="142">
        <f>SUM(L3:L6)</f>
        <v>182379.554</v>
      </c>
      <c r="M7" s="142">
        <f>SUM(M3:M6)</f>
        <v>1547212.5</v>
      </c>
      <c r="N7" s="142">
        <f>SUM(N3:N6)</f>
        <v>41119</v>
      </c>
      <c r="O7" s="143">
        <f>SUM(O3:O6)</f>
        <v>20636</v>
      </c>
      <c r="P7" s="144"/>
      <c r="Q7" s="142">
        <f>SUM(Q3:Q6)</f>
        <v>78370</v>
      </c>
      <c r="R7" s="142">
        <f>SUM(R3:R6)</f>
        <v>612175</v>
      </c>
      <c r="S7" s="142">
        <f>SUM(S3:S6)</f>
        <v>13760</v>
      </c>
      <c r="T7" s="143">
        <f>SUM(T3:T6)</f>
        <v>5214</v>
      </c>
      <c r="U7" s="135"/>
      <c r="V7" s="142">
        <f>SUM(V3:V6)</f>
        <v>581468.12800000003</v>
      </c>
      <c r="W7" s="142">
        <f>SUM(W3:W6)</f>
        <v>4917865.5350000001</v>
      </c>
      <c r="X7" s="142">
        <f>SUM(X3:X6)</f>
        <v>125568</v>
      </c>
      <c r="Y7" s="143">
        <f>SUM(Y3:Y6)</f>
        <v>61652</v>
      </c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45"/>
      <c r="AK7" s="137"/>
      <c r="AL7" s="145"/>
      <c r="AM7" s="137"/>
      <c r="AN7" s="145"/>
      <c r="AO7" s="137"/>
      <c r="AP7" s="145"/>
      <c r="AQ7" s="137"/>
      <c r="AR7" s="145"/>
      <c r="AS7" s="137"/>
      <c r="AT7" s="145"/>
      <c r="AU7" s="137"/>
      <c r="AV7" s="145"/>
      <c r="AW7" s="137"/>
      <c r="AX7" s="137"/>
      <c r="AY7" s="137"/>
      <c r="AZ7" s="137"/>
      <c r="BA7" s="139"/>
      <c r="BB7" s="139"/>
      <c r="BC7" s="139"/>
      <c r="BD7" s="140"/>
      <c r="BE7" s="140"/>
      <c r="BF7" s="140"/>
      <c r="BG7" s="140"/>
      <c r="BH7" s="140"/>
      <c r="BI7" s="140" t="s">
        <v>95</v>
      </c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</row>
    <row r="8" spans="1:138" x14ac:dyDescent="0.25">
      <c r="A8" s="7"/>
      <c r="B8" s="24"/>
      <c r="C8" s="24"/>
      <c r="D8" s="24"/>
      <c r="E8" s="24"/>
      <c r="F8" s="26"/>
      <c r="G8" s="24"/>
      <c r="H8" s="24"/>
      <c r="I8" s="24"/>
      <c r="J8" s="24"/>
      <c r="K8" s="26"/>
      <c r="L8" s="24"/>
      <c r="M8" s="24"/>
      <c r="N8" s="24"/>
      <c r="O8" s="24"/>
      <c r="P8" s="26"/>
      <c r="Q8" s="24"/>
      <c r="R8" s="24"/>
      <c r="S8" s="24"/>
      <c r="T8" s="24"/>
      <c r="U8" s="25"/>
      <c r="V8" s="24"/>
      <c r="W8" s="24"/>
      <c r="X8" s="24"/>
      <c r="Y8" s="24"/>
      <c r="AA8" s="30"/>
      <c r="AB8" s="30"/>
      <c r="AC8" s="30"/>
      <c r="AD8" s="30"/>
      <c r="AE8" s="30"/>
      <c r="AF8" s="30"/>
      <c r="AG8" s="30"/>
      <c r="AH8" s="30"/>
      <c r="AI8" s="30"/>
      <c r="AK8" s="30"/>
      <c r="AM8" s="30"/>
      <c r="AO8" s="30"/>
      <c r="AQ8" s="30"/>
      <c r="AS8" s="30"/>
      <c r="AU8" s="30"/>
      <c r="AW8" s="30"/>
      <c r="AY8" s="30"/>
      <c r="BA8" s="65"/>
      <c r="BB8" s="65"/>
      <c r="BC8" s="65"/>
    </row>
    <row r="9" spans="1:138" ht="15" x14ac:dyDescent="0.25">
      <c r="A9" s="9"/>
      <c r="B9" s="10" t="s">
        <v>60</v>
      </c>
      <c r="C9" s="10"/>
      <c r="D9" s="10"/>
      <c r="E9" s="10"/>
      <c r="F9" s="11"/>
      <c r="G9" s="10" t="s">
        <v>6</v>
      </c>
      <c r="H9" s="10"/>
      <c r="I9" s="10"/>
      <c r="J9" s="10"/>
      <c r="K9" s="11"/>
      <c r="L9" s="10" t="s">
        <v>7</v>
      </c>
      <c r="M9" s="10"/>
      <c r="N9" s="10"/>
      <c r="O9" s="10"/>
      <c r="P9" s="11"/>
      <c r="Q9" s="10" t="s">
        <v>8</v>
      </c>
      <c r="R9" s="10"/>
      <c r="S9" s="10"/>
      <c r="T9" s="10"/>
      <c r="U9" s="26"/>
      <c r="V9" s="10" t="s">
        <v>9</v>
      </c>
      <c r="W9" s="10"/>
      <c r="X9" s="10"/>
      <c r="Y9" s="10"/>
      <c r="Z9" s="146"/>
      <c r="AA9" s="10" t="s">
        <v>10</v>
      </c>
      <c r="AB9" s="10"/>
      <c r="AC9" s="10"/>
      <c r="AD9" s="10"/>
      <c r="AE9" s="11"/>
      <c r="AF9" s="10" t="s">
        <v>11</v>
      </c>
      <c r="AG9" s="10"/>
      <c r="AH9" s="10"/>
      <c r="AI9" s="10"/>
      <c r="AJ9" s="11"/>
      <c r="AK9" s="10" t="s">
        <v>12</v>
      </c>
      <c r="AL9" s="10"/>
      <c r="AM9" s="10"/>
      <c r="AN9" s="10"/>
      <c r="AO9" s="11"/>
      <c r="AP9" s="10" t="s">
        <v>66</v>
      </c>
      <c r="AQ9" s="10"/>
      <c r="AR9" s="10"/>
      <c r="AS9" s="10"/>
      <c r="AT9" s="26"/>
      <c r="AU9" s="10" t="s">
        <v>14</v>
      </c>
      <c r="AV9" s="10"/>
      <c r="AW9" s="10"/>
      <c r="AX9" s="10"/>
      <c r="AY9" s="146"/>
      <c r="AZ9" s="10" t="s">
        <v>15</v>
      </c>
      <c r="BA9" s="10"/>
      <c r="BB9" s="10"/>
      <c r="BC9" s="10"/>
      <c r="BD9" s="146"/>
      <c r="BE9" s="10" t="s">
        <v>16</v>
      </c>
      <c r="BF9" s="10"/>
      <c r="BG9" s="10"/>
      <c r="BH9" s="10"/>
      <c r="BI9" s="7"/>
      <c r="BJ9" s="10" t="s">
        <v>4</v>
      </c>
      <c r="BK9" s="10"/>
      <c r="BL9" s="10"/>
      <c r="BM9" s="10"/>
      <c r="BN9" s="7"/>
      <c r="BO9" s="7"/>
      <c r="BP9" s="7"/>
      <c r="BQ9" s="7"/>
      <c r="BR9" s="7"/>
      <c r="BS9" s="7"/>
      <c r="BT9" s="7"/>
      <c r="BU9" s="7"/>
      <c r="BV9" s="7"/>
    </row>
    <row r="10" spans="1:138" x14ac:dyDescent="0.25">
      <c r="A10" s="2">
        <v>2001</v>
      </c>
      <c r="B10" s="131" t="s">
        <v>91</v>
      </c>
      <c r="C10" s="131" t="s">
        <v>92</v>
      </c>
      <c r="D10" s="131" t="s">
        <v>93</v>
      </c>
      <c r="E10" s="131" t="s">
        <v>94</v>
      </c>
      <c r="F10" s="3"/>
      <c r="G10" s="131" t="s">
        <v>91</v>
      </c>
      <c r="H10" s="131" t="s">
        <v>92</v>
      </c>
      <c r="I10" s="131" t="s">
        <v>93</v>
      </c>
      <c r="J10" s="131" t="s">
        <v>94</v>
      </c>
      <c r="K10" s="3"/>
      <c r="L10" s="131" t="s">
        <v>91</v>
      </c>
      <c r="M10" s="131" t="s">
        <v>92</v>
      </c>
      <c r="N10" s="131" t="s">
        <v>93</v>
      </c>
      <c r="O10" s="131" t="s">
        <v>94</v>
      </c>
      <c r="P10" s="3"/>
      <c r="Q10" s="131" t="s">
        <v>91</v>
      </c>
      <c r="R10" s="131" t="s">
        <v>92</v>
      </c>
      <c r="S10" s="131" t="s">
        <v>93</v>
      </c>
      <c r="T10" s="131" t="s">
        <v>94</v>
      </c>
      <c r="U10" s="3"/>
      <c r="V10" s="131" t="s">
        <v>91</v>
      </c>
      <c r="W10" s="131" t="s">
        <v>92</v>
      </c>
      <c r="X10" s="131" t="s">
        <v>93</v>
      </c>
      <c r="Y10" s="131" t="s">
        <v>94</v>
      </c>
      <c r="Z10" s="147"/>
      <c r="AA10" s="131" t="s">
        <v>91</v>
      </c>
      <c r="AB10" s="131" t="s">
        <v>92</v>
      </c>
      <c r="AC10" s="131" t="s">
        <v>93</v>
      </c>
      <c r="AD10" s="131" t="s">
        <v>94</v>
      </c>
      <c r="AE10" s="3"/>
      <c r="AF10" s="131" t="s">
        <v>91</v>
      </c>
      <c r="AG10" s="131" t="s">
        <v>92</v>
      </c>
      <c r="AH10" s="131" t="s">
        <v>93</v>
      </c>
      <c r="AI10" s="131" t="s">
        <v>94</v>
      </c>
      <c r="AJ10" s="3"/>
      <c r="AK10" s="131" t="s">
        <v>91</v>
      </c>
      <c r="AL10" s="131" t="s">
        <v>92</v>
      </c>
      <c r="AM10" s="131" t="s">
        <v>93</v>
      </c>
      <c r="AN10" s="131" t="s">
        <v>94</v>
      </c>
      <c r="AO10" s="3"/>
      <c r="AP10" s="131" t="s">
        <v>91</v>
      </c>
      <c r="AQ10" s="131" t="s">
        <v>92</v>
      </c>
      <c r="AR10" s="131" t="s">
        <v>93</v>
      </c>
      <c r="AS10" s="131" t="s">
        <v>94</v>
      </c>
      <c r="AT10" s="3"/>
      <c r="AU10" s="131" t="s">
        <v>91</v>
      </c>
      <c r="AV10" s="131" t="s">
        <v>92</v>
      </c>
      <c r="AW10" s="131" t="s">
        <v>93</v>
      </c>
      <c r="AX10" s="131" t="s">
        <v>94</v>
      </c>
      <c r="AY10" s="147"/>
      <c r="AZ10" s="131" t="s">
        <v>91</v>
      </c>
      <c r="BA10" s="131" t="s">
        <v>92</v>
      </c>
      <c r="BB10" s="131" t="s">
        <v>93</v>
      </c>
      <c r="BC10" s="131" t="s">
        <v>94</v>
      </c>
      <c r="BD10" s="147"/>
      <c r="BE10" s="131" t="s">
        <v>91</v>
      </c>
      <c r="BF10" s="131" t="s">
        <v>92</v>
      </c>
      <c r="BG10" s="131" t="s">
        <v>93</v>
      </c>
      <c r="BH10" s="131" t="s">
        <v>94</v>
      </c>
      <c r="BI10" s="7"/>
      <c r="BJ10" s="131" t="s">
        <v>91</v>
      </c>
      <c r="BK10" s="131" t="s">
        <v>92</v>
      </c>
      <c r="BL10" s="131" t="s">
        <v>93</v>
      </c>
      <c r="BM10" s="131" t="s">
        <v>94</v>
      </c>
      <c r="BN10" s="7"/>
      <c r="BO10" s="7"/>
      <c r="BP10" s="7"/>
      <c r="BQ10" s="7"/>
      <c r="BR10" s="7"/>
      <c r="BS10" s="7"/>
      <c r="BT10" s="7"/>
      <c r="BU10" s="7"/>
      <c r="BV10" s="7"/>
    </row>
    <row r="11" spans="1:138" s="4" customFormat="1" x14ac:dyDescent="0.25">
      <c r="A11" s="8" t="s">
        <v>34</v>
      </c>
      <c r="B11" s="134">
        <v>35889.035000000003</v>
      </c>
      <c r="C11" s="134">
        <v>314627.52600000001</v>
      </c>
      <c r="D11" s="134">
        <v>10780</v>
      </c>
      <c r="E11" s="136">
        <v>6293</v>
      </c>
      <c r="F11" s="135"/>
      <c r="G11" s="134">
        <v>38708.027999999998</v>
      </c>
      <c r="H11" s="134">
        <v>325890.158</v>
      </c>
      <c r="I11" s="134">
        <v>9908</v>
      </c>
      <c r="J11" s="136">
        <v>5954</v>
      </c>
      <c r="K11" s="135"/>
      <c r="L11" s="134">
        <v>37305.792000000001</v>
      </c>
      <c r="M11" s="134">
        <v>415352.16600000003</v>
      </c>
      <c r="N11" s="134">
        <v>10584</v>
      </c>
      <c r="O11" s="136">
        <v>5560</v>
      </c>
      <c r="P11" s="135"/>
      <c r="Q11" s="134">
        <v>51131.207000000002</v>
      </c>
      <c r="R11" s="134">
        <v>390818.951</v>
      </c>
      <c r="S11" s="134">
        <v>8289</v>
      </c>
      <c r="T11" s="136">
        <v>3845</v>
      </c>
      <c r="U11" s="148"/>
      <c r="V11" s="134">
        <v>60815.773999999998</v>
      </c>
      <c r="W11" s="134">
        <v>422219.23499999999</v>
      </c>
      <c r="X11" s="134">
        <v>12021</v>
      </c>
      <c r="Y11" s="136">
        <v>6451</v>
      </c>
      <c r="Z11" s="149"/>
      <c r="AA11" s="134">
        <v>52706.375999999997</v>
      </c>
      <c r="AB11" s="134">
        <v>405347.087</v>
      </c>
      <c r="AC11" s="134">
        <v>9375</v>
      </c>
      <c r="AD11" s="136">
        <v>7138</v>
      </c>
      <c r="AE11" s="135"/>
      <c r="AF11" s="134">
        <v>50733.235000000001</v>
      </c>
      <c r="AG11" s="134">
        <f>284373+101430</f>
        <v>385803</v>
      </c>
      <c r="AH11" s="134">
        <v>10180</v>
      </c>
      <c r="AI11" s="136">
        <v>7574</v>
      </c>
      <c r="AJ11" s="135"/>
      <c r="AK11" s="134">
        <v>59849.841</v>
      </c>
      <c r="AL11" s="134">
        <f>291290+151757</f>
        <v>443047</v>
      </c>
      <c r="AM11" s="134">
        <v>12418</v>
      </c>
      <c r="AN11" s="136">
        <v>7543</v>
      </c>
      <c r="AO11" s="135"/>
      <c r="AP11" s="134">
        <v>46513.447999999997</v>
      </c>
      <c r="AQ11" s="134">
        <f>279788+134082</f>
        <v>413870</v>
      </c>
      <c r="AR11" s="134">
        <v>11062</v>
      </c>
      <c r="AS11" s="136">
        <v>4994</v>
      </c>
      <c r="AT11" s="148"/>
      <c r="AU11" s="134">
        <v>69486</v>
      </c>
      <c r="AV11" s="134">
        <v>352307</v>
      </c>
      <c r="AW11" s="134">
        <v>9779</v>
      </c>
      <c r="AX11" s="136">
        <v>4992</v>
      </c>
      <c r="AY11" s="149"/>
      <c r="AZ11" s="134"/>
      <c r="BA11" s="134"/>
      <c r="BB11" s="134"/>
      <c r="BC11" s="136"/>
      <c r="BD11" s="149"/>
      <c r="BE11" s="134"/>
      <c r="BF11" s="134"/>
      <c r="BG11" s="134"/>
      <c r="BH11" s="136"/>
      <c r="BI11" s="137"/>
      <c r="BJ11" s="134">
        <v>276718.05200000003</v>
      </c>
      <c r="BK11" s="134">
        <v>2201803.9470000002</v>
      </c>
      <c r="BL11" s="134">
        <v>60957</v>
      </c>
      <c r="BM11" s="136">
        <v>35241</v>
      </c>
      <c r="BN11" s="137"/>
      <c r="BO11" s="137"/>
      <c r="BP11" s="137"/>
      <c r="BQ11" s="137"/>
      <c r="BR11" s="137"/>
      <c r="BS11" s="137"/>
      <c r="BT11" s="137"/>
      <c r="BU11" s="137"/>
      <c r="BV11" s="137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0"/>
      <c r="CY11" s="150"/>
      <c r="CZ11" s="150"/>
      <c r="DA11" s="150"/>
      <c r="DB11" s="150"/>
      <c r="DC11" s="150"/>
      <c r="DD11" s="150"/>
      <c r="DE11" s="150"/>
      <c r="DF11" s="150"/>
      <c r="DG11" s="150"/>
      <c r="DH11" s="150"/>
      <c r="DI11" s="150"/>
      <c r="DJ11" s="150"/>
      <c r="DK11" s="150"/>
      <c r="DL11" s="150"/>
      <c r="DM11" s="150"/>
      <c r="DN11" s="150"/>
      <c r="DO11" s="150"/>
      <c r="DP11" s="150"/>
      <c r="DQ11" s="150"/>
      <c r="DR11" s="150"/>
      <c r="DS11" s="150"/>
      <c r="DT11" s="150"/>
      <c r="DU11" s="150"/>
      <c r="DV11" s="150"/>
      <c r="DW11" s="150"/>
      <c r="DX11" s="150"/>
      <c r="DY11" s="150"/>
      <c r="DZ11" s="150"/>
      <c r="EA11" s="150"/>
      <c r="EB11" s="150"/>
      <c r="EC11" s="150"/>
      <c r="ED11" s="150"/>
      <c r="EE11" s="150"/>
      <c r="EF11" s="150"/>
      <c r="EG11" s="150"/>
      <c r="EH11" s="150"/>
    </row>
    <row r="12" spans="1:138" x14ac:dyDescent="0.25">
      <c r="A12" s="8" t="s">
        <v>47</v>
      </c>
      <c r="B12" s="134">
        <v>6936.7209999999995</v>
      </c>
      <c r="C12" s="134">
        <v>767.6</v>
      </c>
      <c r="D12" s="134">
        <v>331</v>
      </c>
      <c r="E12" s="136">
        <v>130</v>
      </c>
      <c r="F12" s="135"/>
      <c r="G12" s="134">
        <v>6270.9809999999998</v>
      </c>
      <c r="H12" s="134">
        <v>1460</v>
      </c>
      <c r="I12" s="134">
        <v>220</v>
      </c>
      <c r="J12" s="136">
        <v>46</v>
      </c>
      <c r="K12" s="135"/>
      <c r="L12" s="134">
        <v>6325.1130000000003</v>
      </c>
      <c r="M12" s="134">
        <v>1795.8</v>
      </c>
      <c r="N12" s="134">
        <v>189</v>
      </c>
      <c r="O12" s="136">
        <v>11</v>
      </c>
      <c r="P12" s="135"/>
      <c r="Q12" s="134">
        <v>8004.107</v>
      </c>
      <c r="R12" s="134">
        <v>240</v>
      </c>
      <c r="S12" s="134">
        <v>116</v>
      </c>
      <c r="T12" s="136">
        <v>15</v>
      </c>
      <c r="U12" s="135"/>
      <c r="V12" s="134">
        <v>5662.8159999999998</v>
      </c>
      <c r="W12" s="134">
        <v>2170.0120000000002</v>
      </c>
      <c r="X12" s="134">
        <v>144</v>
      </c>
      <c r="Y12" s="136">
        <v>10</v>
      </c>
      <c r="Z12" s="149"/>
      <c r="AA12" s="134">
        <v>8026.9459999999999</v>
      </c>
      <c r="AB12" s="134">
        <v>2483.6</v>
      </c>
      <c r="AC12" s="134">
        <f>91+34</f>
        <v>125</v>
      </c>
      <c r="AD12" s="136">
        <v>6</v>
      </c>
      <c r="AE12" s="135"/>
      <c r="AF12" s="134">
        <v>7527.6289999999999</v>
      </c>
      <c r="AG12" s="134">
        <v>287.5</v>
      </c>
      <c r="AH12" s="134">
        <f>327+45</f>
        <v>372</v>
      </c>
      <c r="AI12" s="136">
        <v>43</v>
      </c>
      <c r="AJ12" s="135"/>
      <c r="AK12" s="134">
        <v>7200.54</v>
      </c>
      <c r="AL12" s="134">
        <v>277.5</v>
      </c>
      <c r="AM12" s="134">
        <f>762+147</f>
        <v>909</v>
      </c>
      <c r="AN12" s="136">
        <v>203</v>
      </c>
      <c r="AO12" s="135"/>
      <c r="AP12" s="134">
        <v>7909.201</v>
      </c>
      <c r="AQ12" s="134">
        <v>277.5</v>
      </c>
      <c r="AR12" s="134">
        <f>410+58</f>
        <v>468</v>
      </c>
      <c r="AS12" s="136">
        <v>116</v>
      </c>
      <c r="AT12" s="135"/>
      <c r="AU12" s="134">
        <v>6593</v>
      </c>
      <c r="AV12" s="134">
        <v>533</v>
      </c>
      <c r="AW12" s="134">
        <v>466</v>
      </c>
      <c r="AX12" s="136">
        <v>104</v>
      </c>
      <c r="AY12" s="149"/>
      <c r="AZ12" s="134"/>
      <c r="BA12" s="134"/>
      <c r="BB12" s="134"/>
      <c r="BC12" s="136"/>
      <c r="BD12" s="149"/>
      <c r="BE12" s="134"/>
      <c r="BF12" s="134"/>
      <c r="BG12" s="134"/>
      <c r="BH12" s="136"/>
      <c r="BI12" s="137"/>
      <c r="BJ12" s="134">
        <v>42279.361999999994</v>
      </c>
      <c r="BK12" s="134">
        <v>10831.012000000001</v>
      </c>
      <c r="BL12" s="134">
        <v>1277</v>
      </c>
      <c r="BM12" s="136">
        <v>237</v>
      </c>
      <c r="BN12" s="137"/>
      <c r="BO12" s="137"/>
      <c r="BP12" s="137"/>
      <c r="BQ12" s="137"/>
      <c r="BR12" s="137"/>
      <c r="BS12" s="137"/>
      <c r="BT12" s="137"/>
      <c r="BU12" s="137"/>
      <c r="BV12" s="137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</row>
    <row r="13" spans="1:138" ht="14.25" customHeight="1" x14ac:dyDescent="0.25">
      <c r="A13" s="8" t="s">
        <v>0</v>
      </c>
      <c r="B13" s="134">
        <v>0</v>
      </c>
      <c r="C13" s="134">
        <v>62850</v>
      </c>
      <c r="D13" s="134">
        <v>138</v>
      </c>
      <c r="E13" s="136">
        <v>62</v>
      </c>
      <c r="F13" s="135"/>
      <c r="G13" s="134">
        <v>0</v>
      </c>
      <c r="H13" s="134">
        <v>167500</v>
      </c>
      <c r="I13" s="134">
        <v>154</v>
      </c>
      <c r="J13" s="136">
        <v>50</v>
      </c>
      <c r="K13" s="135"/>
      <c r="L13" s="134">
        <v>0</v>
      </c>
      <c r="M13" s="134">
        <v>59750</v>
      </c>
      <c r="N13" s="134">
        <v>86</v>
      </c>
      <c r="O13" s="136">
        <v>27</v>
      </c>
      <c r="P13" s="135"/>
      <c r="Q13" s="134">
        <v>0</v>
      </c>
      <c r="R13" s="134">
        <v>19350</v>
      </c>
      <c r="S13" s="134">
        <v>58</v>
      </c>
      <c r="T13" s="136">
        <v>32</v>
      </c>
      <c r="U13" s="135"/>
      <c r="V13" s="134">
        <v>0</v>
      </c>
      <c r="W13" s="134">
        <v>56520</v>
      </c>
      <c r="X13" s="134">
        <v>123</v>
      </c>
      <c r="Y13" s="136">
        <v>82</v>
      </c>
      <c r="Z13" s="149"/>
      <c r="AA13" s="134">
        <v>0</v>
      </c>
      <c r="AB13" s="134">
        <v>109335.9</v>
      </c>
      <c r="AC13" s="134">
        <v>147</v>
      </c>
      <c r="AD13" s="136">
        <v>90</v>
      </c>
      <c r="AE13" s="135"/>
      <c r="AF13" s="134">
        <v>0</v>
      </c>
      <c r="AG13" s="134">
        <v>113660</v>
      </c>
      <c r="AH13" s="134">
        <v>142</v>
      </c>
      <c r="AI13" s="136">
        <v>58</v>
      </c>
      <c r="AJ13" s="135"/>
      <c r="AK13" s="134">
        <v>0</v>
      </c>
      <c r="AL13" s="134">
        <v>79850</v>
      </c>
      <c r="AM13" s="134">
        <v>135</v>
      </c>
      <c r="AN13" s="136">
        <v>63</v>
      </c>
      <c r="AO13" s="135"/>
      <c r="AP13" s="134">
        <v>0</v>
      </c>
      <c r="AQ13" s="134">
        <v>110140</v>
      </c>
      <c r="AR13" s="134">
        <v>77</v>
      </c>
      <c r="AS13" s="136">
        <v>42</v>
      </c>
      <c r="AT13" s="135"/>
      <c r="AU13" s="134">
        <v>0</v>
      </c>
      <c r="AV13" s="134">
        <v>259335</v>
      </c>
      <c r="AW13" s="134">
        <v>180</v>
      </c>
      <c r="AX13" s="136">
        <v>118</v>
      </c>
      <c r="AY13" s="149"/>
      <c r="AZ13" s="134"/>
      <c r="BA13" s="134"/>
      <c r="BB13" s="134"/>
      <c r="BC13" s="136"/>
      <c r="BD13" s="149"/>
      <c r="BE13" s="134"/>
      <c r="BF13" s="134"/>
      <c r="BG13" s="134"/>
      <c r="BH13" s="136"/>
      <c r="BI13" s="137"/>
      <c r="BJ13" s="134">
        <v>0</v>
      </c>
      <c r="BK13" s="134">
        <v>481935.9</v>
      </c>
      <c r="BL13" s="134">
        <v>807</v>
      </c>
      <c r="BM13" s="136">
        <v>438</v>
      </c>
      <c r="BN13" s="137"/>
      <c r="BO13" s="137"/>
      <c r="BP13" s="137"/>
      <c r="BQ13" s="137"/>
      <c r="BR13" s="137"/>
      <c r="BS13" s="137"/>
      <c r="BT13" s="137"/>
      <c r="BU13" s="137"/>
      <c r="BV13" s="137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</row>
    <row r="14" spans="1:138" ht="13.8" thickBot="1" x14ac:dyDescent="0.3">
      <c r="A14" s="8" t="s">
        <v>40</v>
      </c>
      <c r="B14" s="134">
        <v>0</v>
      </c>
      <c r="C14" s="134">
        <v>0</v>
      </c>
      <c r="D14" s="134">
        <v>0</v>
      </c>
      <c r="E14" s="136">
        <v>0</v>
      </c>
      <c r="F14" s="135"/>
      <c r="G14" s="134">
        <v>0</v>
      </c>
      <c r="H14" s="134">
        <v>0</v>
      </c>
      <c r="I14" s="134">
        <v>0</v>
      </c>
      <c r="J14" s="136">
        <v>0</v>
      </c>
      <c r="K14" s="135"/>
      <c r="L14" s="134">
        <v>772.79899999999998</v>
      </c>
      <c r="M14" s="134">
        <v>0</v>
      </c>
      <c r="N14" s="134">
        <v>2211</v>
      </c>
      <c r="O14" s="136">
        <v>0</v>
      </c>
      <c r="P14" s="135"/>
      <c r="Q14" s="134">
        <v>787.52700000000004</v>
      </c>
      <c r="R14" s="134">
        <v>0</v>
      </c>
      <c r="S14" s="134">
        <v>2244</v>
      </c>
      <c r="T14" s="136">
        <v>0</v>
      </c>
      <c r="U14" s="135"/>
      <c r="V14" s="134">
        <v>795.274</v>
      </c>
      <c r="W14" s="134">
        <v>0</v>
      </c>
      <c r="X14" s="134">
        <v>1865</v>
      </c>
      <c r="Y14" s="136">
        <v>0</v>
      </c>
      <c r="Z14" s="149"/>
      <c r="AA14" s="134">
        <v>580.07799999999997</v>
      </c>
      <c r="AB14" s="134">
        <v>0</v>
      </c>
      <c r="AC14" s="134">
        <v>1581</v>
      </c>
      <c r="AD14" s="136">
        <v>0</v>
      </c>
      <c r="AE14" s="135"/>
      <c r="AF14" s="134">
        <v>690.34799999999996</v>
      </c>
      <c r="AG14" s="134">
        <v>0</v>
      </c>
      <c r="AH14" s="134">
        <v>1925</v>
      </c>
      <c r="AI14" s="136">
        <v>0</v>
      </c>
      <c r="AJ14" s="135"/>
      <c r="AK14" s="134">
        <v>508.31200000000001</v>
      </c>
      <c r="AL14" s="134">
        <v>0</v>
      </c>
      <c r="AM14" s="134">
        <v>1330</v>
      </c>
      <c r="AN14" s="136">
        <v>0</v>
      </c>
      <c r="AO14" s="135"/>
      <c r="AP14" s="134">
        <v>1447</v>
      </c>
      <c r="AQ14" s="134">
        <v>0</v>
      </c>
      <c r="AR14" s="134">
        <v>2101</v>
      </c>
      <c r="AS14" s="136">
        <v>0</v>
      </c>
      <c r="AT14" s="135"/>
      <c r="AU14" s="134">
        <v>2291</v>
      </c>
      <c r="AV14" s="134">
        <v>0</v>
      </c>
      <c r="AW14" s="134">
        <v>3335</v>
      </c>
      <c r="AX14" s="136">
        <v>0</v>
      </c>
      <c r="AY14" s="149"/>
      <c r="AZ14" s="134"/>
      <c r="BA14" s="134"/>
      <c r="BB14" s="134"/>
      <c r="BC14" s="136"/>
      <c r="BD14" s="149"/>
      <c r="BE14" s="134"/>
      <c r="BF14" s="134"/>
      <c r="BG14" s="134"/>
      <c r="BH14" s="136"/>
      <c r="BI14" s="137"/>
      <c r="BJ14" s="134">
        <v>4614.6779999999999</v>
      </c>
      <c r="BK14" s="134">
        <v>0</v>
      </c>
      <c r="BL14" s="134">
        <v>8508.3430000000008</v>
      </c>
      <c r="BM14" s="136">
        <v>0</v>
      </c>
      <c r="BN14" s="137"/>
      <c r="BO14" s="137"/>
      <c r="BP14" s="137"/>
      <c r="BQ14" s="137"/>
      <c r="BR14" s="137"/>
      <c r="BS14" s="137"/>
      <c r="BT14" s="137"/>
      <c r="BU14" s="137"/>
      <c r="BV14" s="137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  <c r="DB14" s="140"/>
      <c r="DC14" s="140"/>
      <c r="DD14" s="140"/>
      <c r="DE14" s="140"/>
      <c r="DF14" s="140"/>
      <c r="DG14" s="140"/>
      <c r="DH14" s="140"/>
      <c r="DI14" s="140"/>
      <c r="DJ14" s="140"/>
      <c r="DK14" s="140"/>
      <c r="DL14" s="140"/>
      <c r="DM14" s="140"/>
      <c r="DN14" s="140"/>
      <c r="DO14" s="140"/>
      <c r="DP14" s="140"/>
      <c r="DQ14" s="140"/>
      <c r="DR14" s="140"/>
      <c r="DS14" s="140"/>
      <c r="DT14" s="140"/>
      <c r="DU14" s="140"/>
      <c r="DV14" s="140"/>
      <c r="DW14" s="140"/>
      <c r="DX14" s="140"/>
      <c r="DY14" s="140"/>
      <c r="DZ14" s="140"/>
      <c r="EA14" s="140"/>
      <c r="EB14" s="140"/>
      <c r="EC14" s="140"/>
      <c r="ED14" s="140"/>
      <c r="EE14" s="140"/>
      <c r="EF14" s="140"/>
      <c r="EG14" s="140"/>
      <c r="EH14" s="140"/>
    </row>
    <row r="15" spans="1:138" ht="13.8" thickBot="1" x14ac:dyDescent="0.3">
      <c r="A15" s="8" t="s">
        <v>17</v>
      </c>
      <c r="B15" s="142">
        <v>51061.466</v>
      </c>
      <c r="C15" s="142">
        <v>371507.96099999995</v>
      </c>
      <c r="D15" s="142">
        <v>11249</v>
      </c>
      <c r="E15" s="143">
        <v>6485</v>
      </c>
      <c r="F15" s="144"/>
      <c r="G15" s="142">
        <v>44981.404999999999</v>
      </c>
      <c r="H15" s="142">
        <v>484130.01699999999</v>
      </c>
      <c r="I15" s="142">
        <v>10282</v>
      </c>
      <c r="J15" s="143">
        <v>6050</v>
      </c>
      <c r="K15" s="144"/>
      <c r="L15" s="142">
        <v>47566.934999999998</v>
      </c>
      <c r="M15" s="142">
        <v>460947.36099999998</v>
      </c>
      <c r="N15" s="142">
        <v>13070</v>
      </c>
      <c r="O15" s="143">
        <v>5598</v>
      </c>
      <c r="P15" s="144"/>
      <c r="Q15" s="142">
        <v>63525.684999999998</v>
      </c>
      <c r="R15" s="142">
        <v>428915.27500000002</v>
      </c>
      <c r="S15" s="142">
        <v>10736</v>
      </c>
      <c r="T15" s="143">
        <v>3892</v>
      </c>
      <c r="U15" s="135"/>
      <c r="V15" s="142">
        <v>79672.368000000002</v>
      </c>
      <c r="W15" s="142">
        <v>479213.18699999998</v>
      </c>
      <c r="X15" s="142">
        <v>14138</v>
      </c>
      <c r="Y15" s="143">
        <v>6543</v>
      </c>
      <c r="Z15" s="151"/>
      <c r="AA15" s="142">
        <v>61470.072</v>
      </c>
      <c r="AB15" s="142">
        <v>517166.58699999994</v>
      </c>
      <c r="AC15" s="142">
        <v>11259</v>
      </c>
      <c r="AD15" s="142">
        <v>7234</v>
      </c>
      <c r="AE15" s="144"/>
      <c r="AF15" s="142">
        <v>0</v>
      </c>
      <c r="AG15" s="142">
        <v>0</v>
      </c>
      <c r="AH15" s="142">
        <v>0</v>
      </c>
      <c r="AI15" s="143">
        <v>0</v>
      </c>
      <c r="AJ15" s="144"/>
      <c r="AK15" s="142">
        <v>0</v>
      </c>
      <c r="AL15" s="142">
        <v>0</v>
      </c>
      <c r="AM15" s="142">
        <v>0</v>
      </c>
      <c r="AN15" s="143">
        <v>0</v>
      </c>
      <c r="AO15" s="144"/>
      <c r="AP15" s="142">
        <v>0</v>
      </c>
      <c r="AQ15" s="142">
        <v>0</v>
      </c>
      <c r="AR15" s="142">
        <v>0</v>
      </c>
      <c r="AS15" s="143">
        <v>0</v>
      </c>
      <c r="AT15" s="135"/>
      <c r="AU15" s="142">
        <v>0</v>
      </c>
      <c r="AV15" s="142">
        <v>0</v>
      </c>
      <c r="AW15" s="142">
        <v>0</v>
      </c>
      <c r="AX15" s="143">
        <v>0</v>
      </c>
      <c r="AY15" s="151"/>
      <c r="AZ15" s="142">
        <v>0</v>
      </c>
      <c r="BA15" s="142">
        <v>0</v>
      </c>
      <c r="BB15" s="142">
        <v>0</v>
      </c>
      <c r="BC15" s="143">
        <v>0</v>
      </c>
      <c r="BD15" s="151"/>
      <c r="BE15" s="142">
        <v>0</v>
      </c>
      <c r="BF15" s="142">
        <v>0</v>
      </c>
      <c r="BG15" s="142">
        <v>0</v>
      </c>
      <c r="BH15" s="143">
        <v>0</v>
      </c>
      <c r="BI15" s="137"/>
      <c r="BJ15" s="142">
        <v>286807.859</v>
      </c>
      <c r="BK15" s="142">
        <v>2224713.801</v>
      </c>
      <c r="BL15" s="142">
        <v>59475</v>
      </c>
      <c r="BM15" s="143">
        <v>28568</v>
      </c>
      <c r="BN15" s="137"/>
      <c r="BO15" s="137"/>
      <c r="BP15" s="137"/>
      <c r="BQ15" s="137"/>
      <c r="BR15" s="137"/>
      <c r="BS15" s="137"/>
      <c r="BT15" s="137"/>
      <c r="BU15" s="137"/>
      <c r="BV15" s="137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0"/>
      <c r="CV15" s="140"/>
      <c r="CW15" s="140"/>
      <c r="CX15" s="140"/>
      <c r="CY15" s="140"/>
      <c r="CZ15" s="140"/>
      <c r="DA15" s="140"/>
      <c r="DB15" s="140"/>
      <c r="DC15" s="140"/>
      <c r="DD15" s="140"/>
      <c r="DE15" s="140"/>
      <c r="DF15" s="140"/>
      <c r="DG15" s="140"/>
      <c r="DH15" s="140"/>
      <c r="DI15" s="140"/>
      <c r="DJ15" s="140"/>
      <c r="DK15" s="140"/>
      <c r="DL15" s="140"/>
      <c r="DM15" s="140"/>
      <c r="DN15" s="140"/>
      <c r="DO15" s="140"/>
      <c r="DP15" s="140"/>
      <c r="DQ15" s="140"/>
      <c r="DR15" s="140"/>
      <c r="DS15" s="140"/>
      <c r="DT15" s="140"/>
      <c r="DU15" s="140"/>
      <c r="DV15" s="140"/>
      <c r="DW15" s="140"/>
      <c r="DX15" s="140"/>
      <c r="DY15" s="140"/>
      <c r="DZ15" s="140"/>
      <c r="EA15" s="140"/>
      <c r="EB15" s="140"/>
      <c r="EC15" s="140"/>
      <c r="ED15" s="140"/>
      <c r="EE15" s="140"/>
      <c r="EF15" s="140"/>
      <c r="EG15" s="140"/>
      <c r="EH15" s="140"/>
    </row>
    <row r="16" spans="1:138" x14ac:dyDescent="0.25">
      <c r="A16" s="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4"/>
      <c r="V16" s="27"/>
      <c r="W16" s="27"/>
      <c r="X16" s="27"/>
      <c r="Y16" s="2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128" ht="15" x14ac:dyDescent="0.25">
      <c r="A17" s="9"/>
      <c r="B17" s="10" t="s">
        <v>60</v>
      </c>
      <c r="C17" s="10"/>
      <c r="D17" s="10"/>
      <c r="E17" s="10"/>
      <c r="F17" s="11"/>
      <c r="G17" s="10" t="s">
        <v>6</v>
      </c>
      <c r="H17" s="10"/>
      <c r="I17" s="10"/>
      <c r="J17" s="10"/>
      <c r="K17" s="11"/>
      <c r="L17" s="10" t="s">
        <v>7</v>
      </c>
      <c r="M17" s="10"/>
      <c r="N17" s="10"/>
      <c r="O17" s="10"/>
      <c r="P17" s="11"/>
      <c r="Q17" s="10" t="s">
        <v>8</v>
      </c>
      <c r="R17" s="10"/>
      <c r="S17" s="10"/>
      <c r="T17" s="10"/>
      <c r="U17" s="26"/>
      <c r="V17" s="10" t="s">
        <v>9</v>
      </c>
      <c r="W17" s="10"/>
      <c r="X17" s="10"/>
      <c r="Y17" s="10"/>
      <c r="Z17" s="146"/>
      <c r="AA17" s="10" t="s">
        <v>10</v>
      </c>
      <c r="AB17" s="10"/>
      <c r="AC17" s="10"/>
      <c r="AD17" s="10"/>
      <c r="AE17" s="11"/>
      <c r="AF17" s="10" t="s">
        <v>11</v>
      </c>
      <c r="AG17" s="10"/>
      <c r="AH17" s="10"/>
      <c r="AI17" s="10"/>
      <c r="AJ17" s="11"/>
      <c r="AK17" s="10" t="s">
        <v>12</v>
      </c>
      <c r="AL17" s="10"/>
      <c r="AM17" s="10"/>
      <c r="AN17" s="10"/>
      <c r="AO17" s="11"/>
      <c r="AP17" s="10" t="s">
        <v>66</v>
      </c>
      <c r="AQ17" s="10"/>
      <c r="AR17" s="10"/>
      <c r="AS17" s="10"/>
      <c r="AT17" s="26"/>
      <c r="AU17" s="10" t="s">
        <v>14</v>
      </c>
      <c r="AV17" s="10"/>
      <c r="AW17" s="10"/>
      <c r="AX17" s="10"/>
      <c r="AY17" s="146"/>
      <c r="AZ17" s="10" t="s">
        <v>15</v>
      </c>
      <c r="BA17" s="10"/>
      <c r="BB17" s="10"/>
      <c r="BC17" s="10"/>
      <c r="BD17" s="146"/>
      <c r="BE17" s="10" t="s">
        <v>16</v>
      </c>
      <c r="BF17" s="10"/>
      <c r="BG17" s="10"/>
      <c r="BH17" s="10"/>
      <c r="BI17" s="7"/>
      <c r="BJ17" s="10" t="s">
        <v>4</v>
      </c>
      <c r="BK17" s="10"/>
      <c r="BL17" s="10"/>
      <c r="BM17" s="10"/>
      <c r="BN17" s="7"/>
      <c r="BO17" s="7"/>
      <c r="BP17" s="7"/>
      <c r="BQ17" s="7"/>
      <c r="BR17" s="7"/>
      <c r="BS17" s="7"/>
      <c r="BT17" s="7"/>
      <c r="BU17" s="7"/>
      <c r="BV17" s="7"/>
    </row>
    <row r="18" spans="1:128" x14ac:dyDescent="0.25">
      <c r="A18" s="2">
        <v>2000</v>
      </c>
      <c r="B18" s="131" t="s">
        <v>91</v>
      </c>
      <c r="C18" s="131" t="s">
        <v>92</v>
      </c>
      <c r="D18" s="131" t="s">
        <v>93</v>
      </c>
      <c r="E18" s="131" t="s">
        <v>94</v>
      </c>
      <c r="F18" s="3"/>
      <c r="G18" s="131" t="s">
        <v>91</v>
      </c>
      <c r="H18" s="131" t="s">
        <v>92</v>
      </c>
      <c r="I18" s="131" t="s">
        <v>93</v>
      </c>
      <c r="J18" s="131" t="s">
        <v>94</v>
      </c>
      <c r="K18" s="3"/>
      <c r="L18" s="131" t="s">
        <v>91</v>
      </c>
      <c r="M18" s="131" t="s">
        <v>92</v>
      </c>
      <c r="N18" s="131" t="s">
        <v>93</v>
      </c>
      <c r="O18" s="131" t="s">
        <v>94</v>
      </c>
      <c r="P18" s="3"/>
      <c r="Q18" s="131" t="s">
        <v>91</v>
      </c>
      <c r="R18" s="131" t="s">
        <v>92</v>
      </c>
      <c r="S18" s="131" t="s">
        <v>93</v>
      </c>
      <c r="T18" s="131" t="s">
        <v>94</v>
      </c>
      <c r="U18" s="3"/>
      <c r="V18" s="131" t="s">
        <v>91</v>
      </c>
      <c r="W18" s="131" t="s">
        <v>92</v>
      </c>
      <c r="X18" s="131" t="s">
        <v>93</v>
      </c>
      <c r="Y18" s="131" t="s">
        <v>94</v>
      </c>
      <c r="Z18" s="147"/>
      <c r="AA18" s="131" t="s">
        <v>91</v>
      </c>
      <c r="AB18" s="131" t="s">
        <v>92</v>
      </c>
      <c r="AC18" s="131" t="s">
        <v>93</v>
      </c>
      <c r="AD18" s="131" t="s">
        <v>94</v>
      </c>
      <c r="AE18" s="3"/>
      <c r="AF18" s="131" t="s">
        <v>91</v>
      </c>
      <c r="AG18" s="131" t="s">
        <v>92</v>
      </c>
      <c r="AH18" s="131" t="s">
        <v>93</v>
      </c>
      <c r="AI18" s="131" t="s">
        <v>94</v>
      </c>
      <c r="AJ18" s="3"/>
      <c r="AK18" s="131" t="s">
        <v>91</v>
      </c>
      <c r="AL18" s="131" t="s">
        <v>92</v>
      </c>
      <c r="AM18" s="131" t="s">
        <v>93</v>
      </c>
      <c r="AN18" s="131" t="s">
        <v>94</v>
      </c>
      <c r="AO18" s="3"/>
      <c r="AP18" s="131" t="s">
        <v>91</v>
      </c>
      <c r="AQ18" s="131" t="s">
        <v>92</v>
      </c>
      <c r="AR18" s="131" t="s">
        <v>93</v>
      </c>
      <c r="AS18" s="131" t="s">
        <v>94</v>
      </c>
      <c r="AT18" s="3"/>
      <c r="AU18" s="131" t="s">
        <v>91</v>
      </c>
      <c r="AV18" s="131" t="s">
        <v>92</v>
      </c>
      <c r="AW18" s="131" t="s">
        <v>93</v>
      </c>
      <c r="AX18" s="131" t="s">
        <v>94</v>
      </c>
      <c r="AY18" s="147"/>
      <c r="AZ18" s="131" t="s">
        <v>91</v>
      </c>
      <c r="BA18" s="131" t="s">
        <v>92</v>
      </c>
      <c r="BB18" s="131" t="s">
        <v>93</v>
      </c>
      <c r="BC18" s="131" t="s">
        <v>94</v>
      </c>
      <c r="BD18" s="147"/>
      <c r="BE18" s="131" t="s">
        <v>91</v>
      </c>
      <c r="BF18" s="131" t="s">
        <v>92</v>
      </c>
      <c r="BG18" s="131" t="s">
        <v>93</v>
      </c>
      <c r="BH18" s="131" t="s">
        <v>94</v>
      </c>
      <c r="BI18" s="7"/>
      <c r="BJ18" s="131" t="s">
        <v>91</v>
      </c>
      <c r="BK18" s="131" t="s">
        <v>92</v>
      </c>
      <c r="BL18" s="131" t="s">
        <v>93</v>
      </c>
      <c r="BM18" s="131" t="s">
        <v>94</v>
      </c>
      <c r="BN18" s="7"/>
      <c r="BO18" s="7"/>
      <c r="BP18" s="7"/>
      <c r="BQ18" s="7"/>
      <c r="BR18" s="7"/>
      <c r="BS18" s="7"/>
      <c r="BT18" s="7"/>
      <c r="BU18" s="7"/>
      <c r="BV18" s="7"/>
    </row>
    <row r="19" spans="1:128" s="4" customFormat="1" x14ac:dyDescent="0.25">
      <c r="A19" s="8" t="s">
        <v>34</v>
      </c>
      <c r="B19" s="134">
        <v>50965.917999999998</v>
      </c>
      <c r="C19" s="134">
        <v>199515.98300000001</v>
      </c>
      <c r="D19" s="134">
        <v>3050</v>
      </c>
      <c r="E19" s="136">
        <v>176</v>
      </c>
      <c r="F19" s="135"/>
      <c r="G19" s="134">
        <v>39570.201999999997</v>
      </c>
      <c r="H19" s="134">
        <v>171546.61799999999</v>
      </c>
      <c r="I19" s="134">
        <v>2694</v>
      </c>
      <c r="J19" s="136">
        <v>270</v>
      </c>
      <c r="K19" s="135"/>
      <c r="L19" s="134">
        <v>38112.879000000001</v>
      </c>
      <c r="M19" s="134">
        <v>193331.08100000001</v>
      </c>
      <c r="N19" s="134">
        <v>3172</v>
      </c>
      <c r="O19" s="136">
        <v>221</v>
      </c>
      <c r="P19" s="135"/>
      <c r="Q19" s="134">
        <v>28915.627</v>
      </c>
      <c r="R19" s="134">
        <v>150072.62700000001</v>
      </c>
      <c r="S19" s="134">
        <v>2620</v>
      </c>
      <c r="T19" s="136">
        <v>570</v>
      </c>
      <c r="U19" s="148"/>
      <c r="V19" s="134">
        <v>41715.71</v>
      </c>
      <c r="W19" s="134">
        <v>245942.07500000001</v>
      </c>
      <c r="X19" s="134">
        <v>5180</v>
      </c>
      <c r="Y19" s="136">
        <v>2106</v>
      </c>
      <c r="Z19" s="149"/>
      <c r="AA19" s="134">
        <v>36391.862999999998</v>
      </c>
      <c r="AB19" s="134">
        <v>308437.321</v>
      </c>
      <c r="AC19" s="134">
        <v>6303</v>
      </c>
      <c r="AD19" s="136">
        <v>1631</v>
      </c>
      <c r="AE19" s="135"/>
      <c r="AF19" s="134">
        <v>37776.135999999999</v>
      </c>
      <c r="AG19" s="134">
        <v>253779.674</v>
      </c>
      <c r="AH19" s="134">
        <v>3683</v>
      </c>
      <c r="AI19" s="136">
        <v>1141</v>
      </c>
      <c r="AJ19" s="135"/>
      <c r="AK19" s="134">
        <v>43826.925999999999</v>
      </c>
      <c r="AL19" s="134">
        <v>308730.99200000003</v>
      </c>
      <c r="AM19" s="134">
        <v>4563</v>
      </c>
      <c r="AN19" s="136">
        <v>1308</v>
      </c>
      <c r="AO19" s="135"/>
      <c r="AP19" s="134">
        <v>42724.756999999998</v>
      </c>
      <c r="AQ19" s="134">
        <v>285951.80099999998</v>
      </c>
      <c r="AR19" s="134">
        <v>5556</v>
      </c>
      <c r="AS19" s="136">
        <v>2131</v>
      </c>
      <c r="AT19" s="148"/>
      <c r="AU19" s="134">
        <v>52145.502</v>
      </c>
      <c r="AV19" s="134">
        <v>310339.72200000001</v>
      </c>
      <c r="AW19" s="134">
        <v>6026</v>
      </c>
      <c r="AX19" s="136">
        <v>2575</v>
      </c>
      <c r="AY19" s="149"/>
      <c r="AZ19" s="134">
        <v>66226.271999999997</v>
      </c>
      <c r="BA19" s="134">
        <v>311093.02799999999</v>
      </c>
      <c r="BB19" s="134">
        <v>5283</v>
      </c>
      <c r="BC19" s="136">
        <v>2565</v>
      </c>
      <c r="BD19" s="149"/>
      <c r="BE19" s="134">
        <v>43836.364999999998</v>
      </c>
      <c r="BF19" s="134">
        <v>297885.80800000002</v>
      </c>
      <c r="BG19" s="134">
        <v>5326</v>
      </c>
      <c r="BH19" s="136">
        <v>2470</v>
      </c>
      <c r="BI19" s="137"/>
      <c r="BJ19" s="134">
        <v>522208.15699999989</v>
      </c>
      <c r="BK19" s="134">
        <v>3036626.73</v>
      </c>
      <c r="BL19" s="134">
        <v>53456</v>
      </c>
      <c r="BM19" s="136">
        <v>17164</v>
      </c>
      <c r="BN19" s="137"/>
      <c r="BO19" s="137"/>
      <c r="BP19" s="137"/>
      <c r="BQ19" s="137"/>
      <c r="BR19" s="137"/>
      <c r="BS19" s="137"/>
      <c r="BT19" s="137"/>
      <c r="BU19" s="137"/>
      <c r="BV19" s="137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  <c r="DL19" s="150"/>
      <c r="DM19" s="150"/>
      <c r="DN19" s="150"/>
      <c r="DO19" s="150"/>
      <c r="DP19" s="150"/>
      <c r="DQ19" s="150"/>
      <c r="DR19" s="150"/>
      <c r="DS19" s="150"/>
      <c r="DT19" s="150"/>
      <c r="DU19" s="150"/>
      <c r="DV19" s="150"/>
      <c r="DW19" s="150"/>
      <c r="DX19" s="150"/>
    </row>
    <row r="20" spans="1:128" x14ac:dyDescent="0.25">
      <c r="A20" s="8" t="s">
        <v>47</v>
      </c>
      <c r="B20" s="134">
        <v>2692.75</v>
      </c>
      <c r="C20" s="134">
        <v>0</v>
      </c>
      <c r="D20" s="134">
        <v>93</v>
      </c>
      <c r="E20" s="136">
        <v>38</v>
      </c>
      <c r="F20" s="135"/>
      <c r="G20" s="134">
        <v>2549.8310000000001</v>
      </c>
      <c r="H20" s="134">
        <v>0</v>
      </c>
      <c r="I20" s="134">
        <v>92</v>
      </c>
      <c r="J20" s="136">
        <v>26</v>
      </c>
      <c r="K20" s="135"/>
      <c r="L20" s="134">
        <v>2692.4870000000001</v>
      </c>
      <c r="M20" s="134">
        <v>0</v>
      </c>
      <c r="N20" s="134">
        <v>81</v>
      </c>
      <c r="O20" s="136">
        <v>20</v>
      </c>
      <c r="P20" s="135"/>
      <c r="Q20" s="134">
        <v>2809.5619999999999</v>
      </c>
      <c r="R20" s="134">
        <v>0</v>
      </c>
      <c r="S20" s="134">
        <v>96</v>
      </c>
      <c r="T20" s="136">
        <v>31</v>
      </c>
      <c r="U20" s="135"/>
      <c r="V20" s="134">
        <v>2954.2559999999999</v>
      </c>
      <c r="W20" s="134">
        <v>0</v>
      </c>
      <c r="X20" s="134">
        <v>90</v>
      </c>
      <c r="Y20" s="136">
        <v>13</v>
      </c>
      <c r="Z20" s="149"/>
      <c r="AA20" s="134">
        <v>3265.875</v>
      </c>
      <c r="AB20" s="134">
        <v>0</v>
      </c>
      <c r="AC20" s="134">
        <v>71</v>
      </c>
      <c r="AD20" s="136">
        <v>15</v>
      </c>
      <c r="AE20" s="135"/>
      <c r="AF20" s="134">
        <v>2893.06</v>
      </c>
      <c r="AG20" s="134">
        <v>0</v>
      </c>
      <c r="AH20" s="134">
        <v>106</v>
      </c>
      <c r="AI20" s="136">
        <v>79</v>
      </c>
      <c r="AJ20" s="135"/>
      <c r="AK20" s="134">
        <v>3103.223</v>
      </c>
      <c r="AL20" s="134">
        <v>0</v>
      </c>
      <c r="AM20" s="134">
        <v>473</v>
      </c>
      <c r="AN20" s="136">
        <v>380</v>
      </c>
      <c r="AO20" s="135"/>
      <c r="AP20" s="134">
        <v>3022.7930000000001</v>
      </c>
      <c r="AQ20" s="134">
        <v>0</v>
      </c>
      <c r="AR20" s="134">
        <v>473</v>
      </c>
      <c r="AS20" s="136">
        <v>385</v>
      </c>
      <c r="AT20" s="135"/>
      <c r="AU20" s="134">
        <v>4236.09</v>
      </c>
      <c r="AV20" s="134">
        <v>0</v>
      </c>
      <c r="AW20" s="134">
        <v>955</v>
      </c>
      <c r="AX20" s="136">
        <v>817</v>
      </c>
      <c r="AY20" s="149"/>
      <c r="AZ20" s="134">
        <v>5082.3209999999999</v>
      </c>
      <c r="BA20" s="134">
        <v>0</v>
      </c>
      <c r="BB20" s="134">
        <v>421</v>
      </c>
      <c r="BC20" s="136">
        <v>208</v>
      </c>
      <c r="BD20" s="149"/>
      <c r="BE20" s="134">
        <v>5140.7190000000001</v>
      </c>
      <c r="BF20" s="134">
        <v>1980</v>
      </c>
      <c r="BG20" s="134">
        <v>332</v>
      </c>
      <c r="BH20" s="136">
        <v>164</v>
      </c>
      <c r="BI20" s="137"/>
      <c r="BJ20" s="134">
        <v>40442.967000000004</v>
      </c>
      <c r="BK20" s="134">
        <v>1980</v>
      </c>
      <c r="BL20" s="134">
        <v>3283</v>
      </c>
      <c r="BM20" s="136">
        <v>2176</v>
      </c>
      <c r="BN20" s="137"/>
      <c r="BO20" s="137"/>
      <c r="BP20" s="137"/>
      <c r="BQ20" s="137"/>
      <c r="BR20" s="137"/>
      <c r="BS20" s="137"/>
      <c r="BT20" s="137"/>
      <c r="BU20" s="137"/>
      <c r="BV20" s="137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40"/>
      <c r="DQ20" s="140"/>
      <c r="DR20" s="140"/>
      <c r="DS20" s="140"/>
      <c r="DT20" s="140"/>
      <c r="DU20" s="140"/>
      <c r="DV20" s="140"/>
      <c r="DW20" s="140"/>
      <c r="DX20" s="140"/>
    </row>
    <row r="21" spans="1:128" ht="14.25" customHeight="1" x14ac:dyDescent="0.25">
      <c r="A21" s="8" t="s">
        <v>0</v>
      </c>
      <c r="B21" s="134">
        <v>0</v>
      </c>
      <c r="C21" s="134">
        <v>116753.04700000001</v>
      </c>
      <c r="D21" s="134">
        <v>58</v>
      </c>
      <c r="E21" s="136">
        <v>35</v>
      </c>
      <c r="F21" s="135"/>
      <c r="G21" s="134">
        <v>0</v>
      </c>
      <c r="H21" s="134">
        <v>137559.875</v>
      </c>
      <c r="I21" s="134">
        <v>129</v>
      </c>
      <c r="J21" s="136">
        <v>60</v>
      </c>
      <c r="K21" s="135"/>
      <c r="L21" s="134">
        <v>0</v>
      </c>
      <c r="M21" s="134">
        <v>70954.87</v>
      </c>
      <c r="N21" s="134">
        <v>63</v>
      </c>
      <c r="O21" s="136">
        <v>29</v>
      </c>
      <c r="P21" s="135"/>
      <c r="Q21" s="134">
        <v>0</v>
      </c>
      <c r="R21" s="134">
        <v>5092.2049999999999</v>
      </c>
      <c r="S21" s="134">
        <v>25</v>
      </c>
      <c r="T21" s="136">
        <v>14</v>
      </c>
      <c r="U21" s="135"/>
      <c r="V21" s="134">
        <v>0</v>
      </c>
      <c r="W21" s="134">
        <v>8410.2759999999998</v>
      </c>
      <c r="X21" s="134">
        <v>167</v>
      </c>
      <c r="Y21" s="136">
        <v>142</v>
      </c>
      <c r="Z21" s="149"/>
      <c r="AA21" s="134">
        <v>0</v>
      </c>
      <c r="AB21" s="134">
        <v>9251.1270000000004</v>
      </c>
      <c r="AC21" s="134">
        <v>179</v>
      </c>
      <c r="AD21" s="136">
        <v>241</v>
      </c>
      <c r="AE21" s="135"/>
      <c r="AF21" s="134">
        <v>0</v>
      </c>
      <c r="AG21" s="134">
        <v>42465.186999999998</v>
      </c>
      <c r="AH21" s="134">
        <v>192</v>
      </c>
      <c r="AI21" s="136">
        <v>124</v>
      </c>
      <c r="AJ21" s="135"/>
      <c r="AK21" s="134">
        <v>0</v>
      </c>
      <c r="AL21" s="134">
        <v>26001.776000000002</v>
      </c>
      <c r="AM21" s="134">
        <v>157</v>
      </c>
      <c r="AN21" s="136">
        <v>126</v>
      </c>
      <c r="AO21" s="135"/>
      <c r="AP21" s="134">
        <v>0</v>
      </c>
      <c r="AQ21" s="134">
        <v>95942.337</v>
      </c>
      <c r="AR21" s="134">
        <v>138</v>
      </c>
      <c r="AS21" s="136">
        <v>54</v>
      </c>
      <c r="AT21" s="135"/>
      <c r="AU21" s="134">
        <v>0</v>
      </c>
      <c r="AV21" s="134">
        <v>27649.072</v>
      </c>
      <c r="AW21" s="134">
        <v>256</v>
      </c>
      <c r="AX21" s="136">
        <v>28</v>
      </c>
      <c r="AY21" s="149"/>
      <c r="AZ21" s="134">
        <v>0</v>
      </c>
      <c r="BA21" s="134">
        <v>18296.404999999999</v>
      </c>
      <c r="BB21" s="134">
        <v>131</v>
      </c>
      <c r="BC21" s="136">
        <v>54</v>
      </c>
      <c r="BD21" s="149"/>
      <c r="BE21" s="134">
        <v>0</v>
      </c>
      <c r="BF21" s="134">
        <v>40429.214</v>
      </c>
      <c r="BG21" s="134">
        <v>134</v>
      </c>
      <c r="BH21" s="136">
        <v>71</v>
      </c>
      <c r="BI21" s="137"/>
      <c r="BJ21" s="134">
        <v>0</v>
      </c>
      <c r="BK21" s="134">
        <v>598805.39100000006</v>
      </c>
      <c r="BL21" s="134">
        <v>1629</v>
      </c>
      <c r="BM21" s="136">
        <v>978</v>
      </c>
      <c r="BN21" s="137"/>
      <c r="BO21" s="137"/>
      <c r="BP21" s="137"/>
      <c r="BQ21" s="137"/>
      <c r="BR21" s="137"/>
      <c r="BS21" s="137"/>
      <c r="BT21" s="137"/>
      <c r="BU21" s="137"/>
      <c r="BV21" s="137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  <c r="DB21" s="140"/>
      <c r="DC21" s="140"/>
      <c r="DD21" s="140"/>
      <c r="DE21" s="140"/>
      <c r="DF21" s="140"/>
      <c r="DG21" s="140"/>
      <c r="DH21" s="140"/>
      <c r="DI21" s="140"/>
      <c r="DJ21" s="140"/>
      <c r="DK21" s="140"/>
      <c r="DL21" s="140"/>
      <c r="DM21" s="140"/>
      <c r="DN21" s="140"/>
      <c r="DO21" s="140"/>
      <c r="DP21" s="140"/>
      <c r="DQ21" s="140"/>
      <c r="DR21" s="140"/>
      <c r="DS21" s="140"/>
      <c r="DT21" s="140"/>
      <c r="DU21" s="140"/>
      <c r="DV21" s="140"/>
      <c r="DW21" s="140"/>
      <c r="DX21" s="140"/>
    </row>
    <row r="22" spans="1:128" ht="13.8" thickBot="1" x14ac:dyDescent="0.3">
      <c r="A22" s="8" t="s">
        <v>40</v>
      </c>
      <c r="B22" s="134">
        <v>0</v>
      </c>
      <c r="C22" s="134">
        <v>0</v>
      </c>
      <c r="D22" s="134">
        <v>0</v>
      </c>
      <c r="E22" s="136">
        <v>0</v>
      </c>
      <c r="F22" s="135"/>
      <c r="G22" s="134">
        <v>0</v>
      </c>
      <c r="H22" s="134">
        <v>0</v>
      </c>
      <c r="I22" s="134">
        <v>0</v>
      </c>
      <c r="J22" s="136">
        <v>0</v>
      </c>
      <c r="K22" s="135"/>
      <c r="L22" s="134">
        <v>0</v>
      </c>
      <c r="M22" s="134">
        <v>0</v>
      </c>
      <c r="N22" s="134">
        <v>0</v>
      </c>
      <c r="O22" s="136">
        <v>0</v>
      </c>
      <c r="P22" s="135"/>
      <c r="Q22" s="134">
        <v>0</v>
      </c>
      <c r="R22" s="134">
        <v>0</v>
      </c>
      <c r="S22" s="134">
        <v>0</v>
      </c>
      <c r="T22" s="136">
        <v>0</v>
      </c>
      <c r="U22" s="135"/>
      <c r="V22" s="134">
        <v>0</v>
      </c>
      <c r="W22" s="134">
        <v>0</v>
      </c>
      <c r="X22" s="134">
        <v>0</v>
      </c>
      <c r="Y22" s="136">
        <v>0</v>
      </c>
      <c r="Z22" s="149"/>
      <c r="AA22" s="134">
        <v>0</v>
      </c>
      <c r="AB22" s="134">
        <v>0</v>
      </c>
      <c r="AC22" s="134">
        <v>0</v>
      </c>
      <c r="AD22" s="136">
        <v>0</v>
      </c>
      <c r="AE22" s="135"/>
      <c r="AF22" s="134">
        <v>0</v>
      </c>
      <c r="AG22" s="134">
        <v>0</v>
      </c>
      <c r="AH22" s="134">
        <v>0</v>
      </c>
      <c r="AI22" s="136">
        <v>0</v>
      </c>
      <c r="AJ22" s="135"/>
      <c r="AK22" s="134">
        <v>0</v>
      </c>
      <c r="AL22" s="134">
        <v>0</v>
      </c>
      <c r="AM22" s="134">
        <v>0</v>
      </c>
      <c r="AN22" s="136">
        <v>0</v>
      </c>
      <c r="AO22" s="135"/>
      <c r="AP22" s="134">
        <v>0</v>
      </c>
      <c r="AQ22" s="134">
        <v>0</v>
      </c>
      <c r="AR22" s="134">
        <v>0</v>
      </c>
      <c r="AS22" s="136">
        <v>0</v>
      </c>
      <c r="AT22" s="135"/>
      <c r="AU22" s="134">
        <v>0</v>
      </c>
      <c r="AV22" s="134">
        <v>0</v>
      </c>
      <c r="AW22" s="134">
        <v>0</v>
      </c>
      <c r="AX22" s="136">
        <v>0</v>
      </c>
      <c r="AY22" s="149"/>
      <c r="AZ22" s="134">
        <v>0</v>
      </c>
      <c r="BA22" s="134">
        <v>0</v>
      </c>
      <c r="BB22" s="134">
        <v>0</v>
      </c>
      <c r="BC22" s="136">
        <v>0</v>
      </c>
      <c r="BD22" s="149"/>
      <c r="BE22" s="134">
        <v>0</v>
      </c>
      <c r="BF22" s="134">
        <v>0</v>
      </c>
      <c r="BG22" s="134">
        <v>0</v>
      </c>
      <c r="BH22" s="136">
        <v>0</v>
      </c>
      <c r="BI22" s="137"/>
      <c r="BJ22" s="134">
        <v>0</v>
      </c>
      <c r="BK22" s="134">
        <v>0</v>
      </c>
      <c r="BL22" s="134">
        <v>0</v>
      </c>
      <c r="BM22" s="136">
        <v>0</v>
      </c>
      <c r="BN22" s="137"/>
      <c r="BO22" s="137"/>
      <c r="BP22" s="137"/>
      <c r="BQ22" s="137"/>
      <c r="BR22" s="137"/>
      <c r="BS22" s="137"/>
      <c r="BT22" s="137"/>
      <c r="BU22" s="137"/>
      <c r="BV22" s="137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</row>
    <row r="23" spans="1:128" ht="13.8" thickBot="1" x14ac:dyDescent="0.3">
      <c r="A23" s="8" t="s">
        <v>17</v>
      </c>
      <c r="B23" s="142">
        <v>52544.401999999995</v>
      </c>
      <c r="C23" s="142">
        <v>316269.03000000003</v>
      </c>
      <c r="D23" s="142">
        <v>3201</v>
      </c>
      <c r="E23" s="143">
        <v>249</v>
      </c>
      <c r="F23" s="144"/>
      <c r="G23" s="142">
        <v>40906.121999999996</v>
      </c>
      <c r="H23" s="142">
        <v>309106.49300000002</v>
      </c>
      <c r="I23" s="142">
        <v>2915</v>
      </c>
      <c r="J23" s="143">
        <v>356</v>
      </c>
      <c r="K23" s="144"/>
      <c r="L23" s="142">
        <v>39764.510999999999</v>
      </c>
      <c r="M23" s="142">
        <v>264285.951</v>
      </c>
      <c r="N23" s="142">
        <v>3316</v>
      </c>
      <c r="O23" s="143">
        <v>270</v>
      </c>
      <c r="P23" s="144"/>
      <c r="Q23" s="142">
        <v>29428.401000000002</v>
      </c>
      <c r="R23" s="142">
        <v>155164.83199999999</v>
      </c>
      <c r="S23" s="142">
        <v>2741</v>
      </c>
      <c r="T23" s="143">
        <v>615</v>
      </c>
      <c r="U23" s="135"/>
      <c r="V23" s="142">
        <v>43413.421000000002</v>
      </c>
      <c r="W23" s="142">
        <v>254352.35100000002</v>
      </c>
      <c r="X23" s="142">
        <v>5437</v>
      </c>
      <c r="Y23" s="143">
        <v>2261</v>
      </c>
      <c r="Z23" s="151"/>
      <c r="AA23" s="142">
        <v>38397.104999999996</v>
      </c>
      <c r="AB23" s="142">
        <v>317688.44799999997</v>
      </c>
      <c r="AC23" s="142">
        <v>6553</v>
      </c>
      <c r="AD23" s="143">
        <v>1887</v>
      </c>
      <c r="AE23" s="144"/>
      <c r="AF23" s="142">
        <v>39170.394</v>
      </c>
      <c r="AG23" s="142">
        <v>296244.86099999998</v>
      </c>
      <c r="AH23" s="142">
        <v>3981</v>
      </c>
      <c r="AI23" s="143">
        <v>1344</v>
      </c>
      <c r="AJ23" s="144"/>
      <c r="AK23" s="142">
        <v>45396.845000000001</v>
      </c>
      <c r="AL23" s="142">
        <v>334732.76800000004</v>
      </c>
      <c r="AM23" s="142">
        <v>5193</v>
      </c>
      <c r="AN23" s="143">
        <v>1814</v>
      </c>
      <c r="AO23" s="144"/>
      <c r="AP23" s="142">
        <v>44168.274999999994</v>
      </c>
      <c r="AQ23" s="142">
        <v>381894.13799999998</v>
      </c>
      <c r="AR23" s="142">
        <v>6167</v>
      </c>
      <c r="AS23" s="143">
        <v>2570</v>
      </c>
      <c r="AT23" s="135"/>
      <c r="AU23" s="142">
        <v>53837.991999999998</v>
      </c>
      <c r="AV23" s="142">
        <v>338140.81599999999</v>
      </c>
      <c r="AW23" s="142">
        <v>7237</v>
      </c>
      <c r="AX23" s="143">
        <v>3420</v>
      </c>
      <c r="AY23" s="151"/>
      <c r="AZ23" s="142">
        <v>68275.092999999993</v>
      </c>
      <c r="BA23" s="142">
        <v>329531.23600000003</v>
      </c>
      <c r="BB23" s="142">
        <v>5835</v>
      </c>
      <c r="BC23" s="143">
        <v>2827</v>
      </c>
      <c r="BD23" s="151"/>
      <c r="BE23" s="142">
        <v>45439.792000000001</v>
      </c>
      <c r="BF23" s="142">
        <v>304914.48799999995</v>
      </c>
      <c r="BG23" s="142">
        <v>5792</v>
      </c>
      <c r="BH23" s="143">
        <v>2705</v>
      </c>
      <c r="BI23" s="137"/>
      <c r="BJ23" s="142">
        <v>540742.35299999989</v>
      </c>
      <c r="BK23" s="142">
        <v>3602325.4120000005</v>
      </c>
      <c r="BL23" s="142">
        <v>58368</v>
      </c>
      <c r="BM23" s="143">
        <v>20318</v>
      </c>
      <c r="BN23" s="137"/>
      <c r="BO23" s="137"/>
      <c r="BP23" s="137"/>
      <c r="BQ23" s="137"/>
      <c r="BR23" s="137"/>
      <c r="BS23" s="137"/>
      <c r="BT23" s="137"/>
      <c r="BU23" s="137"/>
      <c r="BV23" s="137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0"/>
      <c r="DP23" s="140"/>
      <c r="DQ23" s="140"/>
      <c r="DR23" s="140"/>
      <c r="DS23" s="140"/>
      <c r="DT23" s="140"/>
      <c r="DU23" s="140"/>
      <c r="DV23" s="140"/>
      <c r="DW23" s="140"/>
      <c r="DX23" s="140"/>
    </row>
    <row r="24" spans="1:128" x14ac:dyDescent="0.25">
      <c r="V24" s="7"/>
      <c r="W24" s="7"/>
      <c r="X24" s="7"/>
      <c r="Y24" s="7"/>
    </row>
    <row r="26" spans="1:128" ht="15.6" x14ac:dyDescent="0.3">
      <c r="A26" s="155"/>
    </row>
  </sheetData>
  <phoneticPr fontId="0" type="noConversion"/>
  <pageMargins left="0.25" right="0.25" top="1" bottom="1" header="0.5" footer="0.5"/>
  <pageSetup scale="60" orientation="portrait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H24" sqref="H2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98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5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H4" sqref="H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 t="s">
        <v>41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57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3"/>
  <sheetViews>
    <sheetView topLeftCell="C7" zoomScaleNormal="100" zoomScaleSheetLayoutView="85" workbookViewId="0">
      <selection activeCell="L23" sqref="L23"/>
    </sheetView>
  </sheetViews>
  <sheetFormatPr defaultColWidth="9.109375" defaultRowHeight="13.2" x14ac:dyDescent="0.25"/>
  <cols>
    <col min="1" max="1" width="2.6640625" style="78" customWidth="1"/>
    <col min="2" max="2" width="51.33203125" style="78" customWidth="1"/>
    <col min="3" max="3" width="7.6640625" style="78" customWidth="1"/>
    <col min="4" max="4" width="13.88671875" style="78" bestFit="1" customWidth="1"/>
    <col min="5" max="5" width="9" style="78" customWidth="1"/>
    <col min="6" max="6" width="8.88671875" style="78" customWidth="1"/>
    <col min="7" max="15" width="9" style="78" customWidth="1"/>
    <col min="16" max="16" width="3.109375" style="78" customWidth="1"/>
    <col min="17" max="16384" width="9.109375" style="78"/>
  </cols>
  <sheetData>
    <row r="1" spans="2:15" x14ac:dyDescent="0.25">
      <c r="B1" s="79" t="s">
        <v>61</v>
      </c>
      <c r="C1" s="79"/>
      <c r="J1" s="80" t="str">
        <f ca="1">CELL("FILENAME",A1)</f>
        <v>O:\Fin_Ops\Finrpt\Global\Management Summaries\2001\4Q 2001\Radar Screens\[RADAR Screens-4Q 1123.xls]Funds Flow-Cap Employed</v>
      </c>
    </row>
    <row r="2" spans="2:15" x14ac:dyDescent="0.25">
      <c r="B2" s="79" t="s">
        <v>62</v>
      </c>
      <c r="C2" s="79"/>
      <c r="J2" s="81">
        <f ca="1">NOW()</f>
        <v>37221.333016550925</v>
      </c>
    </row>
    <row r="3" spans="2:15" x14ac:dyDescent="0.25">
      <c r="B3" s="79" t="s">
        <v>63</v>
      </c>
      <c r="C3" s="79"/>
      <c r="J3" s="82">
        <f ca="1">NOW()</f>
        <v>37221.333016550925</v>
      </c>
    </row>
    <row r="4" spans="2:15" x14ac:dyDescent="0.25">
      <c r="B4" s="129" t="s">
        <v>101</v>
      </c>
      <c r="C4" s="79"/>
    </row>
    <row r="5" spans="2:15" x14ac:dyDescent="0.25">
      <c r="B5" s="79" t="s">
        <v>64</v>
      </c>
      <c r="C5" s="79"/>
    </row>
    <row r="6" spans="2:15" ht="3.75" customHeight="1" thickBot="1" x14ac:dyDescent="0.3"/>
    <row r="7" spans="2:15" x14ac:dyDescent="0.25">
      <c r="B7" s="83" t="s">
        <v>65</v>
      </c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</row>
    <row r="8" spans="2:15" ht="4.5" customHeight="1" x14ac:dyDescent="0.25">
      <c r="B8" s="87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9"/>
    </row>
    <row r="9" spans="2:15" x14ac:dyDescent="0.25">
      <c r="B9" s="87"/>
      <c r="C9" s="88"/>
      <c r="D9" s="109" t="s">
        <v>60</v>
      </c>
      <c r="E9" s="109" t="s">
        <v>6</v>
      </c>
      <c r="F9" s="109" t="s">
        <v>7</v>
      </c>
      <c r="G9" s="109" t="s">
        <v>8</v>
      </c>
      <c r="H9" s="109" t="s">
        <v>9</v>
      </c>
      <c r="I9" s="109" t="s">
        <v>10</v>
      </c>
      <c r="J9" s="109" t="s">
        <v>11</v>
      </c>
      <c r="K9" s="109" t="s">
        <v>12</v>
      </c>
      <c r="L9" s="109" t="s">
        <v>66</v>
      </c>
      <c r="M9" s="109" t="s">
        <v>14</v>
      </c>
      <c r="N9" s="109" t="s">
        <v>15</v>
      </c>
      <c r="O9" s="110" t="s">
        <v>16</v>
      </c>
    </row>
    <row r="10" spans="2:15" x14ac:dyDescent="0.25">
      <c r="B10" s="87" t="s">
        <v>67</v>
      </c>
      <c r="C10" s="88"/>
      <c r="D10" s="90">
        <v>-149.726</v>
      </c>
      <c r="E10" s="90">
        <f>-143.867-D10</f>
        <v>5.8590000000000089</v>
      </c>
      <c r="F10" s="90">
        <v>-9.8000000000000007</v>
      </c>
      <c r="G10" s="90">
        <f>G11-F11</f>
        <v>4.0090000000000146</v>
      </c>
      <c r="H10" s="90">
        <v>-70.400000000000006</v>
      </c>
      <c r="I10" s="90">
        <v>-61.3</v>
      </c>
      <c r="J10" s="90">
        <v>-82.9</v>
      </c>
      <c r="K10" s="90">
        <f>+K11-J11</f>
        <v>19.04200000000003</v>
      </c>
      <c r="L10" s="90">
        <f>+L11-K11</f>
        <v>84.108000000000004</v>
      </c>
      <c r="M10" s="90">
        <v>0</v>
      </c>
      <c r="N10" s="90">
        <v>0</v>
      </c>
      <c r="O10" s="91">
        <v>0</v>
      </c>
    </row>
    <row r="11" spans="2:15" x14ac:dyDescent="0.25">
      <c r="B11" s="87" t="s">
        <v>68</v>
      </c>
      <c r="C11" s="88"/>
      <c r="D11" s="111">
        <f>SUM($C10:D10)</f>
        <v>-149.726</v>
      </c>
      <c r="E11" s="111">
        <f>SUM($C10:E10)</f>
        <v>-143.86699999999999</v>
      </c>
      <c r="F11" s="111">
        <f>SUM($C10:F10)</f>
        <v>-153.667</v>
      </c>
      <c r="G11" s="111">
        <v>-149.65799999999999</v>
      </c>
      <c r="H11" s="111">
        <v>-220.1</v>
      </c>
      <c r="I11" s="111">
        <v>-281.39999999999998</v>
      </c>
      <c r="J11" s="111">
        <v>-364.3</v>
      </c>
      <c r="K11" s="111">
        <v>-345.25799999999998</v>
      </c>
      <c r="L11" s="111">
        <v>-261.14999999999998</v>
      </c>
      <c r="M11" s="111">
        <v>0</v>
      </c>
      <c r="N11" s="111">
        <v>0</v>
      </c>
      <c r="O11" s="112">
        <v>0</v>
      </c>
    </row>
    <row r="12" spans="2:15" x14ac:dyDescent="0.25">
      <c r="B12" s="87" t="s">
        <v>69</v>
      </c>
      <c r="C12" s="88"/>
      <c r="D12" s="90">
        <v>0.7</v>
      </c>
      <c r="E12" s="90">
        <v>0.6</v>
      </c>
      <c r="F12" s="90">
        <v>9.4</v>
      </c>
      <c r="G12" s="90">
        <v>12.9</v>
      </c>
      <c r="H12" s="90">
        <v>-0.3</v>
      </c>
      <c r="I12" s="90">
        <v>8.4</v>
      </c>
      <c r="J12" s="90">
        <v>1.1000000000000001</v>
      </c>
      <c r="K12" s="90">
        <v>1</v>
      </c>
      <c r="L12" s="90">
        <v>17.3</v>
      </c>
      <c r="M12" s="90">
        <v>16.3</v>
      </c>
      <c r="N12" s="90">
        <v>4.4000000000000004</v>
      </c>
      <c r="O12" s="91">
        <v>78.2</v>
      </c>
    </row>
    <row r="13" spans="2:15" x14ac:dyDescent="0.25">
      <c r="B13" s="87" t="s">
        <v>70</v>
      </c>
      <c r="C13" s="88"/>
      <c r="D13" s="111">
        <f>SUM($C12:D12)</f>
        <v>0.7</v>
      </c>
      <c r="E13" s="111">
        <f>SUM($C12:E12)</f>
        <v>1.2999999999999998</v>
      </c>
      <c r="F13" s="111">
        <f>SUM($C12:F12)</f>
        <v>10.7</v>
      </c>
      <c r="G13" s="111">
        <f>SUM($C12:G12)</f>
        <v>23.6</v>
      </c>
      <c r="H13" s="111">
        <f>SUM($C12:H12)</f>
        <v>23.3</v>
      </c>
      <c r="I13" s="111">
        <f>SUM($C12:I12)</f>
        <v>31.700000000000003</v>
      </c>
      <c r="J13" s="111">
        <f>SUM($C12:J12)</f>
        <v>32.800000000000004</v>
      </c>
      <c r="K13" s="111">
        <f>SUM($C12:K12)</f>
        <v>33.800000000000004</v>
      </c>
      <c r="L13" s="111">
        <f>SUM($C12:L12)</f>
        <v>51.100000000000009</v>
      </c>
      <c r="M13" s="111">
        <f>SUM($C12:M12)</f>
        <v>67.400000000000006</v>
      </c>
      <c r="N13" s="111">
        <f>SUM($C12:N12)</f>
        <v>71.800000000000011</v>
      </c>
      <c r="O13" s="112">
        <f>SUM($C12:O12)</f>
        <v>150</v>
      </c>
    </row>
    <row r="14" spans="2:15" ht="3" customHeight="1" thickBot="1" x14ac:dyDescent="0.3">
      <c r="B14" s="92"/>
      <c r="C14" s="9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ht="3" customHeight="1" thickBot="1" x14ac:dyDescent="0.3">
      <c r="D15"/>
      <c r="E15"/>
      <c r="F15"/>
      <c r="G15"/>
      <c r="H15"/>
      <c r="I15"/>
      <c r="J15"/>
      <c r="K15"/>
      <c r="L15"/>
      <c r="M15"/>
      <c r="N15"/>
      <c r="O15"/>
    </row>
    <row r="16" spans="2:15" x14ac:dyDescent="0.25">
      <c r="B16" s="83" t="s">
        <v>71</v>
      </c>
      <c r="C16" s="84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6"/>
    </row>
    <row r="17" spans="2:15" ht="23.25" customHeight="1" x14ac:dyDescent="0.25">
      <c r="B17" s="87"/>
      <c r="C17" s="94">
        <v>1</v>
      </c>
      <c r="D17" s="117">
        <v>2</v>
      </c>
      <c r="E17" s="117">
        <v>3</v>
      </c>
      <c r="F17" s="117">
        <v>4</v>
      </c>
      <c r="G17" s="117">
        <v>5</v>
      </c>
      <c r="H17" s="117">
        <v>6</v>
      </c>
      <c r="I17" s="161">
        <v>7</v>
      </c>
      <c r="J17" s="117">
        <v>8</v>
      </c>
      <c r="K17" s="117">
        <v>9</v>
      </c>
      <c r="L17" s="161">
        <v>10</v>
      </c>
      <c r="M17" s="117">
        <v>11</v>
      </c>
      <c r="N17" s="117">
        <v>12</v>
      </c>
      <c r="O17" s="118">
        <v>13</v>
      </c>
    </row>
    <row r="18" spans="2:15" x14ac:dyDescent="0.25">
      <c r="B18" s="87"/>
      <c r="C18" s="95">
        <v>36861</v>
      </c>
      <c r="D18" s="109" t="s">
        <v>60</v>
      </c>
      <c r="E18" s="109" t="s">
        <v>6</v>
      </c>
      <c r="F18" s="109" t="s">
        <v>7</v>
      </c>
      <c r="G18" s="109" t="s">
        <v>8</v>
      </c>
      <c r="H18" s="109" t="s">
        <v>9</v>
      </c>
      <c r="I18" s="109" t="s">
        <v>10</v>
      </c>
      <c r="J18" s="109" t="s">
        <v>11</v>
      </c>
      <c r="K18" s="109" t="s">
        <v>12</v>
      </c>
      <c r="L18" s="109" t="s">
        <v>66</v>
      </c>
      <c r="M18" s="109" t="s">
        <v>14</v>
      </c>
      <c r="N18" s="109" t="s">
        <v>15</v>
      </c>
      <c r="O18" s="110" t="s">
        <v>16</v>
      </c>
    </row>
    <row r="19" spans="2:15" x14ac:dyDescent="0.25">
      <c r="B19" s="87" t="s">
        <v>72</v>
      </c>
      <c r="C19" s="125"/>
      <c r="D19" s="90">
        <v>-27.810244000000001</v>
      </c>
      <c r="E19" s="90">
        <v>-22.939139000000001</v>
      </c>
      <c r="F19" s="90">
        <v>26.415493000000001</v>
      </c>
      <c r="G19" s="90">
        <v>0</v>
      </c>
      <c r="H19" s="90">
        <v>0</v>
      </c>
      <c r="I19" s="90">
        <v>34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1">
        <v>0</v>
      </c>
    </row>
    <row r="20" spans="2:15" x14ac:dyDescent="0.25">
      <c r="B20" s="87" t="s">
        <v>73</v>
      </c>
      <c r="C20" s="125"/>
      <c r="D20" s="96">
        <f>D19*12</f>
        <v>-333.72292800000002</v>
      </c>
      <c r="E20" s="96">
        <f>E19*6</f>
        <v>-137.63483400000001</v>
      </c>
      <c r="F20" s="96">
        <f>F19*4</f>
        <v>105.66197200000001</v>
      </c>
      <c r="G20" s="96">
        <f>G19*3</f>
        <v>0</v>
      </c>
      <c r="H20" s="96">
        <f>H19/5*12</f>
        <v>0</v>
      </c>
      <c r="I20" s="96">
        <f>I19*2</f>
        <v>68</v>
      </c>
      <c r="J20" s="96">
        <f>J19/7*12</f>
        <v>0</v>
      </c>
      <c r="K20" s="96">
        <f>K19/8*12</f>
        <v>0</v>
      </c>
      <c r="L20" s="96">
        <f>L19/9*12</f>
        <v>0</v>
      </c>
      <c r="M20" s="96">
        <f>M19/10*12</f>
        <v>0</v>
      </c>
      <c r="N20" s="96">
        <f>N19/11*21</f>
        <v>0</v>
      </c>
      <c r="O20" s="97">
        <f>O19</f>
        <v>0</v>
      </c>
    </row>
    <row r="21" spans="2:15" x14ac:dyDescent="0.25">
      <c r="B21" s="87" t="s">
        <v>88</v>
      </c>
      <c r="C21" s="125"/>
      <c r="D21" s="90">
        <v>-27.810244000000001</v>
      </c>
      <c r="E21" s="90">
        <v>-22.939139000000001</v>
      </c>
      <c r="F21" s="90">
        <v>26.415493000000001</v>
      </c>
      <c r="G21" s="90"/>
      <c r="H21" s="90"/>
      <c r="I21" s="90">
        <v>27.2</v>
      </c>
      <c r="J21" s="90"/>
      <c r="K21" s="90"/>
      <c r="L21" s="90">
        <f>34.4-(51.1*0.65)</f>
        <v>1.1849999999999952</v>
      </c>
      <c r="M21" s="90"/>
      <c r="N21" s="90"/>
      <c r="O21" s="91"/>
    </row>
    <row r="22" spans="2:15" x14ac:dyDescent="0.25">
      <c r="B22" s="87" t="s">
        <v>89</v>
      </c>
      <c r="C22" s="125"/>
      <c r="D22" s="96">
        <f>D21*12</f>
        <v>-333.72292800000002</v>
      </c>
      <c r="E22" s="96">
        <f>E21*6</f>
        <v>-137.63483400000001</v>
      </c>
      <c r="F22" s="96">
        <f>F21*4</f>
        <v>105.66197200000001</v>
      </c>
      <c r="G22" s="96">
        <v>0</v>
      </c>
      <c r="H22" s="96">
        <v>0</v>
      </c>
      <c r="I22" s="96">
        <v>54.5</v>
      </c>
      <c r="J22" s="96">
        <v>0</v>
      </c>
      <c r="K22" s="96">
        <v>0</v>
      </c>
      <c r="L22" s="96">
        <v>0</v>
      </c>
      <c r="M22" s="96">
        <v>0</v>
      </c>
      <c r="N22" s="96">
        <v>0</v>
      </c>
      <c r="O22" s="97">
        <v>0</v>
      </c>
    </row>
    <row r="23" spans="2:15" x14ac:dyDescent="0.25">
      <c r="B23" s="87" t="s">
        <v>74</v>
      </c>
      <c r="C23" s="126"/>
      <c r="D23" s="90">
        <v>-28.158721</v>
      </c>
      <c r="E23" s="90">
        <v>-23.701180999999998</v>
      </c>
      <c r="F23" s="90">
        <f>F21+(0.65*2.498754)</f>
        <v>28.039683100000001</v>
      </c>
      <c r="G23" s="90">
        <v>0</v>
      </c>
      <c r="H23" s="90">
        <v>0</v>
      </c>
      <c r="I23" s="90">
        <v>35.6</v>
      </c>
      <c r="J23" s="90">
        <v>0</v>
      </c>
      <c r="K23" s="90">
        <v>0</v>
      </c>
      <c r="L23" s="90">
        <f>L21+(23*0.65)</f>
        <v>16.134999999999998</v>
      </c>
      <c r="M23" s="90">
        <v>0</v>
      </c>
      <c r="N23" s="90">
        <v>0</v>
      </c>
      <c r="O23" s="91">
        <v>0</v>
      </c>
    </row>
    <row r="24" spans="2:15" x14ac:dyDescent="0.25">
      <c r="B24" s="87" t="s">
        <v>75</v>
      </c>
      <c r="C24" s="126"/>
      <c r="D24" s="96">
        <f>D23*12</f>
        <v>-337.904652</v>
      </c>
      <c r="E24" s="96">
        <f>E23*6</f>
        <v>-142.207086</v>
      </c>
      <c r="F24" s="96">
        <f>F23*4</f>
        <v>112.15873240000001</v>
      </c>
      <c r="G24" s="96">
        <f>G23*3</f>
        <v>0</v>
      </c>
      <c r="H24" s="96">
        <f>H23/5*12</f>
        <v>0</v>
      </c>
      <c r="I24" s="96">
        <f>I23*2</f>
        <v>71.2</v>
      </c>
      <c r="J24" s="96">
        <f>J23/7*12</f>
        <v>0</v>
      </c>
      <c r="K24" s="96">
        <f>K23/8*12</f>
        <v>0</v>
      </c>
      <c r="L24" s="96">
        <f>L23/9*12</f>
        <v>21.513333333333332</v>
      </c>
      <c r="M24" s="96">
        <f>M23/10*12</f>
        <v>0</v>
      </c>
      <c r="N24" s="96">
        <f>N23/11*21</f>
        <v>0</v>
      </c>
      <c r="O24" s="97">
        <f>O23</f>
        <v>0</v>
      </c>
    </row>
    <row r="25" spans="2:15" x14ac:dyDescent="0.25">
      <c r="B25" s="87" t="s">
        <v>76</v>
      </c>
      <c r="C25"/>
      <c r="D25" s="90">
        <f>(1133565/1000)</f>
        <v>1133.5650000000001</v>
      </c>
      <c r="E25" s="90">
        <f>(687761/1000)</f>
        <v>687.76099999999997</v>
      </c>
      <c r="F25" s="90">
        <f>(985129)/1000</f>
        <v>985.12900000000002</v>
      </c>
      <c r="G25" s="90">
        <v>1094.5</v>
      </c>
      <c r="H25" s="90">
        <v>1180.6957379999999</v>
      </c>
      <c r="I25" s="90">
        <v>1251</v>
      </c>
      <c r="J25" s="90">
        <v>1094.2529999999999</v>
      </c>
      <c r="K25" s="90">
        <v>1116.799</v>
      </c>
      <c r="L25" s="90">
        <f>1164.947-51.5</f>
        <v>1113.4469999999999</v>
      </c>
      <c r="M25" s="90"/>
      <c r="N25" s="90"/>
      <c r="O25" s="91"/>
    </row>
    <row r="26" spans="2:15" x14ac:dyDescent="0.25">
      <c r="B26" s="87" t="s">
        <v>77</v>
      </c>
      <c r="C26"/>
      <c r="D26" s="111">
        <f>0.5*D$25</f>
        <v>566.78250000000003</v>
      </c>
      <c r="E26" s="111">
        <f t="shared" ref="E26:O28" si="0">0.5*E$25</f>
        <v>343.88049999999998</v>
      </c>
      <c r="F26" s="111">
        <f t="shared" si="0"/>
        <v>492.56450000000001</v>
      </c>
      <c r="G26" s="111">
        <f t="shared" si="0"/>
        <v>547.25</v>
      </c>
      <c r="H26" s="111">
        <f t="shared" si="0"/>
        <v>590.34786899999995</v>
      </c>
      <c r="I26" s="111">
        <f t="shared" si="0"/>
        <v>625.5</v>
      </c>
      <c r="J26" s="96">
        <f t="shared" si="0"/>
        <v>547.12649999999996</v>
      </c>
      <c r="K26" s="96">
        <f t="shared" si="0"/>
        <v>558.39949999999999</v>
      </c>
      <c r="L26" s="96">
        <f t="shared" si="0"/>
        <v>556.72349999999994</v>
      </c>
      <c r="M26" s="96">
        <f t="shared" si="0"/>
        <v>0</v>
      </c>
      <c r="N26" s="96">
        <f t="shared" si="0"/>
        <v>0</v>
      </c>
      <c r="O26" s="97">
        <f t="shared" si="0"/>
        <v>0</v>
      </c>
    </row>
    <row r="27" spans="2:15" x14ac:dyDescent="0.25">
      <c r="B27" s="87" t="s">
        <v>78</v>
      </c>
      <c r="C27"/>
      <c r="D27" s="111">
        <f>0.5*D$25</f>
        <v>566.78250000000003</v>
      </c>
      <c r="E27" s="111">
        <f t="shared" si="0"/>
        <v>343.88049999999998</v>
      </c>
      <c r="F27" s="111">
        <f t="shared" si="0"/>
        <v>492.56450000000001</v>
      </c>
      <c r="G27" s="111">
        <f t="shared" si="0"/>
        <v>547.25</v>
      </c>
      <c r="H27" s="111">
        <f t="shared" si="0"/>
        <v>590.34786899999995</v>
      </c>
      <c r="I27" s="111">
        <f t="shared" si="0"/>
        <v>625.5</v>
      </c>
      <c r="J27" s="96">
        <f t="shared" si="0"/>
        <v>547.12649999999996</v>
      </c>
      <c r="K27" s="96">
        <f t="shared" si="0"/>
        <v>558.39949999999999</v>
      </c>
      <c r="L27" s="96">
        <f t="shared" si="0"/>
        <v>556.72349999999994</v>
      </c>
      <c r="M27" s="96">
        <f t="shared" si="0"/>
        <v>0</v>
      </c>
      <c r="N27" s="96">
        <f t="shared" si="0"/>
        <v>0</v>
      </c>
      <c r="O27" s="97">
        <f t="shared" si="0"/>
        <v>0</v>
      </c>
    </row>
    <row r="28" spans="2:15" x14ac:dyDescent="0.25">
      <c r="B28" s="87" t="s">
        <v>79</v>
      </c>
      <c r="C28" s="127">
        <v>958</v>
      </c>
      <c r="D28" s="111">
        <f>SUM($C$28,$D25:D25)/D17</f>
        <v>1045.7825</v>
      </c>
      <c r="E28" s="111">
        <f>SUM($C$28,$D25:E25)/E17</f>
        <v>926.44200000000001</v>
      </c>
      <c r="F28" s="111">
        <f>SUM($C$28,$D25:F25)/F17</f>
        <v>941.11374999999998</v>
      </c>
      <c r="G28" s="111">
        <f>SUM($C$28,$D25:G25)/G17</f>
        <v>971.79099999999994</v>
      </c>
      <c r="H28" s="111">
        <f>SUM($C$28,$D25:H25)/H17</f>
        <v>1006.6084563333334</v>
      </c>
      <c r="I28" s="111">
        <f>SUM($C$28,$D25:I25)/I17</f>
        <v>1041.521534</v>
      </c>
      <c r="J28" s="96">
        <f t="shared" si="0"/>
        <v>547.12649999999996</v>
      </c>
      <c r="K28" s="96">
        <f t="shared" si="0"/>
        <v>558.39949999999999</v>
      </c>
      <c r="L28" s="111">
        <f>SUM($C$28,$D25:L25)/L17</f>
        <v>1061.5149738</v>
      </c>
      <c r="M28" s="96">
        <f t="shared" si="0"/>
        <v>0</v>
      </c>
      <c r="N28" s="96">
        <f t="shared" si="0"/>
        <v>0</v>
      </c>
      <c r="O28" s="97">
        <f t="shared" si="0"/>
        <v>0</v>
      </c>
    </row>
    <row r="29" spans="2:15" x14ac:dyDescent="0.25">
      <c r="B29" s="87" t="s">
        <v>80</v>
      </c>
      <c r="C29" s="126">
        <f>C28*0.5</f>
        <v>479</v>
      </c>
      <c r="D29" s="126">
        <f t="shared" ref="D29:O29" si="1">D28*0.5</f>
        <v>522.89125000000001</v>
      </c>
      <c r="E29" s="126">
        <f t="shared" si="1"/>
        <v>463.221</v>
      </c>
      <c r="F29" s="126">
        <f t="shared" si="1"/>
        <v>470.55687499999999</v>
      </c>
      <c r="G29" s="96">
        <f t="shared" si="1"/>
        <v>485.89549999999997</v>
      </c>
      <c r="H29" s="96">
        <f t="shared" si="1"/>
        <v>503.30422816666669</v>
      </c>
      <c r="I29" s="157">
        <f t="shared" si="1"/>
        <v>520.76076699999999</v>
      </c>
      <c r="J29" s="96">
        <f t="shared" si="1"/>
        <v>273.56324999999998</v>
      </c>
      <c r="K29" s="96">
        <f t="shared" si="1"/>
        <v>279.19974999999999</v>
      </c>
      <c r="L29" s="96">
        <f t="shared" si="1"/>
        <v>530.7574869</v>
      </c>
      <c r="M29" s="96">
        <f t="shared" si="1"/>
        <v>0</v>
      </c>
      <c r="N29" s="96">
        <f t="shared" si="1"/>
        <v>0</v>
      </c>
      <c r="O29" s="97">
        <f t="shared" si="1"/>
        <v>0</v>
      </c>
    </row>
    <row r="30" spans="2:15" x14ac:dyDescent="0.25">
      <c r="B30" s="87" t="s">
        <v>81</v>
      </c>
      <c r="C30" s="126"/>
      <c r="D30" s="90">
        <f>D25-281+37</f>
        <v>889.56500000000005</v>
      </c>
      <c r="E30" s="90">
        <f>E25-281+37</f>
        <v>443.76099999999997</v>
      </c>
      <c r="F30" s="90">
        <f>F25-281+37</f>
        <v>741.12900000000002</v>
      </c>
      <c r="G30" s="90">
        <v>850.5</v>
      </c>
      <c r="H30" s="90">
        <f>G30</f>
        <v>850.5</v>
      </c>
      <c r="I30" s="90">
        <f>H30</f>
        <v>850.5</v>
      </c>
      <c r="J30" s="90">
        <f t="shared" ref="J30:O31" si="2">I30</f>
        <v>850.5</v>
      </c>
      <c r="K30" s="90">
        <f t="shared" si="2"/>
        <v>850.5</v>
      </c>
      <c r="L30" s="90">
        <f t="shared" si="2"/>
        <v>850.5</v>
      </c>
      <c r="M30" s="90">
        <f t="shared" si="2"/>
        <v>850.5</v>
      </c>
      <c r="N30" s="90">
        <f t="shared" si="2"/>
        <v>850.5</v>
      </c>
      <c r="O30" s="91">
        <f t="shared" si="2"/>
        <v>850.5</v>
      </c>
    </row>
    <row r="31" spans="2:15" x14ac:dyDescent="0.25">
      <c r="B31" s="87" t="s">
        <v>82</v>
      </c>
      <c r="C31" s="111">
        <v>714</v>
      </c>
      <c r="D31" s="111">
        <f>SUM($C$31,$D30:D30)/D17</f>
        <v>801.78250000000003</v>
      </c>
      <c r="E31" s="111">
        <f>SUM($C$31,$D30:E30)/E17</f>
        <v>682.44200000000001</v>
      </c>
      <c r="F31" s="111">
        <f>SUM($C$31,$D30:F30)/F17</f>
        <v>697.11374999999998</v>
      </c>
      <c r="G31" s="111">
        <f>SUM($C$31,$D30:G30)/G17</f>
        <v>727.79099999999994</v>
      </c>
      <c r="H31" s="111">
        <f>SUM($C$31,$D30:H30)/H17</f>
        <v>748.24249999999995</v>
      </c>
      <c r="I31" s="111">
        <f>SUM($C$31,$D30:I30)/I17</f>
        <v>762.85071428571428</v>
      </c>
      <c r="J31" s="90">
        <f t="shared" si="2"/>
        <v>762.85071428571428</v>
      </c>
      <c r="K31" s="90">
        <f t="shared" si="2"/>
        <v>762.85071428571428</v>
      </c>
      <c r="L31" s="111">
        <f>SUM($C$31,$D30:L30)/L17</f>
        <v>789.14549999999997</v>
      </c>
      <c r="M31" s="90">
        <f t="shared" si="2"/>
        <v>789.14549999999997</v>
      </c>
      <c r="N31" s="90">
        <f t="shared" si="2"/>
        <v>789.14549999999997</v>
      </c>
      <c r="O31" s="91">
        <f t="shared" si="2"/>
        <v>789.14549999999997</v>
      </c>
    </row>
    <row r="32" spans="2:15" x14ac:dyDescent="0.25">
      <c r="B32" s="87"/>
      <c r="C32" s="126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2"/>
    </row>
    <row r="33" spans="2:15" x14ac:dyDescent="0.25">
      <c r="B33" s="87" t="s">
        <v>83</v>
      </c>
      <c r="C33" s="126"/>
      <c r="D33" s="119">
        <f>IF(D24=0,"-",D24/D28)</f>
        <v>-0.32311178662867279</v>
      </c>
      <c r="E33" s="119">
        <f>IF(E24=0,"-",E24/E28)</f>
        <v>-0.15349809917944135</v>
      </c>
      <c r="F33" s="119">
        <f>IF(F24=0,"-",F24/F28)</f>
        <v>0.11917659517778803</v>
      </c>
      <c r="G33" s="119" t="str">
        <f t="shared" ref="G33:N33" si="3">IF(G23=0,"-",G23/G31)</f>
        <v>-</v>
      </c>
      <c r="H33" s="119" t="str">
        <f t="shared" si="3"/>
        <v>-</v>
      </c>
      <c r="I33" s="119">
        <f>IF(I24=0,"-",I24/I28)</f>
        <v>6.8361524630752388E-2</v>
      </c>
      <c r="J33" s="119" t="str">
        <f t="shared" si="3"/>
        <v>-</v>
      </c>
      <c r="K33" s="119" t="str">
        <f t="shared" si="3"/>
        <v>-</v>
      </c>
      <c r="L33" s="119">
        <f>IF(L24=0,"-",L24/L28)</f>
        <v>2.0266631997022267E-2</v>
      </c>
      <c r="M33" s="119" t="str">
        <f t="shared" si="3"/>
        <v>-</v>
      </c>
      <c r="N33" s="119" t="str">
        <f t="shared" si="3"/>
        <v>-</v>
      </c>
      <c r="O33" s="120" t="str">
        <f>IF(O24=0,"-",O24/O31)</f>
        <v>-</v>
      </c>
    </row>
    <row r="34" spans="2:15" x14ac:dyDescent="0.25">
      <c r="B34" s="87" t="s">
        <v>84</v>
      </c>
      <c r="C34" s="126"/>
      <c r="D34" s="121">
        <f>$L$33</f>
        <v>2.0266631997022267E-2</v>
      </c>
      <c r="E34" s="121">
        <f t="shared" ref="E34:O34" si="4">$L$33</f>
        <v>2.0266631997022267E-2</v>
      </c>
      <c r="F34" s="121">
        <f t="shared" si="4"/>
        <v>2.0266631997022267E-2</v>
      </c>
      <c r="G34" s="121">
        <f t="shared" si="4"/>
        <v>2.0266631997022267E-2</v>
      </c>
      <c r="H34" s="121">
        <f t="shared" si="4"/>
        <v>2.0266631997022267E-2</v>
      </c>
      <c r="I34" s="121">
        <f t="shared" si="4"/>
        <v>2.0266631997022267E-2</v>
      </c>
      <c r="J34" s="121">
        <f t="shared" si="4"/>
        <v>2.0266631997022267E-2</v>
      </c>
      <c r="K34" s="121">
        <f t="shared" si="4"/>
        <v>2.0266631997022267E-2</v>
      </c>
      <c r="L34" s="121">
        <f t="shared" si="4"/>
        <v>2.0266631997022267E-2</v>
      </c>
      <c r="M34" s="121">
        <f t="shared" si="4"/>
        <v>2.0266631997022267E-2</v>
      </c>
      <c r="N34" s="121">
        <f t="shared" si="4"/>
        <v>2.0266631997022267E-2</v>
      </c>
      <c r="O34" s="162">
        <f t="shared" si="4"/>
        <v>2.0266631997022267E-2</v>
      </c>
    </row>
    <row r="35" spans="2:15" x14ac:dyDescent="0.25">
      <c r="B35" s="87"/>
      <c r="C35" s="126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2"/>
    </row>
    <row r="36" spans="2:15" x14ac:dyDescent="0.25">
      <c r="B36" s="87" t="s">
        <v>85</v>
      </c>
      <c r="C36" s="126"/>
      <c r="D36" s="119">
        <f>IF(D29=0,"-",D22/D29)</f>
        <v>-0.63822626215298117</v>
      </c>
      <c r="E36" s="119">
        <f>IF(E29=0,"-",E22/E29)</f>
        <v>-0.29712563549580007</v>
      </c>
      <c r="F36" s="119">
        <f>IF(F29=0,"-",F22/F29)</f>
        <v>0.22454665442939284</v>
      </c>
      <c r="G36" s="119">
        <f t="shared" ref="G36:O36" si="5">IF(G29=0,"-",G20/G29)</f>
        <v>0</v>
      </c>
      <c r="H36" s="119">
        <f t="shared" si="5"/>
        <v>0</v>
      </c>
      <c r="I36" s="119">
        <f>IF(I22=0,"-",I22/I29)</f>
        <v>0.10465458124651698</v>
      </c>
      <c r="J36" s="119">
        <f t="shared" si="5"/>
        <v>0</v>
      </c>
      <c r="K36" s="119">
        <f t="shared" si="5"/>
        <v>0</v>
      </c>
      <c r="L36" s="119">
        <f t="shared" si="5"/>
        <v>0</v>
      </c>
      <c r="M36" s="119" t="str">
        <f t="shared" si="5"/>
        <v>-</v>
      </c>
      <c r="N36" s="119" t="str">
        <f t="shared" si="5"/>
        <v>-</v>
      </c>
      <c r="O36" s="120" t="str">
        <f t="shared" si="5"/>
        <v>-</v>
      </c>
    </row>
    <row r="37" spans="2:15" ht="13.8" thickBot="1" x14ac:dyDescent="0.3">
      <c r="B37" s="92" t="s">
        <v>86</v>
      </c>
      <c r="C37" s="113"/>
      <c r="D37" s="123">
        <f>$I$36</f>
        <v>0.10465458124651698</v>
      </c>
      <c r="E37" s="123">
        <f t="shared" ref="E37:O37" si="6">$I$36</f>
        <v>0.10465458124651698</v>
      </c>
      <c r="F37" s="123">
        <f t="shared" si="6"/>
        <v>0.10465458124651698</v>
      </c>
      <c r="G37" s="123">
        <f t="shared" si="6"/>
        <v>0.10465458124651698</v>
      </c>
      <c r="H37" s="123">
        <f t="shared" si="6"/>
        <v>0.10465458124651698</v>
      </c>
      <c r="I37" s="123">
        <f t="shared" si="6"/>
        <v>0.10465458124651698</v>
      </c>
      <c r="J37" s="123">
        <f t="shared" si="6"/>
        <v>0.10465458124651698</v>
      </c>
      <c r="K37" s="123">
        <f t="shared" si="6"/>
        <v>0.10465458124651698</v>
      </c>
      <c r="L37" s="123">
        <f t="shared" si="6"/>
        <v>0.10465458124651698</v>
      </c>
      <c r="M37" s="123">
        <f t="shared" si="6"/>
        <v>0.10465458124651698</v>
      </c>
      <c r="N37" s="123">
        <f t="shared" si="6"/>
        <v>0.10465458124651698</v>
      </c>
      <c r="O37" s="124">
        <f t="shared" si="6"/>
        <v>0.10465458124651698</v>
      </c>
    </row>
    <row r="38" spans="2:15" ht="13.8" thickBot="1" x14ac:dyDescent="0.3"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2:15" x14ac:dyDescent="0.25">
      <c r="B39" s="83" t="s">
        <v>105</v>
      </c>
      <c r="C39" s="85"/>
      <c r="D39" s="177" t="s">
        <v>60</v>
      </c>
      <c r="E39" s="177" t="s">
        <v>6</v>
      </c>
      <c r="F39" s="177" t="s">
        <v>7</v>
      </c>
      <c r="G39" s="177" t="s">
        <v>8</v>
      </c>
      <c r="H39" s="177" t="s">
        <v>9</v>
      </c>
      <c r="I39" s="177" t="s">
        <v>10</v>
      </c>
      <c r="J39" s="177" t="s">
        <v>11</v>
      </c>
      <c r="K39" s="177" t="s">
        <v>12</v>
      </c>
      <c r="L39" s="177" t="s">
        <v>66</v>
      </c>
      <c r="M39" s="177" t="s">
        <v>14</v>
      </c>
      <c r="N39" s="177" t="s">
        <v>15</v>
      </c>
      <c r="O39" s="178" t="s">
        <v>16</v>
      </c>
    </row>
    <row r="40" spans="2:15" x14ac:dyDescent="0.25">
      <c r="B40" s="87" t="s">
        <v>67</v>
      </c>
      <c r="C40" s="88"/>
      <c r="D40" s="88">
        <f>304.6-300</f>
        <v>4.6000000000000227</v>
      </c>
      <c r="E40" s="88">
        <f>-111.7</f>
        <v>-111.7</v>
      </c>
      <c r="F40" s="88">
        <f>-351.2+300</f>
        <v>-51.199999999999989</v>
      </c>
      <c r="G40" s="88">
        <v>-48.2</v>
      </c>
      <c r="H40" s="88">
        <v>-113.3</v>
      </c>
      <c r="I40" s="88">
        <v>11.5</v>
      </c>
      <c r="J40" s="88">
        <v>104.3</v>
      </c>
      <c r="K40" s="88">
        <v>-49.5</v>
      </c>
      <c r="L40" s="88">
        <v>12.5</v>
      </c>
      <c r="M40" s="88"/>
      <c r="N40" s="88"/>
      <c r="O40" s="89"/>
    </row>
    <row r="41" spans="2:15" x14ac:dyDescent="0.25">
      <c r="B41" s="87" t="s">
        <v>68</v>
      </c>
      <c r="C41" s="88"/>
      <c r="D41" s="88">
        <f>+D40</f>
        <v>4.6000000000000227</v>
      </c>
      <c r="E41" s="88">
        <f>+D41+E40</f>
        <v>-107.09999999999998</v>
      </c>
      <c r="F41" s="88">
        <f t="shared" ref="F41:O41" si="7">+E41+F40</f>
        <v>-158.29999999999995</v>
      </c>
      <c r="G41" s="88">
        <f t="shared" si="7"/>
        <v>-206.49999999999994</v>
      </c>
      <c r="H41" s="88">
        <f t="shared" si="7"/>
        <v>-319.79999999999995</v>
      </c>
      <c r="I41" s="88">
        <f t="shared" si="7"/>
        <v>-308.29999999999995</v>
      </c>
      <c r="J41" s="88">
        <f t="shared" si="7"/>
        <v>-203.99999999999994</v>
      </c>
      <c r="K41" s="88">
        <f t="shared" si="7"/>
        <v>-253.49999999999994</v>
      </c>
      <c r="L41" s="88">
        <f t="shared" si="7"/>
        <v>-240.99999999999994</v>
      </c>
      <c r="M41" s="88">
        <f t="shared" si="7"/>
        <v>-240.99999999999994</v>
      </c>
      <c r="N41" s="88">
        <f t="shared" si="7"/>
        <v>-240.99999999999994</v>
      </c>
      <c r="O41" s="89">
        <f t="shared" si="7"/>
        <v>-240.99999999999994</v>
      </c>
    </row>
    <row r="42" spans="2:15" x14ac:dyDescent="0.25">
      <c r="B42" s="87" t="s">
        <v>69</v>
      </c>
      <c r="C42" s="88"/>
      <c r="D42" s="88">
        <v>0.5</v>
      </c>
      <c r="E42" s="88">
        <v>-12.7</v>
      </c>
      <c r="F42" s="88">
        <v>-20.100000000000001</v>
      </c>
      <c r="G42" s="88">
        <v>10.7</v>
      </c>
      <c r="H42" s="88">
        <v>-0.6</v>
      </c>
      <c r="I42" s="88">
        <v>10.8</v>
      </c>
      <c r="J42" s="88">
        <v>0.7</v>
      </c>
      <c r="K42" s="88">
        <v>0.7</v>
      </c>
      <c r="L42" s="88">
        <v>11.1</v>
      </c>
      <c r="M42" s="88">
        <v>15.9</v>
      </c>
      <c r="N42" s="88">
        <v>4</v>
      </c>
      <c r="O42" s="89">
        <v>37.6</v>
      </c>
    </row>
    <row r="43" spans="2:15" ht="13.8" thickBot="1" x14ac:dyDescent="0.3">
      <c r="B43" s="92" t="s">
        <v>70</v>
      </c>
      <c r="C43" s="93"/>
      <c r="D43" s="93">
        <f>+D42</f>
        <v>0.5</v>
      </c>
      <c r="E43" s="93">
        <f t="shared" ref="E43:O43" si="8">+D43+E42</f>
        <v>-12.2</v>
      </c>
      <c r="F43" s="93">
        <f t="shared" si="8"/>
        <v>-32.299999999999997</v>
      </c>
      <c r="G43" s="93">
        <f t="shared" si="8"/>
        <v>-21.599999999999998</v>
      </c>
      <c r="H43" s="93">
        <f t="shared" si="8"/>
        <v>-22.2</v>
      </c>
      <c r="I43" s="93">
        <f t="shared" si="8"/>
        <v>-11.399999999999999</v>
      </c>
      <c r="J43" s="93">
        <f t="shared" si="8"/>
        <v>-10.7</v>
      </c>
      <c r="K43" s="93">
        <f t="shared" si="8"/>
        <v>-10</v>
      </c>
      <c r="L43" s="93">
        <f t="shared" si="8"/>
        <v>1.0999999999999996</v>
      </c>
      <c r="M43" s="93">
        <f t="shared" si="8"/>
        <v>17</v>
      </c>
      <c r="N43" s="93">
        <f t="shared" si="8"/>
        <v>21</v>
      </c>
      <c r="O43" s="179">
        <f t="shared" si="8"/>
        <v>58.6</v>
      </c>
    </row>
  </sheetData>
  <phoneticPr fontId="20" type="noConversion"/>
  <pageMargins left="0.28000000000000003" right="0.28999999999999998" top="0.34" bottom="0.2" header="0.21" footer="0.16"/>
  <pageSetup scale="6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4"/>
  <sheetViews>
    <sheetView topLeftCell="B1" zoomScaleNormal="100" zoomScaleSheetLayoutView="85" workbookViewId="0">
      <pane xSplit="1" ySplit="6" topLeftCell="C7" activePane="bottomRight" state="frozen"/>
      <selection activeCell="B1" sqref="B1"/>
      <selection pane="topRight" activeCell="C1" sqref="C1"/>
      <selection pane="bottomLeft" activeCell="B7" sqref="B7"/>
      <selection pane="bottomRight" activeCell="H33" sqref="H33"/>
    </sheetView>
  </sheetViews>
  <sheetFormatPr defaultColWidth="9.109375" defaultRowHeight="13.2" x14ac:dyDescent="0.25"/>
  <cols>
    <col min="1" max="1" width="2.6640625" style="78" customWidth="1"/>
    <col min="2" max="2" width="40.6640625" style="78" customWidth="1"/>
    <col min="3" max="3" width="1.44140625" style="78" customWidth="1"/>
    <col min="4" max="4" width="13.88671875" style="78" bestFit="1" customWidth="1"/>
    <col min="5" max="5" width="9" style="78" customWidth="1"/>
    <col min="6" max="6" width="8.88671875" style="78" customWidth="1"/>
    <col min="7" max="15" width="9" style="78" customWidth="1"/>
    <col min="16" max="16" width="3.109375" style="78" customWidth="1"/>
    <col min="17" max="16384" width="9.109375" style="78"/>
  </cols>
  <sheetData>
    <row r="1" spans="2:15" x14ac:dyDescent="0.25">
      <c r="B1" s="79" t="s">
        <v>61</v>
      </c>
      <c r="C1" s="79"/>
      <c r="J1" s="80" t="str">
        <f ca="1">CELL("FILENAME",A1)</f>
        <v>O:\Fin_Ops\Finrpt\Global\Management Summaries\2001\4Q 2001\Radar Screens\[RADAR Screens-4Q 1123.xls]Cash Flow by Team</v>
      </c>
    </row>
    <row r="2" spans="2:15" x14ac:dyDescent="0.25">
      <c r="B2" s="79" t="s">
        <v>62</v>
      </c>
      <c r="C2" s="79"/>
      <c r="J2" s="81">
        <f ca="1">NOW()</f>
        <v>37221.333016550925</v>
      </c>
    </row>
    <row r="3" spans="2:15" x14ac:dyDescent="0.25">
      <c r="B3" s="79" t="s">
        <v>63</v>
      </c>
      <c r="C3" s="79"/>
      <c r="J3" s="82">
        <f ca="1">NOW()</f>
        <v>37221.333016550925</v>
      </c>
    </row>
    <row r="4" spans="2:15" x14ac:dyDescent="0.25">
      <c r="B4" s="129" t="s">
        <v>101</v>
      </c>
      <c r="C4" s="79"/>
    </row>
    <row r="5" spans="2:15" x14ac:dyDescent="0.25">
      <c r="B5" s="79" t="s">
        <v>64</v>
      </c>
      <c r="C5" s="79"/>
    </row>
    <row r="6" spans="2:15" ht="3.75" customHeight="1" thickBot="1" x14ac:dyDescent="0.3"/>
    <row r="7" spans="2:15" x14ac:dyDescent="0.25">
      <c r="B7" s="163" t="s">
        <v>34</v>
      </c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</row>
    <row r="8" spans="2:15" x14ac:dyDescent="0.25">
      <c r="B8" s="164" t="s">
        <v>65</v>
      </c>
      <c r="C8" s="88"/>
      <c r="D8" s="109" t="s">
        <v>60</v>
      </c>
      <c r="E8" s="109" t="s">
        <v>6</v>
      </c>
      <c r="F8" s="109" t="s">
        <v>7</v>
      </c>
      <c r="G8" s="109" t="s">
        <v>8</v>
      </c>
      <c r="H8" s="109" t="s">
        <v>9</v>
      </c>
      <c r="I8" s="109" t="s">
        <v>10</v>
      </c>
      <c r="J8" s="109" t="s">
        <v>11</v>
      </c>
      <c r="K8" s="109" t="s">
        <v>12</v>
      </c>
      <c r="L8" s="109" t="s">
        <v>66</v>
      </c>
      <c r="M8" s="109" t="s">
        <v>14</v>
      </c>
      <c r="N8" s="109" t="s">
        <v>15</v>
      </c>
      <c r="O8" s="110" t="s">
        <v>16</v>
      </c>
    </row>
    <row r="9" spans="2:15" x14ac:dyDescent="0.25">
      <c r="B9" s="87" t="s">
        <v>67</v>
      </c>
      <c r="C9" s="88"/>
      <c r="D9" s="90">
        <v>-52.095999999999997</v>
      </c>
      <c r="E9" s="90">
        <v>-22.103000000000002</v>
      </c>
      <c r="F9" s="90">
        <v>-77.444000000000003</v>
      </c>
      <c r="G9" s="90">
        <v>-0.44500000000000001</v>
      </c>
      <c r="H9" s="90">
        <v>35.423999999999999</v>
      </c>
      <c r="I9" s="90">
        <v>-66.617000000000004</v>
      </c>
      <c r="J9" s="90">
        <v>-21.798999999999999</v>
      </c>
      <c r="K9" s="90">
        <v>15.708</v>
      </c>
      <c r="L9" s="90">
        <v>-3.9060000000000001</v>
      </c>
      <c r="M9" s="90"/>
      <c r="N9" s="90"/>
      <c r="O9" s="91"/>
    </row>
    <row r="10" spans="2:15" x14ac:dyDescent="0.25">
      <c r="B10" s="87" t="s">
        <v>68</v>
      </c>
      <c r="C10" s="88"/>
      <c r="D10" s="165">
        <f>SUM($C9:D9)</f>
        <v>-52.095999999999997</v>
      </c>
      <c r="E10" s="165">
        <f>SUM($C9:E9)</f>
        <v>-74.198999999999998</v>
      </c>
      <c r="F10" s="165">
        <f>SUM($C9:F9)</f>
        <v>-151.643</v>
      </c>
      <c r="G10" s="165">
        <f>SUM($C9:G9)</f>
        <v>-152.08799999999999</v>
      </c>
      <c r="H10" s="165">
        <f>SUM($C9:H9)</f>
        <v>-116.66399999999999</v>
      </c>
      <c r="I10" s="165">
        <f>SUM($C9:I9)</f>
        <v>-183.28100000000001</v>
      </c>
      <c r="J10" s="165">
        <f>SUM($C9:J9)</f>
        <v>-205.08</v>
      </c>
      <c r="K10" s="165">
        <f>SUM($C9:K9)</f>
        <v>-189.37200000000001</v>
      </c>
      <c r="L10" s="165">
        <f>SUM($C9:L9)</f>
        <v>-193.27800000000002</v>
      </c>
      <c r="M10" s="165"/>
      <c r="N10" s="165"/>
      <c r="O10" s="166"/>
    </row>
    <row r="11" spans="2:15" x14ac:dyDescent="0.25">
      <c r="B11" s="87"/>
      <c r="C11" s="88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6"/>
    </row>
    <row r="12" spans="2:15" x14ac:dyDescent="0.25">
      <c r="B12" s="164" t="s">
        <v>105</v>
      </c>
      <c r="C12" s="88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6"/>
    </row>
    <row r="13" spans="2:15" x14ac:dyDescent="0.25">
      <c r="B13" s="87" t="s">
        <v>67</v>
      </c>
      <c r="C13" s="88"/>
      <c r="D13" s="90">
        <v>-95.409000000000006</v>
      </c>
      <c r="E13" s="90">
        <v>40.747999999999998</v>
      </c>
      <c r="F13" s="90">
        <v>-136.43799999999999</v>
      </c>
      <c r="G13" s="90">
        <v>23.298999999999999</v>
      </c>
      <c r="H13" s="90">
        <v>-37.631</v>
      </c>
      <c r="I13" s="90">
        <v>10.903</v>
      </c>
      <c r="J13" s="90">
        <v>-25.443000000000001</v>
      </c>
      <c r="K13" s="90">
        <v>-39.478000000000002</v>
      </c>
      <c r="L13" s="90">
        <v>19.797000000000001</v>
      </c>
      <c r="M13" s="90"/>
      <c r="N13" s="90"/>
      <c r="O13" s="91"/>
    </row>
    <row r="14" spans="2:15" ht="16.5" customHeight="1" x14ac:dyDescent="0.25">
      <c r="B14" s="87" t="s">
        <v>68</v>
      </c>
      <c r="C14" s="88"/>
      <c r="D14" s="165">
        <f>SUM($C13:D13)</f>
        <v>-95.409000000000006</v>
      </c>
      <c r="E14" s="165">
        <f>SUM($D13:E13)</f>
        <v>-54.661000000000008</v>
      </c>
      <c r="F14" s="165">
        <f>SUM($D13:F13)</f>
        <v>-191.09899999999999</v>
      </c>
      <c r="G14" s="165">
        <f>SUM($D13:G13)</f>
        <v>-167.79999999999998</v>
      </c>
      <c r="H14" s="165">
        <f>SUM($D13:H13)</f>
        <v>-205.43099999999998</v>
      </c>
      <c r="I14" s="165">
        <f>SUM($D13:I13)</f>
        <v>-194.52799999999999</v>
      </c>
      <c r="J14" s="165">
        <f>SUM($D13:J13)</f>
        <v>-219.971</v>
      </c>
      <c r="K14" s="165">
        <f>SUM($D13:K13)</f>
        <v>-259.44900000000001</v>
      </c>
      <c r="L14" s="165">
        <f>SUM($D13:L13)</f>
        <v>-239.65200000000002</v>
      </c>
      <c r="M14" s="165"/>
      <c r="N14" s="165"/>
      <c r="O14" s="166"/>
    </row>
    <row r="15" spans="2:15" s="167" customFormat="1" ht="13.8" thickBot="1" x14ac:dyDescent="0.3">
      <c r="B15" s="181"/>
      <c r="C15" s="182"/>
      <c r="D15" s="183"/>
      <c r="E15" s="183"/>
      <c r="F15" s="183"/>
      <c r="G15" s="183"/>
      <c r="H15" s="183"/>
      <c r="I15" s="184"/>
      <c r="J15" s="183"/>
      <c r="K15" s="183"/>
      <c r="L15" s="184"/>
      <c r="M15" s="183"/>
      <c r="N15" s="183"/>
      <c r="O15" s="185"/>
    </row>
    <row r="16" spans="2:15" s="167" customFormat="1" x14ac:dyDescent="0.25">
      <c r="B16" s="180" t="s">
        <v>108</v>
      </c>
      <c r="C16" s="169"/>
      <c r="D16" s="170"/>
      <c r="E16" s="170"/>
      <c r="F16" s="170"/>
      <c r="G16" s="170"/>
      <c r="H16" s="170"/>
      <c r="I16" s="133"/>
      <c r="J16" s="170"/>
      <c r="K16" s="170"/>
      <c r="L16" s="133"/>
      <c r="M16" s="170"/>
      <c r="N16" s="170"/>
      <c r="O16" s="171"/>
    </row>
    <row r="17" spans="2:15" s="167" customFormat="1" x14ac:dyDescent="0.25">
      <c r="B17" s="164" t="s">
        <v>65</v>
      </c>
      <c r="C17" s="169"/>
      <c r="D17" s="109" t="s">
        <v>60</v>
      </c>
      <c r="E17" s="109" t="s">
        <v>6</v>
      </c>
      <c r="F17" s="109" t="s">
        <v>7</v>
      </c>
      <c r="G17" s="109" t="s">
        <v>8</v>
      </c>
      <c r="H17" s="109" t="s">
        <v>9</v>
      </c>
      <c r="I17" s="109" t="s">
        <v>10</v>
      </c>
      <c r="J17" s="109" t="s">
        <v>11</v>
      </c>
      <c r="K17" s="109" t="s">
        <v>12</v>
      </c>
      <c r="L17" s="109" t="s">
        <v>66</v>
      </c>
      <c r="M17" s="109" t="s">
        <v>14</v>
      </c>
      <c r="N17" s="109" t="s">
        <v>15</v>
      </c>
      <c r="O17" s="110" t="s">
        <v>16</v>
      </c>
    </row>
    <row r="18" spans="2:15" s="167" customFormat="1" x14ac:dyDescent="0.25">
      <c r="B18" s="87" t="s">
        <v>67</v>
      </c>
      <c r="C18" s="169"/>
      <c r="D18" s="186">
        <f>+D27+D36+D45</f>
        <v>8.5660000000000007</v>
      </c>
      <c r="E18" s="186">
        <f t="shared" ref="E18:O18" si="0">+E27+E36+E45</f>
        <v>6.2629999999999999</v>
      </c>
      <c r="F18" s="186">
        <f t="shared" si="0"/>
        <v>38.098999999999997</v>
      </c>
      <c r="G18" s="186">
        <f t="shared" si="0"/>
        <v>-0.31099999999999994</v>
      </c>
      <c r="H18" s="186">
        <f t="shared" si="0"/>
        <v>-20.79</v>
      </c>
      <c r="I18" s="186">
        <f t="shared" si="0"/>
        <v>8.3219999999999992</v>
      </c>
      <c r="J18" s="186">
        <f t="shared" si="0"/>
        <v>-2.5449999999999999</v>
      </c>
      <c r="K18" s="186">
        <f t="shared" si="0"/>
        <v>12.832000000000001</v>
      </c>
      <c r="L18" s="186">
        <f t="shared" si="0"/>
        <v>-30.945</v>
      </c>
      <c r="M18" s="186">
        <f t="shared" si="0"/>
        <v>0</v>
      </c>
      <c r="N18" s="186">
        <f t="shared" si="0"/>
        <v>0</v>
      </c>
      <c r="O18" s="187">
        <f t="shared" si="0"/>
        <v>0</v>
      </c>
    </row>
    <row r="19" spans="2:15" s="167" customFormat="1" x14ac:dyDescent="0.25">
      <c r="B19" s="87" t="s">
        <v>68</v>
      </c>
      <c r="C19" s="169"/>
      <c r="D19" s="186">
        <f>+D28+D37+D46</f>
        <v>8.5660000000000007</v>
      </c>
      <c r="E19" s="186">
        <f t="shared" ref="E19:O19" si="1">+E28+E37+E46</f>
        <v>14.829000000000001</v>
      </c>
      <c r="F19" s="186">
        <f t="shared" si="1"/>
        <v>52.928000000000004</v>
      </c>
      <c r="G19" s="186">
        <f t="shared" si="1"/>
        <v>52.617000000000004</v>
      </c>
      <c r="H19" s="186">
        <f t="shared" si="1"/>
        <v>31.827000000000002</v>
      </c>
      <c r="I19" s="186">
        <f t="shared" si="1"/>
        <v>40.149000000000001</v>
      </c>
      <c r="J19" s="186">
        <f t="shared" si="1"/>
        <v>37.603999999999999</v>
      </c>
      <c r="K19" s="186">
        <f t="shared" si="1"/>
        <v>50.436</v>
      </c>
      <c r="L19" s="186">
        <f t="shared" si="1"/>
        <v>19.490999999999996</v>
      </c>
      <c r="M19" s="186">
        <f t="shared" si="1"/>
        <v>0</v>
      </c>
      <c r="N19" s="186">
        <f t="shared" si="1"/>
        <v>0</v>
      </c>
      <c r="O19" s="187">
        <f t="shared" si="1"/>
        <v>0</v>
      </c>
    </row>
    <row r="20" spans="2:15" s="167" customFormat="1" x14ac:dyDescent="0.25">
      <c r="B20" s="87"/>
      <c r="C20" s="169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1"/>
    </row>
    <row r="21" spans="2:15" s="167" customFormat="1" x14ac:dyDescent="0.25">
      <c r="B21" s="164" t="s">
        <v>105</v>
      </c>
      <c r="C21" s="169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1"/>
    </row>
    <row r="22" spans="2:15" s="167" customFormat="1" x14ac:dyDescent="0.25">
      <c r="B22" s="87" t="s">
        <v>67</v>
      </c>
      <c r="C22" s="169"/>
      <c r="D22" s="186">
        <f>+D31+D40+D49</f>
        <v>12.599</v>
      </c>
      <c r="E22" s="186">
        <f t="shared" ref="E22:O22" si="2">+E31+E40+E49</f>
        <v>-6.7300000000000013</v>
      </c>
      <c r="F22" s="186">
        <f t="shared" si="2"/>
        <v>-16.241</v>
      </c>
      <c r="G22" s="186">
        <f t="shared" si="2"/>
        <v>-31.310000000000002</v>
      </c>
      <c r="H22" s="186">
        <f t="shared" si="2"/>
        <v>-73.048000000000002</v>
      </c>
      <c r="I22" s="186">
        <f t="shared" si="2"/>
        <v>7.5369999999999999</v>
      </c>
      <c r="J22" s="186">
        <f t="shared" si="2"/>
        <v>2.3749999999999991</v>
      </c>
      <c r="K22" s="186">
        <f t="shared" si="2"/>
        <v>7.3559999999999999</v>
      </c>
      <c r="L22" s="186">
        <f t="shared" si="2"/>
        <v>-14.707000000000001</v>
      </c>
      <c r="M22" s="186">
        <f t="shared" si="2"/>
        <v>0</v>
      </c>
      <c r="N22" s="186">
        <f t="shared" si="2"/>
        <v>0</v>
      </c>
      <c r="O22" s="187">
        <f t="shared" si="2"/>
        <v>0</v>
      </c>
    </row>
    <row r="23" spans="2:15" s="167" customFormat="1" x14ac:dyDescent="0.25">
      <c r="B23" s="87" t="s">
        <v>68</v>
      </c>
      <c r="C23" s="169"/>
      <c r="D23" s="186">
        <f>+D32+D41+D50</f>
        <v>12.599</v>
      </c>
      <c r="E23" s="186">
        <f t="shared" ref="E23:O23" si="3">+E32+E41+E50</f>
        <v>5.8689999999999998</v>
      </c>
      <c r="F23" s="186">
        <f t="shared" si="3"/>
        <v>-10.372</v>
      </c>
      <c r="G23" s="186">
        <f t="shared" si="3"/>
        <v>-41.682000000000009</v>
      </c>
      <c r="H23" s="186">
        <f t="shared" si="3"/>
        <v>-114.73</v>
      </c>
      <c r="I23" s="186">
        <f t="shared" si="3"/>
        <v>-107.19300000000001</v>
      </c>
      <c r="J23" s="186">
        <f t="shared" si="3"/>
        <v>-104.81800000000001</v>
      </c>
      <c r="K23" s="186">
        <f t="shared" si="3"/>
        <v>-97.462000000000018</v>
      </c>
      <c r="L23" s="186">
        <f t="shared" si="3"/>
        <v>-112.169</v>
      </c>
      <c r="M23" s="186">
        <f t="shared" si="3"/>
        <v>0</v>
      </c>
      <c r="N23" s="186">
        <f t="shared" si="3"/>
        <v>0</v>
      </c>
      <c r="O23" s="187">
        <f t="shared" si="3"/>
        <v>0</v>
      </c>
    </row>
    <row r="24" spans="2:15" s="167" customFormat="1" ht="13.8" thickBot="1" x14ac:dyDescent="0.3">
      <c r="B24" s="168"/>
      <c r="C24" s="169"/>
      <c r="D24" s="170"/>
      <c r="E24" s="170"/>
      <c r="F24" s="170"/>
      <c r="G24" s="170"/>
      <c r="H24" s="170"/>
      <c r="I24" s="133"/>
      <c r="J24" s="170"/>
      <c r="K24" s="170"/>
      <c r="L24" s="133"/>
      <c r="M24" s="170"/>
      <c r="N24" s="170"/>
      <c r="O24" s="185"/>
    </row>
    <row r="25" spans="2:15" s="167" customFormat="1" x14ac:dyDescent="0.25">
      <c r="B25" s="172" t="s">
        <v>106</v>
      </c>
      <c r="C25" s="84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6"/>
    </row>
    <row r="26" spans="2:15" s="167" customFormat="1" x14ac:dyDescent="0.25">
      <c r="B26" s="164" t="s">
        <v>65</v>
      </c>
      <c r="C26" s="88"/>
      <c r="D26" s="109" t="s">
        <v>60</v>
      </c>
      <c r="E26" s="109" t="s">
        <v>6</v>
      </c>
      <c r="F26" s="109" t="s">
        <v>7</v>
      </c>
      <c r="G26" s="109" t="s">
        <v>8</v>
      </c>
      <c r="H26" s="109" t="s">
        <v>9</v>
      </c>
      <c r="I26" s="109" t="s">
        <v>10</v>
      </c>
      <c r="J26" s="109" t="s">
        <v>11</v>
      </c>
      <c r="K26" s="109" t="s">
        <v>12</v>
      </c>
      <c r="L26" s="109" t="s">
        <v>66</v>
      </c>
      <c r="M26" s="109" t="s">
        <v>14</v>
      </c>
      <c r="N26" s="109" t="s">
        <v>15</v>
      </c>
      <c r="O26" s="110" t="s">
        <v>16</v>
      </c>
    </row>
    <row r="27" spans="2:15" s="167" customFormat="1" x14ac:dyDescent="0.25">
      <c r="B27" s="87" t="s">
        <v>67</v>
      </c>
      <c r="C27" s="88"/>
      <c r="D27" s="90">
        <v>-4.2000000000000003E-2</v>
      </c>
      <c r="E27" s="90">
        <v>1.3759999999999999</v>
      </c>
      <c r="F27" s="90">
        <v>17.145</v>
      </c>
      <c r="G27" s="90">
        <v>-3.6869999999999998</v>
      </c>
      <c r="H27" s="90">
        <v>-0.85399999999999998</v>
      </c>
      <c r="I27" s="90">
        <v>-1.464</v>
      </c>
      <c r="J27" s="90">
        <v>-2.7829999999999999</v>
      </c>
      <c r="K27" s="90">
        <v>-8.8379999999999992</v>
      </c>
      <c r="L27" s="90">
        <v>-27.064</v>
      </c>
      <c r="M27" s="90"/>
      <c r="N27" s="90"/>
      <c r="O27" s="91"/>
    </row>
    <row r="28" spans="2:15" s="167" customFormat="1" x14ac:dyDescent="0.25">
      <c r="B28" s="87" t="s">
        <v>68</v>
      </c>
      <c r="C28" s="88"/>
      <c r="D28" s="165">
        <f>SUM($C27:D27)</f>
        <v>-4.2000000000000003E-2</v>
      </c>
      <c r="E28" s="165">
        <f>SUM($D27:E27)</f>
        <v>1.3339999999999999</v>
      </c>
      <c r="F28" s="165">
        <f>SUM($D27:F27)</f>
        <v>18.478999999999999</v>
      </c>
      <c r="G28" s="165">
        <f>SUM($D27:G27)</f>
        <v>14.792</v>
      </c>
      <c r="H28" s="165">
        <f>SUM($D27:H27)</f>
        <v>13.938000000000001</v>
      </c>
      <c r="I28" s="165">
        <f>SUM($D27:I27)</f>
        <v>12.474</v>
      </c>
      <c r="J28" s="165">
        <f>SUM($D27:J27)</f>
        <v>9.6910000000000007</v>
      </c>
      <c r="K28" s="165">
        <f>SUM($D27:K27)</f>
        <v>0.85300000000000153</v>
      </c>
      <c r="L28" s="165">
        <f>SUM($D27:L27)</f>
        <v>-26.210999999999999</v>
      </c>
      <c r="M28" s="165"/>
      <c r="N28" s="165"/>
      <c r="O28" s="166"/>
    </row>
    <row r="29" spans="2:15" s="167" customFormat="1" x14ac:dyDescent="0.25">
      <c r="B29" s="87"/>
      <c r="C29" s="88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6"/>
    </row>
    <row r="30" spans="2:15" s="167" customFormat="1" x14ac:dyDescent="0.25">
      <c r="B30" s="164" t="s">
        <v>105</v>
      </c>
      <c r="C30" s="88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6"/>
    </row>
    <row r="31" spans="2:15" s="167" customFormat="1" x14ac:dyDescent="0.25">
      <c r="B31" s="87" t="s">
        <v>67</v>
      </c>
      <c r="C31" s="88"/>
      <c r="D31" s="90">
        <v>0.27100000000000002</v>
      </c>
      <c r="E31" s="90">
        <v>10.625999999999999</v>
      </c>
      <c r="F31" s="90">
        <v>11.707000000000001</v>
      </c>
      <c r="G31" s="90">
        <v>-3.2160000000000002</v>
      </c>
      <c r="H31" s="90">
        <v>-52.593000000000004</v>
      </c>
      <c r="I31" s="90">
        <v>-1.4590000000000001</v>
      </c>
      <c r="J31" s="90">
        <v>-6.1820000000000004</v>
      </c>
      <c r="K31" s="90">
        <v>0.91700000000000004</v>
      </c>
      <c r="L31" s="90">
        <v>-26.452999999999999</v>
      </c>
      <c r="M31" s="90"/>
      <c r="N31" s="90"/>
      <c r="O31" s="91"/>
    </row>
    <row r="32" spans="2:15" s="167" customFormat="1" x14ac:dyDescent="0.25">
      <c r="B32" s="87" t="s">
        <v>68</v>
      </c>
      <c r="C32" s="88"/>
      <c r="D32" s="165">
        <f>SUM($C31:D31)</f>
        <v>0.27100000000000002</v>
      </c>
      <c r="E32" s="165">
        <f>SUM($D31:E31)</f>
        <v>10.897</v>
      </c>
      <c r="F32" s="165">
        <f>SUM($D31:F31)</f>
        <v>22.603999999999999</v>
      </c>
      <c r="G32" s="165">
        <f>SUM($D31:G31)</f>
        <v>19.387999999999998</v>
      </c>
      <c r="H32" s="165">
        <f>SUM($D31:H31)</f>
        <v>-33.205000000000005</v>
      </c>
      <c r="I32" s="165">
        <f>SUM($D31:I31)</f>
        <v>-34.664000000000009</v>
      </c>
      <c r="J32" s="165">
        <f>SUM($D31:J31)</f>
        <v>-40.846000000000011</v>
      </c>
      <c r="K32" s="165">
        <f>SUM($D31:K31)</f>
        <v>-39.929000000000009</v>
      </c>
      <c r="L32" s="165">
        <f>SUM($D31:L31)</f>
        <v>-66.382000000000005</v>
      </c>
      <c r="M32" s="165"/>
      <c r="N32" s="165"/>
      <c r="O32" s="166"/>
    </row>
    <row r="33" spans="2:15" s="167" customFormat="1" ht="13.8" thickBot="1" x14ac:dyDescent="0.3">
      <c r="B33" s="168"/>
      <c r="C33" s="108"/>
      <c r="D33" s="173"/>
      <c r="E33" s="173"/>
      <c r="F33" s="173"/>
      <c r="G33" s="173"/>
      <c r="H33" s="173"/>
      <c r="I33" s="173"/>
      <c r="J33" s="96"/>
      <c r="K33" s="96"/>
      <c r="L33" s="96"/>
      <c r="M33" s="96"/>
      <c r="N33" s="96"/>
      <c r="O33" s="97"/>
    </row>
    <row r="34" spans="2:15" s="167" customFormat="1" x14ac:dyDescent="0.25">
      <c r="B34" s="163" t="s">
        <v>107</v>
      </c>
      <c r="C34" s="84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6"/>
    </row>
    <row r="35" spans="2:15" s="167" customFormat="1" x14ac:dyDescent="0.25">
      <c r="B35" s="164" t="s">
        <v>65</v>
      </c>
      <c r="C35" s="88"/>
      <c r="D35" s="109" t="s">
        <v>60</v>
      </c>
      <c r="E35" s="109" t="s">
        <v>6</v>
      </c>
      <c r="F35" s="109" t="s">
        <v>7</v>
      </c>
      <c r="G35" s="109" t="s">
        <v>8</v>
      </c>
      <c r="H35" s="109" t="s">
        <v>9</v>
      </c>
      <c r="I35" s="109" t="s">
        <v>10</v>
      </c>
      <c r="J35" s="109" t="s">
        <v>11</v>
      </c>
      <c r="K35" s="109" t="s">
        <v>12</v>
      </c>
      <c r="L35" s="109" t="s">
        <v>66</v>
      </c>
      <c r="M35" s="109" t="s">
        <v>14</v>
      </c>
      <c r="N35" s="109" t="s">
        <v>15</v>
      </c>
      <c r="O35" s="110" t="s">
        <v>16</v>
      </c>
    </row>
    <row r="36" spans="2:15" s="167" customFormat="1" x14ac:dyDescent="0.25">
      <c r="B36" s="87" t="s">
        <v>67</v>
      </c>
      <c r="C36" s="88"/>
      <c r="D36" s="90">
        <v>-0.13500000000000001</v>
      </c>
      <c r="E36" s="90">
        <v>1.7569999999999999</v>
      </c>
      <c r="F36" s="90">
        <v>-1.278</v>
      </c>
      <c r="G36" s="90">
        <v>-2.2679999999999998</v>
      </c>
      <c r="H36" s="90">
        <v>-7.1360000000000001</v>
      </c>
      <c r="I36" s="90">
        <v>-0.89400000000000002</v>
      </c>
      <c r="J36" s="90">
        <v>-3.5409999999999999</v>
      </c>
      <c r="K36" s="90">
        <v>0.90900000000000003</v>
      </c>
      <c r="L36" s="90">
        <v>7.7460000000000004</v>
      </c>
      <c r="M36" s="90"/>
      <c r="N36" s="90"/>
      <c r="O36" s="91"/>
    </row>
    <row r="37" spans="2:15" s="167" customFormat="1" x14ac:dyDescent="0.25">
      <c r="B37" s="87" t="s">
        <v>68</v>
      </c>
      <c r="C37" s="88"/>
      <c r="D37" s="165">
        <f>SUM($C36:D36)</f>
        <v>-0.13500000000000001</v>
      </c>
      <c r="E37" s="165">
        <f>SUM($D36:E36)</f>
        <v>1.6219999999999999</v>
      </c>
      <c r="F37" s="165">
        <f>SUM($D36:F36)</f>
        <v>0.34399999999999986</v>
      </c>
      <c r="G37" s="165">
        <f>SUM($D36:G36)</f>
        <v>-1.9239999999999999</v>
      </c>
      <c r="H37" s="165">
        <f>SUM($D36:H36)</f>
        <v>-9.06</v>
      </c>
      <c r="I37" s="165">
        <f>SUM($D36:I36)</f>
        <v>-9.9540000000000006</v>
      </c>
      <c r="J37" s="165">
        <f>SUM($D36:J36)</f>
        <v>-13.495000000000001</v>
      </c>
      <c r="K37" s="165">
        <f>SUM($D36:K36)</f>
        <v>-12.586</v>
      </c>
      <c r="L37" s="165">
        <f>SUM($D36:L36)</f>
        <v>-4.84</v>
      </c>
      <c r="M37" s="165"/>
      <c r="N37" s="165"/>
      <c r="O37" s="166"/>
    </row>
    <row r="38" spans="2:15" s="167" customFormat="1" x14ac:dyDescent="0.25">
      <c r="B38" s="87"/>
      <c r="C38" s="88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6"/>
    </row>
    <row r="39" spans="2:15" s="167" customFormat="1" x14ac:dyDescent="0.25">
      <c r="B39" s="164" t="s">
        <v>105</v>
      </c>
      <c r="C39" s="88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6"/>
    </row>
    <row r="40" spans="2:15" s="167" customFormat="1" x14ac:dyDescent="0.25">
      <c r="B40" s="87" t="s">
        <v>67</v>
      </c>
      <c r="C40" s="88"/>
      <c r="D40" s="90">
        <v>9.0069999999999997</v>
      </c>
      <c r="E40" s="90">
        <v>-16.797000000000001</v>
      </c>
      <c r="F40" s="90">
        <v>2.61</v>
      </c>
      <c r="G40" s="90">
        <v>-0.26700000000000002</v>
      </c>
      <c r="H40" s="90">
        <v>-12.682</v>
      </c>
      <c r="I40" s="90">
        <v>1.177</v>
      </c>
      <c r="J40" s="90">
        <v>3.5209999999999999</v>
      </c>
      <c r="K40" s="90">
        <v>2.4870000000000001</v>
      </c>
      <c r="L40" s="90">
        <v>10.468999999999999</v>
      </c>
      <c r="M40" s="90"/>
      <c r="N40" s="90"/>
      <c r="O40" s="91"/>
    </row>
    <row r="41" spans="2:15" s="167" customFormat="1" x14ac:dyDescent="0.25">
      <c r="B41" s="87" t="s">
        <v>68</v>
      </c>
      <c r="C41" s="88"/>
      <c r="D41" s="165">
        <f>SUM($C40:D40)</f>
        <v>9.0069999999999997</v>
      </c>
      <c r="E41" s="165">
        <f>SUM($D40:E40)</f>
        <v>-7.7900000000000009</v>
      </c>
      <c r="F41" s="165">
        <f>SUM($D40:F40)</f>
        <v>-5.1800000000000015</v>
      </c>
      <c r="G41" s="165">
        <f>SUM($D40:G40)</f>
        <v>-5.4470000000000018</v>
      </c>
      <c r="H41" s="165">
        <f>SUM($D40:H40)</f>
        <v>-18.129000000000001</v>
      </c>
      <c r="I41" s="165">
        <f>SUM($D40:I40)</f>
        <v>-16.952000000000002</v>
      </c>
      <c r="J41" s="165">
        <f>SUM($D40:J40)</f>
        <v>-13.431000000000001</v>
      </c>
      <c r="K41" s="165">
        <f>SUM($D40:K40)</f>
        <v>-10.944000000000001</v>
      </c>
      <c r="L41" s="165">
        <f>SUM($D40:L40)</f>
        <v>-0.47500000000000142</v>
      </c>
      <c r="M41" s="165"/>
      <c r="N41" s="165"/>
      <c r="O41" s="166"/>
    </row>
    <row r="42" spans="2:15" s="167" customFormat="1" ht="13.8" thickBot="1" x14ac:dyDescent="0.3">
      <c r="B42" s="168"/>
      <c r="C42" s="108"/>
      <c r="D42" s="173"/>
      <c r="E42" s="173"/>
      <c r="F42" s="173"/>
      <c r="G42" s="173"/>
      <c r="H42" s="173"/>
      <c r="I42" s="173"/>
      <c r="J42" s="96"/>
      <c r="K42" s="96"/>
      <c r="L42" s="96"/>
      <c r="M42" s="96"/>
      <c r="N42" s="96"/>
      <c r="O42" s="97"/>
    </row>
    <row r="43" spans="2:15" s="167" customFormat="1" x14ac:dyDescent="0.25">
      <c r="B43" s="172" t="s">
        <v>44</v>
      </c>
      <c r="C43" s="84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6"/>
    </row>
    <row r="44" spans="2:15" s="167" customFormat="1" x14ac:dyDescent="0.25">
      <c r="B44" s="164" t="s">
        <v>65</v>
      </c>
      <c r="C44" s="88"/>
      <c r="D44" s="109" t="s">
        <v>60</v>
      </c>
      <c r="E44" s="109" t="s">
        <v>6</v>
      </c>
      <c r="F44" s="109" t="s">
        <v>7</v>
      </c>
      <c r="G44" s="109" t="s">
        <v>8</v>
      </c>
      <c r="H44" s="109" t="s">
        <v>9</v>
      </c>
      <c r="I44" s="109" t="s">
        <v>10</v>
      </c>
      <c r="J44" s="109" t="s">
        <v>11</v>
      </c>
      <c r="K44" s="109" t="s">
        <v>12</v>
      </c>
      <c r="L44" s="109" t="s">
        <v>66</v>
      </c>
      <c r="M44" s="109" t="s">
        <v>14</v>
      </c>
      <c r="N44" s="109" t="s">
        <v>15</v>
      </c>
      <c r="O44" s="110" t="s">
        <v>16</v>
      </c>
    </row>
    <row r="45" spans="2:15" s="167" customFormat="1" x14ac:dyDescent="0.25">
      <c r="B45" s="87" t="s">
        <v>67</v>
      </c>
      <c r="C45" s="88"/>
      <c r="D45" s="90">
        <v>8.7430000000000003</v>
      </c>
      <c r="E45" s="90">
        <v>3.13</v>
      </c>
      <c r="F45" s="90">
        <v>22.231999999999999</v>
      </c>
      <c r="G45" s="90">
        <v>5.6440000000000001</v>
      </c>
      <c r="H45" s="90">
        <v>-12.8</v>
      </c>
      <c r="I45" s="90">
        <v>10.68</v>
      </c>
      <c r="J45" s="90">
        <v>3.7789999999999999</v>
      </c>
      <c r="K45" s="90">
        <v>20.760999999999999</v>
      </c>
      <c r="L45" s="90">
        <v>-11.627000000000001</v>
      </c>
      <c r="M45" s="90"/>
      <c r="N45" s="90"/>
      <c r="O45" s="91"/>
    </row>
    <row r="46" spans="2:15" s="167" customFormat="1" x14ac:dyDescent="0.25">
      <c r="B46" s="87" t="s">
        <v>68</v>
      </c>
      <c r="C46" s="88"/>
      <c r="D46" s="165">
        <f>SUM($C45:D45)</f>
        <v>8.7430000000000003</v>
      </c>
      <c r="E46" s="165">
        <f>SUM($D45:E45)</f>
        <v>11.873000000000001</v>
      </c>
      <c r="F46" s="165">
        <f>SUM($D45:F45)</f>
        <v>34.105000000000004</v>
      </c>
      <c r="G46" s="165">
        <f>SUM($D45:G45)</f>
        <v>39.749000000000002</v>
      </c>
      <c r="H46" s="165">
        <f>SUM($D45:H45)</f>
        <v>26.949000000000002</v>
      </c>
      <c r="I46" s="165">
        <f>SUM($D45:I45)</f>
        <v>37.629000000000005</v>
      </c>
      <c r="J46" s="165">
        <f>SUM($D45:J45)</f>
        <v>41.408000000000001</v>
      </c>
      <c r="K46" s="165">
        <f>SUM($D45:K45)</f>
        <v>62.168999999999997</v>
      </c>
      <c r="L46" s="165">
        <f>SUM($D45:L45)</f>
        <v>50.541999999999994</v>
      </c>
      <c r="M46" s="165"/>
      <c r="N46" s="165"/>
      <c r="O46" s="166"/>
    </row>
    <row r="47" spans="2:15" s="167" customFormat="1" x14ac:dyDescent="0.25">
      <c r="B47" s="87"/>
      <c r="C47" s="88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6"/>
    </row>
    <row r="48" spans="2:15" s="167" customFormat="1" x14ac:dyDescent="0.25">
      <c r="B48" s="164" t="s">
        <v>105</v>
      </c>
      <c r="C48" s="88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6"/>
    </row>
    <row r="49" spans="2:15" s="167" customFormat="1" x14ac:dyDescent="0.25">
      <c r="B49" s="87" t="s">
        <v>67</v>
      </c>
      <c r="C49" s="88"/>
      <c r="D49" s="90">
        <v>3.3210000000000002</v>
      </c>
      <c r="E49" s="90">
        <v>-0.55900000000000005</v>
      </c>
      <c r="F49" s="90">
        <v>-30.558</v>
      </c>
      <c r="G49" s="90">
        <v>-27.827000000000002</v>
      </c>
      <c r="H49" s="90">
        <v>-7.7729999999999997</v>
      </c>
      <c r="I49" s="90">
        <v>7.819</v>
      </c>
      <c r="J49" s="90">
        <v>5.0359999999999996</v>
      </c>
      <c r="K49" s="90">
        <v>3.952</v>
      </c>
      <c r="L49" s="90">
        <v>1.2769999999999999</v>
      </c>
      <c r="M49" s="90"/>
      <c r="N49" s="90"/>
      <c r="O49" s="91"/>
    </row>
    <row r="50" spans="2:15" s="167" customFormat="1" x14ac:dyDescent="0.25">
      <c r="B50" s="87" t="s">
        <v>68</v>
      </c>
      <c r="C50" s="88"/>
      <c r="D50" s="165">
        <f>SUM($C49:D49)</f>
        <v>3.3210000000000002</v>
      </c>
      <c r="E50" s="165">
        <f>SUM($D49:E49)</f>
        <v>2.762</v>
      </c>
      <c r="F50" s="165">
        <f>SUM($D49:F49)</f>
        <v>-27.795999999999999</v>
      </c>
      <c r="G50" s="165">
        <f>SUM($D49:G49)</f>
        <v>-55.623000000000005</v>
      </c>
      <c r="H50" s="165">
        <f>SUM($D49:H49)</f>
        <v>-63.396000000000001</v>
      </c>
      <c r="I50" s="165">
        <f>SUM($D49:I49)</f>
        <v>-55.576999999999998</v>
      </c>
      <c r="J50" s="165">
        <f>SUM($D49:J49)</f>
        <v>-50.540999999999997</v>
      </c>
      <c r="K50" s="165">
        <f>SUM($D49:K49)</f>
        <v>-46.588999999999999</v>
      </c>
      <c r="L50" s="165">
        <f>SUM($D49:L49)</f>
        <v>-45.311999999999998</v>
      </c>
      <c r="M50" s="165"/>
      <c r="N50" s="165"/>
      <c r="O50" s="166"/>
    </row>
    <row r="51" spans="2:15" s="167" customFormat="1" ht="13.8" thickBot="1" x14ac:dyDescent="0.3">
      <c r="B51" s="168"/>
      <c r="C51" s="108"/>
      <c r="D51" s="173"/>
      <c r="E51" s="173"/>
      <c r="F51" s="173"/>
      <c r="G51" s="173"/>
      <c r="H51" s="173"/>
      <c r="I51" s="173"/>
      <c r="J51" s="96"/>
      <c r="K51" s="96"/>
      <c r="L51" s="96"/>
      <c r="M51" s="96"/>
      <c r="N51" s="96"/>
      <c r="O51" s="97"/>
    </row>
    <row r="52" spans="2:15" s="167" customFormat="1" x14ac:dyDescent="0.25">
      <c r="B52" s="172" t="s">
        <v>0</v>
      </c>
      <c r="C52" s="84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6"/>
    </row>
    <row r="53" spans="2:15" s="167" customFormat="1" x14ac:dyDescent="0.25">
      <c r="B53" s="164" t="s">
        <v>65</v>
      </c>
      <c r="C53" s="88"/>
      <c r="D53" s="109" t="s">
        <v>60</v>
      </c>
      <c r="E53" s="109" t="s">
        <v>6</v>
      </c>
      <c r="F53" s="109" t="s">
        <v>7</v>
      </c>
      <c r="G53" s="109" t="s">
        <v>8</v>
      </c>
      <c r="H53" s="109" t="s">
        <v>9</v>
      </c>
      <c r="I53" s="109" t="s">
        <v>10</v>
      </c>
      <c r="J53" s="109" t="s">
        <v>11</v>
      </c>
      <c r="K53" s="109" t="s">
        <v>12</v>
      </c>
      <c r="L53" s="109" t="s">
        <v>66</v>
      </c>
      <c r="M53" s="109" t="s">
        <v>14</v>
      </c>
      <c r="N53" s="109" t="s">
        <v>15</v>
      </c>
      <c r="O53" s="110" t="s">
        <v>16</v>
      </c>
    </row>
    <row r="54" spans="2:15" s="167" customFormat="1" x14ac:dyDescent="0.25">
      <c r="B54" s="87" t="s">
        <v>67</v>
      </c>
      <c r="C54" s="88"/>
      <c r="D54" s="90">
        <v>-18.495999999999999</v>
      </c>
      <c r="E54" s="90">
        <v>-30.257999999999999</v>
      </c>
      <c r="F54" s="90">
        <v>19.824999999999999</v>
      </c>
      <c r="G54" s="90">
        <v>-1.018</v>
      </c>
      <c r="H54" s="90">
        <v>0.28399999999999997</v>
      </c>
      <c r="I54" s="90">
        <v>-12.212</v>
      </c>
      <c r="J54" s="90">
        <v>-7.532</v>
      </c>
      <c r="K54" s="90">
        <v>-3.2250000000000001</v>
      </c>
      <c r="L54" s="90">
        <v>15.262</v>
      </c>
      <c r="M54" s="90"/>
      <c r="N54" s="90"/>
      <c r="O54" s="91"/>
    </row>
    <row r="55" spans="2:15" s="167" customFormat="1" x14ac:dyDescent="0.25">
      <c r="B55" s="87" t="s">
        <v>68</v>
      </c>
      <c r="C55" s="88"/>
      <c r="D55" s="165">
        <f>SUM($C54:D54)</f>
        <v>-18.495999999999999</v>
      </c>
      <c r="E55" s="165">
        <f>SUM($D54:E54)</f>
        <v>-48.753999999999998</v>
      </c>
      <c r="F55" s="165">
        <f>SUM($D54:F54)</f>
        <v>-28.928999999999998</v>
      </c>
      <c r="G55" s="165">
        <f>SUM($D54:G54)</f>
        <v>-29.946999999999999</v>
      </c>
      <c r="H55" s="165">
        <f>SUM($D54:H54)</f>
        <v>-29.663</v>
      </c>
      <c r="I55" s="165">
        <f>SUM($D54:I54)</f>
        <v>-41.875</v>
      </c>
      <c r="J55" s="165">
        <f>SUM($D54:J54)</f>
        <v>-49.406999999999996</v>
      </c>
      <c r="K55" s="165">
        <f>SUM($D54:K54)</f>
        <v>-52.631999999999998</v>
      </c>
      <c r="L55" s="165">
        <f>SUM($D54:L54)</f>
        <v>-37.369999999999997</v>
      </c>
      <c r="M55" s="165">
        <v>0</v>
      </c>
      <c r="N55" s="165">
        <v>0</v>
      </c>
      <c r="O55" s="166">
        <v>0</v>
      </c>
    </row>
    <row r="56" spans="2:15" s="167" customFormat="1" x14ac:dyDescent="0.25">
      <c r="B56" s="87"/>
      <c r="C56" s="88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6"/>
    </row>
    <row r="57" spans="2:15" s="167" customFormat="1" x14ac:dyDescent="0.25">
      <c r="B57" s="164" t="s">
        <v>105</v>
      </c>
      <c r="C57" s="88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6"/>
    </row>
    <row r="58" spans="2:15" s="167" customFormat="1" x14ac:dyDescent="0.25">
      <c r="B58" s="87" t="s">
        <v>67</v>
      </c>
      <c r="C58" s="88"/>
      <c r="D58" s="90">
        <v>-18.495999999999999</v>
      </c>
      <c r="E58" s="90">
        <v>-30.257999999999999</v>
      </c>
      <c r="F58" s="90">
        <v>19.824999999999999</v>
      </c>
      <c r="G58" s="90">
        <v>-1.018</v>
      </c>
      <c r="H58" s="90">
        <v>0.28399999999999997</v>
      </c>
      <c r="I58" s="90">
        <v>-12.212</v>
      </c>
      <c r="J58" s="90">
        <v>-7.532</v>
      </c>
      <c r="K58" s="90">
        <v>-3.2250000000000001</v>
      </c>
      <c r="L58" s="90">
        <v>15.262</v>
      </c>
      <c r="M58" s="90"/>
      <c r="N58" s="90"/>
      <c r="O58" s="91"/>
    </row>
    <row r="59" spans="2:15" s="167" customFormat="1" x14ac:dyDescent="0.25">
      <c r="B59" s="87" t="s">
        <v>68</v>
      </c>
      <c r="C59" s="88"/>
      <c r="D59" s="165">
        <f>SUM($C58:D58)</f>
        <v>-18.495999999999999</v>
      </c>
      <c r="E59" s="165">
        <f>SUM($D58:E58)</f>
        <v>-48.753999999999998</v>
      </c>
      <c r="F59" s="165">
        <f>SUM($D58:F58)</f>
        <v>-28.928999999999998</v>
      </c>
      <c r="G59" s="165">
        <f>SUM($D58:G58)</f>
        <v>-29.946999999999999</v>
      </c>
      <c r="H59" s="165">
        <f>SUM($D58:H58)</f>
        <v>-29.663</v>
      </c>
      <c r="I59" s="165">
        <f>SUM($D58:I58)</f>
        <v>-41.875</v>
      </c>
      <c r="J59" s="165">
        <f>SUM($D58:J58)</f>
        <v>-49.406999999999996</v>
      </c>
      <c r="K59" s="165">
        <f>SUM($D58:K58)</f>
        <v>-52.631999999999998</v>
      </c>
      <c r="L59" s="165">
        <f>SUM($D58:L58)</f>
        <v>-37.369999999999997</v>
      </c>
      <c r="M59" s="165"/>
      <c r="N59" s="165"/>
      <c r="O59" s="166"/>
    </row>
    <row r="60" spans="2:15" s="167" customFormat="1" ht="13.8" thickBot="1" x14ac:dyDescent="0.3">
      <c r="B60" s="168"/>
      <c r="C60" s="174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6"/>
    </row>
    <row r="61" spans="2:15" s="167" customFormat="1" x14ac:dyDescent="0.25">
      <c r="B61" s="163" t="s">
        <v>104</v>
      </c>
      <c r="C61" s="84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6"/>
    </row>
    <row r="62" spans="2:15" s="167" customFormat="1" x14ac:dyDescent="0.25">
      <c r="B62" s="164" t="s">
        <v>65</v>
      </c>
      <c r="C62" s="88"/>
      <c r="D62" s="109" t="s">
        <v>60</v>
      </c>
      <c r="E62" s="109" t="s">
        <v>6</v>
      </c>
      <c r="F62" s="109" t="s">
        <v>7</v>
      </c>
      <c r="G62" s="109" t="s">
        <v>8</v>
      </c>
      <c r="H62" s="109" t="s">
        <v>9</v>
      </c>
      <c r="I62" s="109" t="s">
        <v>10</v>
      </c>
      <c r="J62" s="109" t="s">
        <v>11</v>
      </c>
      <c r="K62" s="109" t="s">
        <v>12</v>
      </c>
      <c r="L62" s="109" t="s">
        <v>66</v>
      </c>
      <c r="M62" s="109" t="s">
        <v>14</v>
      </c>
      <c r="N62" s="109" t="s">
        <v>15</v>
      </c>
      <c r="O62" s="110" t="s">
        <v>16</v>
      </c>
    </row>
    <row r="63" spans="2:15" s="167" customFormat="1" x14ac:dyDescent="0.25">
      <c r="B63" s="87" t="s">
        <v>67</v>
      </c>
      <c r="C63" s="88"/>
      <c r="D63" s="90">
        <v>0.311</v>
      </c>
      <c r="E63" s="90">
        <v>-0.70499999999999996</v>
      </c>
      <c r="F63" s="90">
        <v>0.122</v>
      </c>
      <c r="G63" s="90">
        <v>-0.72399999999999998</v>
      </c>
      <c r="H63" s="90">
        <v>-0.876</v>
      </c>
      <c r="I63" s="90">
        <v>3.5150000000000001</v>
      </c>
      <c r="J63" s="90">
        <v>-1.008</v>
      </c>
      <c r="K63" s="90">
        <v>0.33700000000000002</v>
      </c>
      <c r="L63" s="90">
        <v>-1.292</v>
      </c>
      <c r="M63" s="90">
        <v>0</v>
      </c>
      <c r="N63" s="90">
        <v>0</v>
      </c>
      <c r="O63" s="91">
        <v>0</v>
      </c>
    </row>
    <row r="64" spans="2:15" x14ac:dyDescent="0.25">
      <c r="B64" s="87" t="s">
        <v>68</v>
      </c>
      <c r="C64" s="88"/>
      <c r="D64" s="165">
        <f>SUM($C63:D63)</f>
        <v>0.311</v>
      </c>
      <c r="E64" s="165">
        <f>SUM($D63:E63)</f>
        <v>-0.39399999999999996</v>
      </c>
      <c r="F64" s="165">
        <f>SUM($D63:F63)</f>
        <v>-0.27199999999999996</v>
      </c>
      <c r="G64" s="165">
        <f>SUM($D63:G63)</f>
        <v>-0.996</v>
      </c>
      <c r="H64" s="165">
        <f>SUM($D63:H63)</f>
        <v>-1.8719999999999999</v>
      </c>
      <c r="I64" s="165">
        <f>SUM($D63:I63)</f>
        <v>1.6430000000000002</v>
      </c>
      <c r="J64" s="165">
        <f>SUM($D63:J63)</f>
        <v>0.63500000000000023</v>
      </c>
      <c r="K64" s="165">
        <f>SUM($D63:K63)</f>
        <v>0.9720000000000002</v>
      </c>
      <c r="L64" s="165">
        <f>SUM($D63:L63)</f>
        <v>-0.31999999999999984</v>
      </c>
      <c r="M64" s="165">
        <v>0</v>
      </c>
      <c r="N64" s="165">
        <v>0</v>
      </c>
      <c r="O64" s="166">
        <v>0</v>
      </c>
    </row>
    <row r="65" spans="2:15" x14ac:dyDescent="0.25">
      <c r="B65" s="87"/>
      <c r="C65" s="88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6"/>
    </row>
    <row r="66" spans="2:15" x14ac:dyDescent="0.25">
      <c r="B66" s="164" t="s">
        <v>105</v>
      </c>
      <c r="C66" s="88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6"/>
    </row>
    <row r="67" spans="2:15" x14ac:dyDescent="0.25">
      <c r="B67" s="87" t="s">
        <v>67</v>
      </c>
      <c r="C67" s="88"/>
      <c r="D67" s="90">
        <v>0.311</v>
      </c>
      <c r="E67" s="90">
        <v>-0.70499999999999996</v>
      </c>
      <c r="F67" s="90">
        <v>0.122</v>
      </c>
      <c r="G67" s="90">
        <v>-0.72399999999999998</v>
      </c>
      <c r="H67" s="90">
        <v>-0.876</v>
      </c>
      <c r="I67" s="90">
        <v>3.5150000000000001</v>
      </c>
      <c r="J67" s="90">
        <v>-1.008</v>
      </c>
      <c r="K67" s="90">
        <v>0.33700000000000002</v>
      </c>
      <c r="L67" s="90">
        <v>-1.292</v>
      </c>
      <c r="M67" s="90"/>
      <c r="N67" s="90"/>
      <c r="O67" s="91"/>
    </row>
    <row r="68" spans="2:15" x14ac:dyDescent="0.25">
      <c r="B68" s="87" t="s">
        <v>68</v>
      </c>
      <c r="C68" s="88"/>
      <c r="D68" s="165">
        <f>SUM($C67:D67)</f>
        <v>0.311</v>
      </c>
      <c r="E68" s="165">
        <f>SUM($D67:E67)</f>
        <v>-0.39399999999999996</v>
      </c>
      <c r="F68" s="165">
        <f>SUM($D67:F67)</f>
        <v>-0.27199999999999996</v>
      </c>
      <c r="G68" s="165">
        <f>SUM($D67:G67)</f>
        <v>-0.996</v>
      </c>
      <c r="H68" s="165">
        <f>SUM($D67:H67)</f>
        <v>-1.8719999999999999</v>
      </c>
      <c r="I68" s="165">
        <f>SUM($D67:I67)</f>
        <v>1.6430000000000002</v>
      </c>
      <c r="J68" s="165">
        <f>SUM($D67:J67)</f>
        <v>0.63500000000000023</v>
      </c>
      <c r="K68" s="165">
        <f>SUM($D67:K67)</f>
        <v>0.9720000000000002</v>
      </c>
      <c r="L68" s="165">
        <f>SUM($D67:L67)</f>
        <v>-0.31999999999999984</v>
      </c>
      <c r="M68" s="165"/>
      <c r="N68" s="165"/>
      <c r="O68" s="166"/>
    </row>
    <row r="69" spans="2:15" ht="13.8" thickBot="1" x14ac:dyDescent="0.3"/>
    <row r="70" spans="2:15" x14ac:dyDescent="0.25">
      <c r="B70" s="172" t="s">
        <v>2</v>
      </c>
      <c r="C70" s="84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6"/>
    </row>
    <row r="71" spans="2:15" x14ac:dyDescent="0.25">
      <c r="B71" s="164" t="s">
        <v>65</v>
      </c>
      <c r="C71" s="88"/>
      <c r="D71" s="109" t="s">
        <v>60</v>
      </c>
      <c r="E71" s="109" t="s">
        <v>6</v>
      </c>
      <c r="F71" s="109" t="s">
        <v>7</v>
      </c>
      <c r="G71" s="109" t="s">
        <v>8</v>
      </c>
      <c r="H71" s="109" t="s">
        <v>9</v>
      </c>
      <c r="I71" s="109" t="s">
        <v>10</v>
      </c>
      <c r="J71" s="109" t="s">
        <v>11</v>
      </c>
      <c r="K71" s="109" t="s">
        <v>12</v>
      </c>
      <c r="L71" s="109" t="s">
        <v>66</v>
      </c>
      <c r="M71" s="109" t="s">
        <v>14</v>
      </c>
      <c r="N71" s="109" t="s">
        <v>15</v>
      </c>
      <c r="O71" s="110" t="s">
        <v>16</v>
      </c>
    </row>
    <row r="72" spans="2:15" x14ac:dyDescent="0.25">
      <c r="B72" s="87" t="s">
        <v>67</v>
      </c>
      <c r="C72" s="88"/>
      <c r="D72" s="90">
        <v>3.0609999999999999</v>
      </c>
      <c r="E72" s="90">
        <v>-11.233000000000001</v>
      </c>
      <c r="F72" s="90">
        <v>-25.213999999999999</v>
      </c>
      <c r="G72" s="90">
        <v>14.17</v>
      </c>
      <c r="H72" s="90">
        <v>-84.685000000000002</v>
      </c>
      <c r="I72" s="90">
        <v>22.888000000000002</v>
      </c>
      <c r="J72" s="90">
        <v>-51.070999999999998</v>
      </c>
      <c r="K72" s="90">
        <v>-11.631</v>
      </c>
      <c r="L72" s="90">
        <v>48.500999999999998</v>
      </c>
      <c r="M72" s="90">
        <v>0</v>
      </c>
      <c r="N72" s="90">
        <v>0</v>
      </c>
      <c r="O72" s="91">
        <v>0</v>
      </c>
    </row>
    <row r="73" spans="2:15" x14ac:dyDescent="0.25">
      <c r="B73" s="87" t="s">
        <v>68</v>
      </c>
      <c r="C73" s="88"/>
      <c r="D73" s="165">
        <f>SUM($C72:D72)</f>
        <v>3.0609999999999999</v>
      </c>
      <c r="E73" s="165">
        <f>SUM($D72:E72)</f>
        <v>-8.1720000000000006</v>
      </c>
      <c r="F73" s="165">
        <f>SUM($D72:F72)</f>
        <v>-33.385999999999996</v>
      </c>
      <c r="G73" s="165">
        <f>SUM($D72:G72)</f>
        <v>-19.215999999999994</v>
      </c>
      <c r="H73" s="165">
        <f>SUM($D72:H72)</f>
        <v>-103.901</v>
      </c>
      <c r="I73" s="165">
        <f>SUM($D72:I72)</f>
        <v>-81.012999999999991</v>
      </c>
      <c r="J73" s="165">
        <f>SUM($D72:J72)</f>
        <v>-132.084</v>
      </c>
      <c r="K73" s="165">
        <f>SUM($D72:K72)</f>
        <v>-143.715</v>
      </c>
      <c r="L73" s="165">
        <f>SUM($D72:L72)</f>
        <v>-95.213999999999999</v>
      </c>
      <c r="M73" s="165">
        <v>0</v>
      </c>
      <c r="N73" s="165">
        <v>0</v>
      </c>
      <c r="O73" s="166">
        <v>0</v>
      </c>
    </row>
    <row r="74" spans="2:15" x14ac:dyDescent="0.25">
      <c r="B74" s="87"/>
      <c r="C74" s="88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6"/>
    </row>
    <row r="75" spans="2:15" x14ac:dyDescent="0.25">
      <c r="B75" s="164" t="s">
        <v>105</v>
      </c>
      <c r="C75" s="88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6"/>
    </row>
    <row r="76" spans="2:15" x14ac:dyDescent="0.25">
      <c r="B76" s="87" t="s">
        <v>67</v>
      </c>
      <c r="C76" s="88"/>
      <c r="D76" s="90">
        <v>2.5299999999999998</v>
      </c>
      <c r="E76" s="90">
        <v>-20.100999999999999</v>
      </c>
      <c r="F76" s="90">
        <v>-2.1040000000000001</v>
      </c>
      <c r="G76" s="90">
        <v>12.176</v>
      </c>
      <c r="H76" s="90">
        <v>-82.956000000000003</v>
      </c>
      <c r="I76" s="90">
        <v>39.329000000000001</v>
      </c>
      <c r="J76" s="90">
        <v>-47.298999999999999</v>
      </c>
      <c r="K76" s="90">
        <v>-3.9849999999999999</v>
      </c>
      <c r="L76" s="90">
        <v>0.44900000000000001</v>
      </c>
      <c r="M76" s="90"/>
      <c r="N76" s="90"/>
      <c r="O76" s="91"/>
    </row>
    <row r="77" spans="2:15" x14ac:dyDescent="0.25">
      <c r="B77" s="87" t="s">
        <v>68</v>
      </c>
      <c r="C77" s="88"/>
      <c r="D77" s="165">
        <f>SUM($C76:D76)</f>
        <v>2.5299999999999998</v>
      </c>
      <c r="E77" s="165">
        <f>SUM($D76:E76)</f>
        <v>-17.570999999999998</v>
      </c>
      <c r="F77" s="165">
        <f>SUM($D76:F76)</f>
        <v>-19.674999999999997</v>
      </c>
      <c r="G77" s="165">
        <f>SUM($D76:G76)</f>
        <v>-7.498999999999997</v>
      </c>
      <c r="H77" s="165">
        <f>SUM($D76:H76)</f>
        <v>-90.454999999999998</v>
      </c>
      <c r="I77" s="165">
        <f>SUM($D76:I76)</f>
        <v>-51.125999999999998</v>
      </c>
      <c r="J77" s="165">
        <f>SUM($D76:J76)</f>
        <v>-98.424999999999997</v>
      </c>
      <c r="K77" s="165">
        <f>SUM($D76:K76)</f>
        <v>-102.41</v>
      </c>
      <c r="L77" s="165">
        <f>SUM($D76:L76)</f>
        <v>-101.961</v>
      </c>
      <c r="M77" s="165"/>
      <c r="N77" s="165"/>
      <c r="O77" s="166"/>
    </row>
    <row r="78" spans="2:15" ht="13.8" thickBot="1" x14ac:dyDescent="0.3"/>
    <row r="79" spans="2:15" x14ac:dyDescent="0.25">
      <c r="B79" s="172" t="s">
        <v>40</v>
      </c>
      <c r="C79" s="84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6"/>
    </row>
    <row r="80" spans="2:15" x14ac:dyDescent="0.25">
      <c r="B80" s="164" t="s">
        <v>65</v>
      </c>
      <c r="C80" s="88"/>
      <c r="D80" s="109" t="s">
        <v>60</v>
      </c>
      <c r="E80" s="109" t="s">
        <v>6</v>
      </c>
      <c r="F80" s="109" t="s">
        <v>7</v>
      </c>
      <c r="G80" s="109" t="s">
        <v>8</v>
      </c>
      <c r="H80" s="109" t="s">
        <v>9</v>
      </c>
      <c r="I80" s="109" t="s">
        <v>10</v>
      </c>
      <c r="J80" s="109" t="s">
        <v>11</v>
      </c>
      <c r="K80" s="109" t="s">
        <v>12</v>
      </c>
      <c r="L80" s="109" t="s">
        <v>66</v>
      </c>
      <c r="M80" s="109" t="s">
        <v>14</v>
      </c>
      <c r="N80" s="109" t="s">
        <v>15</v>
      </c>
      <c r="O80" s="110" t="s">
        <v>16</v>
      </c>
    </row>
    <row r="81" spans="2:15" x14ac:dyDescent="0.25">
      <c r="B81" s="87" t="s">
        <v>67</v>
      </c>
      <c r="C81" s="88"/>
      <c r="D81" s="90">
        <v>-0.10299999999999999</v>
      </c>
      <c r="E81" s="90">
        <v>-0.186</v>
      </c>
      <c r="F81" s="90">
        <v>-1.7709999999999999</v>
      </c>
      <c r="G81" s="90">
        <v>-1.53</v>
      </c>
      <c r="H81" s="90">
        <v>-1.7829999999999999</v>
      </c>
      <c r="I81" s="90">
        <v>-1.7929999999999999</v>
      </c>
      <c r="J81" s="90">
        <v>-1.7509999999999999</v>
      </c>
      <c r="K81" s="90">
        <v>-1.972</v>
      </c>
      <c r="L81" s="90">
        <v>-2.0529999999999999</v>
      </c>
      <c r="M81" s="90"/>
      <c r="N81" s="90">
        <v>0</v>
      </c>
      <c r="O81" s="91">
        <v>0</v>
      </c>
    </row>
    <row r="82" spans="2:15" x14ac:dyDescent="0.25">
      <c r="B82" s="87" t="s">
        <v>68</v>
      </c>
      <c r="C82" s="88"/>
      <c r="D82" s="165">
        <f>SUM($C81:D81)</f>
        <v>-0.10299999999999999</v>
      </c>
      <c r="E82" s="165">
        <f>SUM($D81:E81)</f>
        <v>-0.28899999999999998</v>
      </c>
      <c r="F82" s="165">
        <f>SUM($D81:F81)</f>
        <v>-2.06</v>
      </c>
      <c r="G82" s="165">
        <f>SUM($D81:G81)</f>
        <v>-3.59</v>
      </c>
      <c r="H82" s="165">
        <f>SUM($D81:H81)</f>
        <v>-5.3729999999999993</v>
      </c>
      <c r="I82" s="165">
        <f>SUM($D81:I81)</f>
        <v>-7.1659999999999995</v>
      </c>
      <c r="J82" s="165">
        <f>SUM($D81:J81)</f>
        <v>-8.9169999999999998</v>
      </c>
      <c r="K82" s="165">
        <f>SUM($D81:K81)</f>
        <v>-10.888999999999999</v>
      </c>
      <c r="L82" s="165">
        <f>SUM($D81:L81)</f>
        <v>-12.942</v>
      </c>
      <c r="M82" s="165">
        <v>0</v>
      </c>
      <c r="N82" s="165">
        <v>0</v>
      </c>
      <c r="O82" s="166">
        <v>0</v>
      </c>
    </row>
    <row r="83" spans="2:15" x14ac:dyDescent="0.25">
      <c r="B83" s="87"/>
      <c r="C83" s="88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6"/>
    </row>
    <row r="84" spans="2:15" x14ac:dyDescent="0.25">
      <c r="B84" s="164" t="s">
        <v>105</v>
      </c>
      <c r="C84" s="88"/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  <c r="O84" s="166"/>
    </row>
    <row r="85" spans="2:15" x14ac:dyDescent="0.25">
      <c r="B85" s="87" t="s">
        <v>67</v>
      </c>
      <c r="C85" s="88"/>
      <c r="D85" s="90">
        <v>-0.10299999999999999</v>
      </c>
      <c r="E85" s="90">
        <v>-0.186</v>
      </c>
      <c r="F85" s="90">
        <v>-14.026999999999999</v>
      </c>
      <c r="G85" s="90">
        <v>-1.9930000000000001</v>
      </c>
      <c r="H85" s="90">
        <v>-1.925</v>
      </c>
      <c r="I85" s="90">
        <v>-1.925</v>
      </c>
      <c r="J85" s="90">
        <v>-1.143</v>
      </c>
      <c r="K85" s="90">
        <v>-1.9219999999999999</v>
      </c>
      <c r="L85" s="90">
        <v>-1.968</v>
      </c>
      <c r="M85" s="90"/>
      <c r="N85" s="90"/>
      <c r="O85" s="91"/>
    </row>
    <row r="86" spans="2:15" x14ac:dyDescent="0.25">
      <c r="B86" s="87" t="s">
        <v>68</v>
      </c>
      <c r="C86" s="88"/>
      <c r="D86" s="165">
        <f>SUM($C85:D85)</f>
        <v>-0.10299999999999999</v>
      </c>
      <c r="E86" s="165">
        <f>SUM($D85:E85)</f>
        <v>-0.28899999999999998</v>
      </c>
      <c r="F86" s="165">
        <f>SUM($D85:F85)</f>
        <v>-14.315999999999999</v>
      </c>
      <c r="G86" s="165">
        <f>SUM($D85:G85)</f>
        <v>-16.308999999999997</v>
      </c>
      <c r="H86" s="165">
        <f>SUM($D85:H85)</f>
        <v>-18.233999999999998</v>
      </c>
      <c r="I86" s="165">
        <f>SUM($D85:I85)</f>
        <v>-20.158999999999999</v>
      </c>
      <c r="J86" s="165">
        <f>SUM($D85:J85)</f>
        <v>-21.302</v>
      </c>
      <c r="K86" s="165">
        <f>SUM($D85:K85)</f>
        <v>-23.224</v>
      </c>
      <c r="L86" s="165">
        <f>SUM($D85:L85)</f>
        <v>-25.192</v>
      </c>
      <c r="M86" s="165"/>
      <c r="N86" s="165"/>
      <c r="O86" s="166"/>
    </row>
    <row r="87" spans="2:15" ht="13.8" thickBot="1" x14ac:dyDescent="0.3"/>
    <row r="88" spans="2:15" x14ac:dyDescent="0.25">
      <c r="B88" s="172" t="s">
        <v>46</v>
      </c>
      <c r="C88" s="84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6"/>
    </row>
    <row r="89" spans="2:15" x14ac:dyDescent="0.25">
      <c r="B89" s="164" t="s">
        <v>65</v>
      </c>
      <c r="C89" s="88"/>
      <c r="D89" s="109" t="s">
        <v>60</v>
      </c>
      <c r="E89" s="109" t="s">
        <v>6</v>
      </c>
      <c r="F89" s="109" t="s">
        <v>7</v>
      </c>
      <c r="G89" s="109" t="s">
        <v>8</v>
      </c>
      <c r="H89" s="109" t="s">
        <v>9</v>
      </c>
      <c r="I89" s="109" t="s">
        <v>10</v>
      </c>
      <c r="J89" s="109" t="s">
        <v>11</v>
      </c>
      <c r="K89" s="109" t="s">
        <v>12</v>
      </c>
      <c r="L89" s="109" t="s">
        <v>66</v>
      </c>
      <c r="M89" s="109" t="s">
        <v>14</v>
      </c>
      <c r="N89" s="109" t="s">
        <v>15</v>
      </c>
      <c r="O89" s="110" t="s">
        <v>16</v>
      </c>
    </row>
    <row r="90" spans="2:15" x14ac:dyDescent="0.25">
      <c r="B90" s="87" t="s">
        <v>67</v>
      </c>
      <c r="C90" s="88"/>
      <c r="D90" s="90">
        <v>0.36</v>
      </c>
      <c r="E90" s="90">
        <v>-0.43099999999999999</v>
      </c>
      <c r="F90" s="90">
        <v>-1.264</v>
      </c>
      <c r="G90" s="90">
        <v>-1.671</v>
      </c>
      <c r="H90" s="90">
        <v>-4.1120000000000001</v>
      </c>
      <c r="I90" s="90">
        <v>1.014</v>
      </c>
      <c r="J90" s="90">
        <v>-1.41</v>
      </c>
      <c r="K90" s="90">
        <v>-1.9810000000000001</v>
      </c>
      <c r="L90" s="90">
        <v>-0.30599999999999999</v>
      </c>
      <c r="M90" s="90"/>
      <c r="N90" s="90"/>
      <c r="O90" s="91"/>
    </row>
    <row r="91" spans="2:15" x14ac:dyDescent="0.25">
      <c r="B91" s="87" t="s">
        <v>68</v>
      </c>
      <c r="C91" s="88"/>
      <c r="D91" s="165">
        <f>SUM($C90:D90)</f>
        <v>0.36</v>
      </c>
      <c r="E91" s="165">
        <f>SUM($D90:E90)</f>
        <v>-7.1000000000000008E-2</v>
      </c>
      <c r="F91" s="165">
        <f>SUM($D90:F90)</f>
        <v>-1.335</v>
      </c>
      <c r="G91" s="165">
        <f>SUM($D90:G90)</f>
        <v>-3.0060000000000002</v>
      </c>
      <c r="H91" s="165">
        <f>SUM($D90:H90)</f>
        <v>-7.1180000000000003</v>
      </c>
      <c r="I91" s="165">
        <f>SUM($D90:I90)</f>
        <v>-6.1040000000000001</v>
      </c>
      <c r="J91" s="165">
        <f>SUM($D90:J90)</f>
        <v>-7.5140000000000002</v>
      </c>
      <c r="K91" s="165">
        <f>SUM($D90:K90)</f>
        <v>-9.495000000000001</v>
      </c>
      <c r="L91" s="165">
        <f>SUM($D90:L90)</f>
        <v>-9.8010000000000002</v>
      </c>
      <c r="M91" s="165">
        <v>0</v>
      </c>
      <c r="N91" s="165">
        <v>0</v>
      </c>
      <c r="O91" s="166">
        <v>0</v>
      </c>
    </row>
    <row r="92" spans="2:15" x14ac:dyDescent="0.25">
      <c r="B92" s="87"/>
      <c r="C92" s="88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6"/>
    </row>
    <row r="93" spans="2:15" x14ac:dyDescent="0.25">
      <c r="B93" s="164" t="s">
        <v>105</v>
      </c>
      <c r="C93" s="88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6"/>
    </row>
    <row r="94" spans="2:15" x14ac:dyDescent="0.25">
      <c r="B94" s="87" t="s">
        <v>67</v>
      </c>
      <c r="C94" s="88"/>
      <c r="D94" s="90">
        <v>0.129</v>
      </c>
      <c r="E94" s="90">
        <v>-24.236000000000001</v>
      </c>
      <c r="F94" s="90">
        <v>11.356999999999999</v>
      </c>
      <c r="G94" s="90">
        <v>-1.88</v>
      </c>
      <c r="H94" s="90">
        <v>-11.257</v>
      </c>
      <c r="I94" s="90">
        <v>6.45</v>
      </c>
      <c r="J94" s="90">
        <v>-0.56699999999999995</v>
      </c>
      <c r="K94" s="90">
        <v>-15.481</v>
      </c>
      <c r="L94" s="90">
        <v>14.911</v>
      </c>
      <c r="M94" s="90"/>
      <c r="N94" s="90"/>
      <c r="O94" s="91"/>
    </row>
    <row r="95" spans="2:15" x14ac:dyDescent="0.25">
      <c r="B95" s="87" t="s">
        <v>68</v>
      </c>
      <c r="C95" s="88"/>
      <c r="D95" s="165">
        <f>SUM($C94:D94)</f>
        <v>0.129</v>
      </c>
      <c r="E95" s="165">
        <f>SUM($D94:E94)</f>
        <v>-24.106999999999999</v>
      </c>
      <c r="F95" s="165">
        <f>SUM($D94:F94)</f>
        <v>-12.75</v>
      </c>
      <c r="G95" s="165">
        <f>SUM($D94:G94)</f>
        <v>-14.629999999999999</v>
      </c>
      <c r="H95" s="165">
        <f>SUM($D94:H94)</f>
        <v>-25.887</v>
      </c>
      <c r="I95" s="165">
        <f>SUM($D94:I94)</f>
        <v>-19.437000000000001</v>
      </c>
      <c r="J95" s="165">
        <f>SUM($D94:J94)</f>
        <v>-20.004000000000001</v>
      </c>
      <c r="K95" s="165">
        <f>SUM($D94:K94)</f>
        <v>-35.484999999999999</v>
      </c>
      <c r="L95" s="165">
        <f>SUM($D94:L94)</f>
        <v>-20.573999999999998</v>
      </c>
      <c r="M95" s="165"/>
      <c r="N95" s="165"/>
      <c r="O95" s="166"/>
    </row>
    <row r="96" spans="2:15" ht="13.8" thickBot="1" x14ac:dyDescent="0.3"/>
    <row r="97" spans="2:15" x14ac:dyDescent="0.25">
      <c r="B97" s="172" t="s">
        <v>98</v>
      </c>
      <c r="C97" s="84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6"/>
    </row>
    <row r="98" spans="2:15" x14ac:dyDescent="0.25">
      <c r="B98" s="164" t="s">
        <v>65</v>
      </c>
      <c r="C98" s="88"/>
      <c r="D98" s="109" t="s">
        <v>60</v>
      </c>
      <c r="E98" s="109" t="s">
        <v>6</v>
      </c>
      <c r="F98" s="109" t="s">
        <v>7</v>
      </c>
      <c r="G98" s="109" t="s">
        <v>8</v>
      </c>
      <c r="H98" s="109" t="s">
        <v>9</v>
      </c>
      <c r="I98" s="109" t="s">
        <v>10</v>
      </c>
      <c r="J98" s="109" t="s">
        <v>11</v>
      </c>
      <c r="K98" s="109" t="s">
        <v>12</v>
      </c>
      <c r="L98" s="109" t="s">
        <v>66</v>
      </c>
      <c r="M98" s="109" t="s">
        <v>14</v>
      </c>
      <c r="N98" s="109" t="s">
        <v>15</v>
      </c>
      <c r="O98" s="110" t="s">
        <v>16</v>
      </c>
    </row>
    <row r="99" spans="2:15" x14ac:dyDescent="0.25">
      <c r="B99" s="87" t="s">
        <v>67</v>
      </c>
      <c r="C99" s="88"/>
      <c r="D99" s="90"/>
      <c r="E99" s="90"/>
      <c r="F99" s="90"/>
      <c r="G99" s="90"/>
      <c r="H99" s="90"/>
      <c r="I99" s="90"/>
      <c r="J99" s="90">
        <v>-1.573</v>
      </c>
      <c r="K99" s="90">
        <v>-0.99</v>
      </c>
      <c r="L99" s="90">
        <v>0.29699999999999999</v>
      </c>
      <c r="M99" s="90"/>
      <c r="N99" s="90"/>
      <c r="O99" s="91"/>
    </row>
    <row r="100" spans="2:15" x14ac:dyDescent="0.25">
      <c r="B100" s="87" t="s">
        <v>68</v>
      </c>
      <c r="C100" s="88"/>
      <c r="D100" s="165"/>
      <c r="E100" s="165"/>
      <c r="F100" s="165"/>
      <c r="G100" s="165"/>
      <c r="H100" s="165"/>
      <c r="I100" s="165"/>
      <c r="J100" s="165">
        <f>SUM($D99:J99)</f>
        <v>-1.573</v>
      </c>
      <c r="K100" s="165">
        <f>SUM($D99:K99)</f>
        <v>-2.5629999999999997</v>
      </c>
      <c r="L100" s="165">
        <f>SUM($D99:L99)</f>
        <v>-2.2659999999999996</v>
      </c>
      <c r="M100" s="165">
        <v>0</v>
      </c>
      <c r="N100" s="165">
        <v>0</v>
      </c>
      <c r="O100" s="166">
        <v>0</v>
      </c>
    </row>
    <row r="101" spans="2:15" x14ac:dyDescent="0.25">
      <c r="B101" s="87"/>
      <c r="C101" s="88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6"/>
    </row>
    <row r="102" spans="2:15" x14ac:dyDescent="0.25">
      <c r="B102" s="164" t="s">
        <v>105</v>
      </c>
      <c r="C102" s="88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6"/>
    </row>
    <row r="103" spans="2:15" x14ac:dyDescent="0.25">
      <c r="B103" s="87" t="s">
        <v>67</v>
      </c>
      <c r="C103" s="88"/>
      <c r="D103" s="90"/>
      <c r="E103" s="90"/>
      <c r="F103" s="90"/>
      <c r="G103" s="90"/>
      <c r="H103" s="90"/>
      <c r="I103" s="90"/>
      <c r="J103" s="90">
        <v>-1.573</v>
      </c>
      <c r="K103" s="90">
        <v>-0.99</v>
      </c>
      <c r="L103" s="90">
        <v>0.125</v>
      </c>
      <c r="M103" s="90"/>
      <c r="N103" s="90"/>
      <c r="O103" s="91"/>
    </row>
    <row r="104" spans="2:15" x14ac:dyDescent="0.25">
      <c r="B104" s="87" t="s">
        <v>68</v>
      </c>
      <c r="C104" s="88"/>
      <c r="D104" s="165"/>
      <c r="E104" s="165"/>
      <c r="F104" s="165"/>
      <c r="G104" s="165"/>
      <c r="H104" s="165"/>
      <c r="I104" s="165"/>
      <c r="J104" s="165">
        <f>SUM($D103:J103)</f>
        <v>-1.573</v>
      </c>
      <c r="K104" s="165">
        <f>SUM($D103:K103)</f>
        <v>-2.5629999999999997</v>
      </c>
      <c r="L104" s="165">
        <f>SUM($D103:L103)</f>
        <v>-2.4379999999999997</v>
      </c>
      <c r="M104" s="165"/>
      <c r="N104" s="165"/>
      <c r="O104" s="166"/>
    </row>
  </sheetData>
  <phoneticPr fontId="20" type="noConversion"/>
  <pageMargins left="0.28000000000000003" right="0.28999999999999998" top="0.34" bottom="0.2" header="0.21" footer="0.16"/>
  <pageSetup scale="4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3"/>
  <sheetViews>
    <sheetView tabSelected="1"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3"/>
  <sheetViews>
    <sheetView topLeftCell="A3"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6"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56" t="s">
        <v>97</v>
      </c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"/>
  <sheetViews>
    <sheetView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4" t="s">
        <v>103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IS Input</vt:lpstr>
      <vt:lpstr>volumes Input</vt:lpstr>
      <vt:lpstr>Funds Flow-Cap Employed</vt:lpstr>
      <vt:lpstr>Cash Flow by Team</vt:lpstr>
      <vt:lpstr>EGM Summary</vt:lpstr>
      <vt:lpstr>EGM Summary (2)</vt:lpstr>
      <vt:lpstr>Crude &amp; Products</vt:lpstr>
      <vt:lpstr>Crude &amp; Products volumes </vt:lpstr>
      <vt:lpstr>Coal</vt:lpstr>
      <vt:lpstr>Emissions</vt:lpstr>
      <vt:lpstr>Coal volumes</vt:lpstr>
      <vt:lpstr>Weather</vt:lpstr>
      <vt:lpstr>Weather volumes</vt:lpstr>
      <vt:lpstr>Insurance Risk Mkts</vt:lpstr>
      <vt:lpstr>Financial Trading</vt:lpstr>
      <vt:lpstr>PR</vt:lpstr>
      <vt:lpstr>Freight</vt:lpstr>
      <vt:lpstr>Freight volumes</vt:lpstr>
      <vt:lpstr>LNG</vt:lpstr>
      <vt:lpstr>Japan</vt:lpstr>
      <vt:lpstr>Middle East</vt:lpstr>
      <vt:lpstr>'Cash Flow by Team'!Print_Area</vt:lpstr>
      <vt:lpstr>Coal!Print_Area</vt:lpstr>
      <vt:lpstr>'Coal volumes'!Print_Area</vt:lpstr>
      <vt:lpstr>'Crude &amp; Products'!Print_Area</vt:lpstr>
      <vt:lpstr>'Crude &amp; Products volumes '!Print_Area</vt:lpstr>
      <vt:lpstr>'EGM Summary'!Print_Area</vt:lpstr>
      <vt:lpstr>'EGM Summary (2)'!Print_Area</vt:lpstr>
      <vt:lpstr>'Financial Trading'!Print_Area</vt:lpstr>
      <vt:lpstr>Freight!Print_Area</vt:lpstr>
      <vt:lpstr>'Freight volumes'!Print_Area</vt:lpstr>
      <vt:lpstr>'Funds Flow-Cap Employed'!Print_Area</vt:lpstr>
      <vt:lpstr>'Insurance Risk Mkts'!Print_Area</vt:lpstr>
      <vt:lpstr>'IS Input'!Print_Area</vt:lpstr>
      <vt:lpstr>Japan!Print_Area</vt:lpstr>
      <vt:lpstr>LNG!Print_Area</vt:lpstr>
      <vt:lpstr>'volumes Input'!Print_Area</vt:lpstr>
      <vt:lpstr>Weather!Print_Area</vt:lpstr>
      <vt:lpstr>'Weather volumes'!Print_Area</vt:lpstr>
      <vt:lpstr>'volumes Input'!Print_Titles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2001-11-16T22:04:07Z</cp:lastPrinted>
  <dcterms:created xsi:type="dcterms:W3CDTF">2000-08-25T15:53:29Z</dcterms:created>
  <dcterms:modified xsi:type="dcterms:W3CDTF">2023-09-10T15:44:41Z</dcterms:modified>
</cp:coreProperties>
</file>