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<sst xmlns="http://schemas.openxmlformats.org/spreadsheetml/2006/main" count="187" uniqueCount="129">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</sst>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86" fontId="25" fillId="0" borderId="6" xfId="2" applyNumberFormat="1" applyFont="1" applyFill="1" applyBorder="1" applyAlignment="1" applyProtection="1">
      <alignment horizontal="center"/>
    </xf>
    <xf numFmtId="186" fontId="25" fillId="0" borderId="6" xfId="2" applyNumberFormat="1" applyFont="1" applyFill="1" applyBorder="1" applyAlignment="1">
      <alignment horizontal="center"/>
    </xf>
    <xf numFmtId="186" fontId="25" fillId="0" borderId="5" xfId="2" applyNumberFormat="1" applyFont="1" applyFill="1" applyBorder="1" applyAlignment="1">
      <alignment horizontal="center"/>
    </xf>
    <xf numFmtId="186" fontId="25" fillId="0" borderId="1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24.75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37.049999999999997</val>
          </value>
        </values>
      </ddeItem>
      <ddeItem name="BPL,DIVIDEND">
        <values>
          <value>
            <val>2.5</val>
          </value>
        </values>
      </ddeItem>
      <ddeItem name="EOT">
        <values>
          <value>
            <val>19.649999999999999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34.4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19.09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5.14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71.05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37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45.43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38.9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26</val>
          </value>
        </values>
      </ddeItem>
      <ddeItem name="PAA,DIVIDEND" advise="1">
        <values>
          <value>
            <val>2</val>
          </value>
        </values>
      </ddeItem>
      <ddeItem name="TCLPZ.O" advise="1">
        <values>
          <value>
            <val>24.1</val>
          </value>
        </values>
      </ddeItem>
      <ddeItem name="TCLPZ.O,DIVIDEND" advise="1">
        <values>
          <value>
            <val>2</val>
          </value>
        </values>
      </ddeItem>
      <ddeItem name="TPP">
        <values>
          <value>
            <val>31.14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32.450000000000003</val>
          </value>
        </values>
      </ddeItem>
      <ddeItem name="WEG">
        <values>
          <value>
            <val>31.85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37099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37092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7"/>
      <c r="AH9" s="199"/>
      <c r="AI9" s="367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38.9</v>
      </c>
      <c r="F10" s="208"/>
      <c r="G10" s="207">
        <f>[1]!'NBP,DIVIDEND'</f>
        <v>3.05</v>
      </c>
      <c r="H10" s="209"/>
      <c r="I10" s="210">
        <f>+G10/E10</f>
        <v>7.8406169665809766E-2</v>
      </c>
      <c r="J10" s="210"/>
      <c r="K10" s="211">
        <f>(+I10-E$28)*10000</f>
        <v>229.21169665809768</v>
      </c>
      <c r="L10" s="206"/>
      <c r="M10" s="210">
        <f>(I10*AA10)+((I10*(1-AA10))*(1-0.3))</f>
        <v>7.7230077120822624E-2</v>
      </c>
      <c r="N10" s="206"/>
      <c r="O10" s="212">
        <f>+G10/Z10</f>
        <v>1.0854092526690393</v>
      </c>
      <c r="P10" s="213"/>
      <c r="Q10" s="212">
        <f>(AF10+$E10-AG10)/AG10</f>
        <v>2.5910010111223243E-3</v>
      </c>
      <c r="R10" s="213"/>
      <c r="S10" s="212">
        <f>(AH10+$E10-AI10)/AI10</f>
        <v>4.5676245715792291E-2</v>
      </c>
      <c r="T10" s="209"/>
      <c r="U10" s="214">
        <f>(AJ10+$E10-AK10)/AK10</f>
        <v>0.28647011952191231</v>
      </c>
      <c r="V10" s="215"/>
      <c r="W10" s="130"/>
      <c r="X10" s="149"/>
      <c r="Y10" s="323">
        <f>G58</f>
        <v>2.5336363636363637</v>
      </c>
      <c r="Z10" s="324">
        <f>I58</f>
        <v>2.8099999999999996</v>
      </c>
      <c r="AA10" s="216">
        <v>0.95</v>
      </c>
      <c r="AB10" s="217"/>
      <c r="AC10" s="77"/>
      <c r="AD10" s="218">
        <v>37099</v>
      </c>
      <c r="AE10" s="368">
        <v>0.76249999999999996</v>
      </c>
      <c r="AF10" s="368">
        <v>0.76249999999999996</v>
      </c>
      <c r="AG10" s="236">
        <v>39.56</v>
      </c>
      <c r="AH10" s="368">
        <v>0.76249999999999996</v>
      </c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19.649999999999999</v>
      </c>
      <c r="F11" s="229"/>
      <c r="G11" s="228">
        <f>[1]!'EOT,DIVIDEND'</f>
        <v>1.9</v>
      </c>
      <c r="H11" s="230"/>
      <c r="I11" s="231">
        <f>+G11/E11</f>
        <v>9.6692111959287536E-2</v>
      </c>
      <c r="J11" s="231"/>
      <c r="K11" s="232">
        <f>(+I11-E$28)*10000</f>
        <v>412.07111959287533</v>
      </c>
      <c r="L11" s="227"/>
      <c r="M11" s="231">
        <f>(I11*AA11)+((I11*(1-AA11))*(1-0.3))</f>
        <v>9.5241730279898226E-2</v>
      </c>
      <c r="N11" s="227"/>
      <c r="O11" s="233">
        <f>+G11/Z11</f>
        <v>2.8787878787878789</v>
      </c>
      <c r="P11" s="234"/>
      <c r="Q11" s="233">
        <f>(AF11+$E11-AG11)/AG11</f>
        <v>6.2005277044854923E-2</v>
      </c>
      <c r="R11" s="234"/>
      <c r="S11" s="233">
        <f>(AH11+$E11-AI11)/AI11</f>
        <v>9.3750000000000083E-2</v>
      </c>
      <c r="T11" s="230"/>
      <c r="U11" s="235">
        <f>(AJ11+E11-AK11)/AK11</f>
        <v>0.25801526717557238</v>
      </c>
      <c r="V11" s="215"/>
      <c r="W11" s="130"/>
      <c r="X11" s="149"/>
      <c r="Y11" s="323">
        <f>S58</f>
        <v>0.624</v>
      </c>
      <c r="Z11" s="324">
        <f>U58</f>
        <v>0.65999999999999992</v>
      </c>
      <c r="AA11" s="216">
        <v>0.95</v>
      </c>
      <c r="AB11" s="217"/>
      <c r="AD11" s="218">
        <v>37099</v>
      </c>
      <c r="AE11" s="368">
        <v>0.47499999999999998</v>
      </c>
      <c r="AF11" s="368">
        <v>0.47499999999999998</v>
      </c>
      <c r="AG11" s="228">
        <v>18.95</v>
      </c>
      <c r="AH11" s="368">
        <v>0.47499999999999998</v>
      </c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368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24.75</v>
      </c>
      <c r="F13" s="237"/>
      <c r="G13" s="236">
        <f>[1]!'APU,DIVIDEND'</f>
        <v>2.2000000000000002</v>
      </c>
      <c r="H13" s="108"/>
      <c r="I13" s="178">
        <f t="shared" ref="I13:I24" si="0">+G13/E13</f>
        <v>8.8888888888888892E-2</v>
      </c>
      <c r="J13" s="178"/>
      <c r="K13" s="243">
        <f t="shared" ref="K13:K24" si="1">(+I13-E$28)*10000</f>
        <v>334.03888888888895</v>
      </c>
      <c r="L13" s="106"/>
      <c r="M13" s="178">
        <f t="shared" ref="M13:M24" si="2">(I13*AA13)+((I13*(1-AA13))*(1-0.3))</f>
        <v>8.0888888888888885E-2</v>
      </c>
      <c r="N13" s="106"/>
      <c r="O13" s="165">
        <f>+G13/Y13</f>
        <v>2</v>
      </c>
      <c r="P13" s="239"/>
      <c r="Q13" s="165">
        <f t="shared" ref="Q13:Q24" si="3">(AF13+$E13-AG13)/AG13</f>
        <v>2.9106029106029076E-2</v>
      </c>
      <c r="R13" s="239"/>
      <c r="S13" s="165">
        <f t="shared" ref="S13:S24" si="4">(AH13+$E13-AI13)/AI13</f>
        <v>6.4516129032258063E-2</v>
      </c>
      <c r="T13" s="108"/>
      <c r="U13" s="244">
        <f>(AJ13+E13-AK13)/AK13</f>
        <v>0.55488721804511287</v>
      </c>
      <c r="V13" s="215"/>
      <c r="W13" s="130"/>
      <c r="X13" s="149"/>
      <c r="Y13" s="323">
        <v>1.1000000000000001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368">
        <v>0.55000000000000004</v>
      </c>
      <c r="AF13" s="328"/>
      <c r="AG13" s="236">
        <v>24.05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37.049999999999997</v>
      </c>
      <c r="F14" s="237"/>
      <c r="G14" s="236">
        <f>[1]!'BPL,DIVIDEND'</f>
        <v>2.5</v>
      </c>
      <c r="H14" s="108"/>
      <c r="I14" s="178">
        <f t="shared" si="0"/>
        <v>6.7476383265856948E-2</v>
      </c>
      <c r="J14" s="178"/>
      <c r="K14" s="243">
        <f t="shared" si="1"/>
        <v>119.91383265856949</v>
      </c>
      <c r="L14" s="106"/>
      <c r="M14" s="178">
        <f t="shared" si="2"/>
        <v>6.2415654520917678E-2</v>
      </c>
      <c r="N14" s="106"/>
      <c r="O14" s="165">
        <f t="shared" ref="O14:O24" si="5">+G14/Z14</f>
        <v>0.9765625</v>
      </c>
      <c r="P14" s="239"/>
      <c r="Q14" s="165">
        <f t="shared" si="3"/>
        <v>2.4350649350648348E-3</v>
      </c>
      <c r="R14" s="239"/>
      <c r="S14" s="165">
        <f t="shared" si="4"/>
        <v>7.3290845886442468E-2</v>
      </c>
      <c r="T14" s="108"/>
      <c r="U14" s="244">
        <f t="shared" ref="U14:U24" si="6">(AJ14+E14-AK14)/AK14</f>
        <v>0.32467532467532467</v>
      </c>
      <c r="V14" s="215"/>
      <c r="W14" s="130"/>
      <c r="X14" s="149"/>
      <c r="Y14" s="323">
        <v>2.4300000000000002</v>
      </c>
      <c r="Z14" s="324">
        <v>2.56</v>
      </c>
      <c r="AA14" s="216">
        <v>0.75</v>
      </c>
      <c r="AB14" s="217"/>
      <c r="AC14" s="77"/>
      <c r="AD14" s="218">
        <v>37105</v>
      </c>
      <c r="AE14" s="368">
        <v>0.625</v>
      </c>
      <c r="AF14" s="220"/>
      <c r="AG14" s="236">
        <v>36.96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34.4</v>
      </c>
      <c r="F15" s="237"/>
      <c r="G15" s="236">
        <f>[1]!'EPN,DIVIDEND'</f>
        <v>2.2999999999999998</v>
      </c>
      <c r="H15" s="108"/>
      <c r="I15" s="178">
        <f t="shared" si="0"/>
        <v>6.6860465116279064E-2</v>
      </c>
      <c r="J15" s="178"/>
      <c r="K15" s="243">
        <f t="shared" si="1"/>
        <v>113.75465116279064</v>
      </c>
      <c r="L15" s="106"/>
      <c r="M15" s="178">
        <f>(I15*AA15)+((I15*(1-AA15))*(1-0.3))</f>
        <v>6.6058139534883722E-2</v>
      </c>
      <c r="N15" s="106"/>
      <c r="O15" s="165">
        <f>+G15/Z15</f>
        <v>4.6938775510204076</v>
      </c>
      <c r="P15" s="239"/>
      <c r="Q15" s="165">
        <f>(AF15+$E15-AG15)/AG15</f>
        <v>1.5829218704618116E-2</v>
      </c>
      <c r="R15" s="239"/>
      <c r="S15" s="165">
        <f>(AH15+$E15-AI15)/AI15</f>
        <v>0.11102287166454895</v>
      </c>
      <c r="T15" s="108"/>
      <c r="U15" s="244">
        <f t="shared" si="6"/>
        <v>0.29476082004555804</v>
      </c>
      <c r="V15" s="251"/>
      <c r="W15" s="130"/>
      <c r="X15" s="149"/>
      <c r="Y15" s="325">
        <v>0.24</v>
      </c>
      <c r="Z15" s="326">
        <v>0.49</v>
      </c>
      <c r="AA15" s="252">
        <v>0.96</v>
      </c>
      <c r="AB15" s="254"/>
      <c r="AC15" s="77"/>
      <c r="AD15" s="218">
        <v>37099</v>
      </c>
      <c r="AE15" s="369">
        <v>0.57499999999999996</v>
      </c>
      <c r="AF15" s="372">
        <v>0.57499999999999996</v>
      </c>
      <c r="AG15" s="236">
        <v>34.43</v>
      </c>
      <c r="AH15" s="372">
        <v>0.57499999999999996</v>
      </c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16.578571428571482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1.5259740259740223E-2</v>
      </c>
      <c r="R16" s="239"/>
      <c r="S16" s="165">
        <f>(AH16+$E16-AI16)/AI16</f>
        <v>1.5259740259740223E-2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37099</v>
      </c>
      <c r="AE16" s="369">
        <v>0.58750000000000002</v>
      </c>
      <c r="AF16" s="372">
        <v>0.58750000000000002</v>
      </c>
      <c r="AG16" s="236">
        <v>38.5</v>
      </c>
      <c r="AH16" s="372">
        <v>0.58750000000000002</v>
      </c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19.09</v>
      </c>
      <c r="F17" s="237"/>
      <c r="G17" s="236">
        <f>[1]!'FGP,DIVIDEND'</f>
        <v>2</v>
      </c>
      <c r="H17" s="108"/>
      <c r="I17" s="178">
        <f t="shared" si="0"/>
        <v>0.10476689366160294</v>
      </c>
      <c r="J17" s="178"/>
      <c r="K17" s="243">
        <f t="shared" si="1"/>
        <v>492.81893661602942</v>
      </c>
      <c r="L17" s="106"/>
      <c r="M17" s="178">
        <f t="shared" si="2"/>
        <v>0.10413829229963333</v>
      </c>
      <c r="N17" s="106"/>
      <c r="O17" s="165">
        <f t="shared" si="5"/>
        <v>1.9607843137254901</v>
      </c>
      <c r="P17" s="248"/>
      <c r="Q17" s="165">
        <f t="shared" si="3"/>
        <v>4.7368421052631504E-3</v>
      </c>
      <c r="R17" s="248"/>
      <c r="S17" s="165">
        <f t="shared" si="4"/>
        <v>-1.3436692506460029E-2</v>
      </c>
      <c r="T17" s="108"/>
      <c r="U17" s="244">
        <f t="shared" si="6"/>
        <v>0.52341232227488155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368">
        <v>0.5</v>
      </c>
      <c r="AF17" s="220"/>
      <c r="AG17" s="236">
        <v>19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5.14</v>
      </c>
      <c r="F18" s="237"/>
      <c r="G18" s="236">
        <f>[1]!'GEL.A,DIVIDEND'</f>
        <v>0.8</v>
      </c>
      <c r="H18" s="327" t="s">
        <v>111</v>
      </c>
      <c r="I18" s="178">
        <f t="shared" si="0"/>
        <v>0.15564202334630353</v>
      </c>
      <c r="J18" s="178"/>
      <c r="K18" s="243">
        <f t="shared" si="1"/>
        <v>1001.5702334630353</v>
      </c>
      <c r="L18" s="106"/>
      <c r="M18" s="178">
        <f t="shared" si="2"/>
        <v>0.15564202334630353</v>
      </c>
      <c r="N18" s="106"/>
      <c r="O18" s="165" t="s">
        <v>117</v>
      </c>
      <c r="P18" s="239"/>
      <c r="Q18" s="165">
        <f t="shared" si="3"/>
        <v>9.4517958412097969E-3</v>
      </c>
      <c r="R18" s="239"/>
      <c r="S18" s="165">
        <f t="shared" si="4"/>
        <v>0.24186046511627909</v>
      </c>
      <c r="T18" s="108"/>
      <c r="U18" s="244">
        <f t="shared" si="6"/>
        <v>0.52827586206896548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37099</v>
      </c>
      <c r="AE18" s="369">
        <v>0.2</v>
      </c>
      <c r="AF18" s="372">
        <v>0.2</v>
      </c>
      <c r="AG18" s="236">
        <v>5.29</v>
      </c>
      <c r="AH18" s="372">
        <v>0.2</v>
      </c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37</v>
      </c>
      <c r="F19" s="237"/>
      <c r="G19" s="236">
        <f>[1]!'KPP,DIVIDEND'</f>
        <v>2.8</v>
      </c>
      <c r="H19" s="108"/>
      <c r="I19" s="178">
        <f t="shared" si="0"/>
        <v>7.5675675675675666E-2</v>
      </c>
      <c r="J19" s="178"/>
      <c r="K19" s="243">
        <f t="shared" si="1"/>
        <v>201.90675675675666</v>
      </c>
      <c r="L19" s="106"/>
      <c r="M19" s="178">
        <f t="shared" si="2"/>
        <v>7.1135135135135127E-2</v>
      </c>
      <c r="N19" s="106"/>
      <c r="O19" s="165">
        <f t="shared" si="5"/>
        <v>1.021897810218978</v>
      </c>
      <c r="P19" s="239"/>
      <c r="Q19" s="165">
        <f t="shared" si="3"/>
        <v>-3.1595170819419392E-2</v>
      </c>
      <c r="R19" s="239"/>
      <c r="S19" s="165">
        <f t="shared" si="4"/>
        <v>5.2484645449469639E-2</v>
      </c>
      <c r="T19" s="108"/>
      <c r="U19" s="244">
        <f t="shared" si="6"/>
        <v>0.22352941176470598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37099</v>
      </c>
      <c r="AE19" s="369">
        <v>0.7</v>
      </c>
      <c r="AF19" s="372">
        <v>0.7</v>
      </c>
      <c r="AG19" s="236">
        <v>38.93</v>
      </c>
      <c r="AH19" s="372">
        <v>0.7</v>
      </c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71.05</v>
      </c>
      <c r="F20" s="237"/>
      <c r="G20" s="236">
        <f>[1]!'KMP,DIVIDEND'</f>
        <v>4.2</v>
      </c>
      <c r="H20" s="320"/>
      <c r="I20" s="178">
        <f t="shared" si="0"/>
        <v>5.9113300492610842E-2</v>
      </c>
      <c r="J20" s="178"/>
      <c r="K20" s="243">
        <f t="shared" si="1"/>
        <v>36.283004926108418</v>
      </c>
      <c r="L20" s="106"/>
      <c r="M20" s="178">
        <f t="shared" si="2"/>
        <v>5.7339901477832515E-2</v>
      </c>
      <c r="N20" s="106"/>
      <c r="O20" s="165">
        <f t="shared" si="5"/>
        <v>1.7213114754098362</v>
      </c>
      <c r="P20" s="239"/>
      <c r="Q20" s="165">
        <f t="shared" si="3"/>
        <v>-2.6670409882088397E-3</v>
      </c>
      <c r="R20" s="239"/>
      <c r="S20" s="165">
        <f t="shared" si="4"/>
        <v>3.3304246655031879E-2</v>
      </c>
      <c r="T20" s="108"/>
      <c r="U20" s="244">
        <f t="shared" si="6"/>
        <v>0.29722530521642615</v>
      </c>
      <c r="V20" s="251"/>
      <c r="W20" s="130"/>
      <c r="X20" s="149"/>
      <c r="Y20" s="325">
        <v>1.87</v>
      </c>
      <c r="Z20" s="326">
        <v>2.44</v>
      </c>
      <c r="AA20" s="252">
        <v>0.9</v>
      </c>
      <c r="AB20" s="253"/>
      <c r="AC20" s="77"/>
      <c r="AD20" s="218">
        <v>37138</v>
      </c>
      <c r="AE20" s="368" t="s">
        <v>128</v>
      </c>
      <c r="AF20" s="220"/>
      <c r="AG20" s="236">
        <v>71.239999999999995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45.43</v>
      </c>
      <c r="F21" s="237"/>
      <c r="G21" s="236">
        <f>[1]!'LHP,DIVIDEND'</f>
        <v>3.5</v>
      </c>
      <c r="H21" s="108"/>
      <c r="I21" s="178">
        <f t="shared" si="0"/>
        <v>7.7041602465331274E-2</v>
      </c>
      <c r="J21" s="178"/>
      <c r="K21" s="243">
        <f t="shared" si="1"/>
        <v>215.56602465331275</v>
      </c>
      <c r="L21" s="106"/>
      <c r="M21" s="178">
        <f t="shared" si="2"/>
        <v>7.5885978428351306E-2</v>
      </c>
      <c r="N21" s="106"/>
      <c r="O21" s="165">
        <f t="shared" si="5"/>
        <v>1.5765765765765765</v>
      </c>
      <c r="P21" s="239"/>
      <c r="Q21" s="165">
        <f t="shared" si="3"/>
        <v>1.7916025500109862E-2</v>
      </c>
      <c r="R21" s="239"/>
      <c r="S21" s="165">
        <f t="shared" si="4"/>
        <v>2.3314917127071816E-2</v>
      </c>
      <c r="T21" s="108"/>
      <c r="U21" s="244">
        <f t="shared" si="6"/>
        <v>0.14375757575757575</v>
      </c>
      <c r="V21" s="251"/>
      <c r="W21" s="130"/>
      <c r="X21" s="149"/>
      <c r="Y21" s="325">
        <v>1.99</v>
      </c>
      <c r="Z21" s="326">
        <v>2.2200000000000002</v>
      </c>
      <c r="AA21" s="252">
        <v>0.95</v>
      </c>
      <c r="AB21" s="254"/>
      <c r="AC21" s="77"/>
      <c r="AD21" s="218">
        <v>37099</v>
      </c>
      <c r="AE21" s="368">
        <v>0.875</v>
      </c>
      <c r="AF21" s="373">
        <v>0.875</v>
      </c>
      <c r="AG21" s="236">
        <v>45.49</v>
      </c>
      <c r="AH21" s="373">
        <v>0.875</v>
      </c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26</v>
      </c>
      <c r="F22" s="237"/>
      <c r="G22" s="236">
        <f>[1]!'PAA,DIVIDEND'</f>
        <v>2</v>
      </c>
      <c r="H22" s="320"/>
      <c r="I22" s="178">
        <f t="shared" si="0"/>
        <v>7.6923076923076927E-2</v>
      </c>
      <c r="J22" s="178"/>
      <c r="K22" s="243">
        <f t="shared" si="1"/>
        <v>214.38076923076929</v>
      </c>
      <c r="L22" s="106"/>
      <c r="M22" s="178">
        <f>(I22*AA22)+((I22*(1-AA22))*(1-0.3))</f>
        <v>7.0000000000000007E-2</v>
      </c>
      <c r="N22" s="106"/>
      <c r="O22" s="165">
        <f>+G22/Z22</f>
        <v>1.1049723756906078</v>
      </c>
      <c r="P22" s="239"/>
      <c r="Q22" s="165">
        <f>(AF22+$E22-AG22)/AG22</f>
        <v>3.8610038610039162E-3</v>
      </c>
      <c r="R22" s="239"/>
      <c r="S22" s="165">
        <f>(AH22+$E22-AI22)/AI22</f>
        <v>9.1978160436791329E-2</v>
      </c>
      <c r="T22" s="108"/>
      <c r="U22" s="244">
        <f t="shared" si="6"/>
        <v>0.40852287581699342</v>
      </c>
      <c r="V22" s="251"/>
      <c r="W22" s="130"/>
      <c r="X22" s="149"/>
      <c r="Y22" s="325">
        <v>1.61</v>
      </c>
      <c r="Z22" s="326">
        <v>1.81</v>
      </c>
      <c r="AA22" s="252">
        <v>0.7</v>
      </c>
      <c r="AB22" s="254"/>
      <c r="AC22" s="77"/>
      <c r="AD22" s="218">
        <v>37104</v>
      </c>
      <c r="AE22" s="369">
        <v>0.5</v>
      </c>
      <c r="AF22" s="250"/>
      <c r="AG22" s="236">
        <v>25.9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24.1</v>
      </c>
      <c r="F23" s="237"/>
      <c r="G23" s="236">
        <f>[1]!'TCLPZ.O,DIVIDEND'</f>
        <v>2</v>
      </c>
      <c r="H23" s="108"/>
      <c r="I23" s="178">
        <f t="shared" si="0"/>
        <v>8.2987551867219914E-2</v>
      </c>
      <c r="J23" s="178"/>
      <c r="K23" s="243">
        <f t="shared" si="1"/>
        <v>275.02551867219915</v>
      </c>
      <c r="L23" s="106"/>
      <c r="M23" s="178">
        <f>(I23*AA23)+((I23*(1-AA23))*(1-0.3))</f>
        <v>8.1742738589211619E-2</v>
      </c>
      <c r="N23" s="106"/>
      <c r="O23" s="165">
        <f>+G23/Z23</f>
        <v>0.9009009009009008</v>
      </c>
      <c r="P23" s="239"/>
      <c r="Q23" s="165">
        <f>(AF23+$E23-AG23)/AG23</f>
        <v>2.500000000000006E-2</v>
      </c>
      <c r="R23" s="239"/>
      <c r="S23" s="165">
        <f>(AH23+$E23-AI23)/AI23</f>
        <v>6.9565217391304404E-2</v>
      </c>
      <c r="T23" s="108"/>
      <c r="U23" s="244">
        <f t="shared" si="6"/>
        <v>0.30129870129870134</v>
      </c>
      <c r="V23" s="251"/>
      <c r="W23" s="130"/>
      <c r="X23" s="149"/>
      <c r="Y23" s="325">
        <v>2.17</v>
      </c>
      <c r="Z23" s="326">
        <v>2.2200000000000002</v>
      </c>
      <c r="AA23" s="252">
        <v>0.95</v>
      </c>
      <c r="AB23" s="254"/>
      <c r="AC23" s="77"/>
      <c r="AD23" s="218">
        <v>37099</v>
      </c>
      <c r="AE23" s="369">
        <v>0.5</v>
      </c>
      <c r="AF23" s="372">
        <v>0.5</v>
      </c>
      <c r="AG23" s="316">
        <v>24</v>
      </c>
      <c r="AH23" s="372">
        <v>0.5</v>
      </c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31.14</v>
      </c>
      <c r="F24" s="237"/>
      <c r="G24" s="236">
        <f>[1]!'TPP,DIVIDEND'</f>
        <v>2.1</v>
      </c>
      <c r="H24" s="108"/>
      <c r="I24" s="178">
        <f t="shared" si="0"/>
        <v>6.7437379576107903E-2</v>
      </c>
      <c r="J24" s="178"/>
      <c r="K24" s="243">
        <f t="shared" si="1"/>
        <v>119.52379576107903</v>
      </c>
      <c r="L24" s="106"/>
      <c r="M24" s="178">
        <f t="shared" si="2"/>
        <v>6.1368015414258188E-2</v>
      </c>
      <c r="N24" s="106"/>
      <c r="O24" s="165">
        <f t="shared" si="5"/>
        <v>1.0294117647058825</v>
      </c>
      <c r="P24" s="239"/>
      <c r="Q24" s="165">
        <f t="shared" si="3"/>
        <v>3.8196721311475383E-2</v>
      </c>
      <c r="R24" s="239"/>
      <c r="S24" s="165">
        <f t="shared" si="4"/>
        <v>7.8875638841567217E-2</v>
      </c>
      <c r="T24" s="108"/>
      <c r="U24" s="244">
        <f t="shared" si="6"/>
        <v>0.31053435114503808</v>
      </c>
      <c r="V24" s="251"/>
      <c r="W24" s="130"/>
      <c r="X24" s="149"/>
      <c r="Y24" s="325">
        <v>1.9</v>
      </c>
      <c r="Z24" s="326">
        <v>2.04</v>
      </c>
      <c r="AA24" s="252">
        <v>0.7</v>
      </c>
      <c r="AB24" s="254"/>
      <c r="AC24" s="77"/>
      <c r="AD24" s="218">
        <v>37099</v>
      </c>
      <c r="AE24" s="369">
        <v>0.52500000000000002</v>
      </c>
      <c r="AF24" s="372">
        <v>0.52500000000000002</v>
      </c>
      <c r="AG24" s="236">
        <v>30.5</v>
      </c>
      <c r="AH24" s="372">
        <v>0.52500000000000002</v>
      </c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8.16630082018176E-2</v>
      </c>
      <c r="J26" s="271"/>
      <c r="K26" s="272">
        <f>(+I26-E$28)*10000</f>
        <v>261.78008201817602</v>
      </c>
      <c r="L26" s="267"/>
      <c r="M26" s="271">
        <f>AVERAGEA(M13:M24)</f>
        <v>7.7217897302951338E-2</v>
      </c>
      <c r="N26" s="267"/>
      <c r="O26" s="273">
        <f>AVERAGEA(O13:O24)</f>
        <v>1.4903545376601792</v>
      </c>
      <c r="P26" s="274"/>
      <c r="Q26" s="273">
        <f>AVERAGEA(Q13:Q24)</f>
        <v>1.0627519151407182E-2</v>
      </c>
      <c r="R26" s="274"/>
      <c r="S26" s="273">
        <f>AVERAGEA(S13:S24)</f>
        <v>7.016968211283707E-2</v>
      </c>
      <c r="T26" s="270"/>
      <c r="U26" s="275">
        <f>AVERAGEA(U13:U24)</f>
        <v>0.34754349293554831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v>98.761515752013068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98.761515752013068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v>5.5485E-2</v>
      </c>
      <c r="F28" s="77"/>
      <c r="G28" s="284"/>
      <c r="H28" s="108"/>
      <c r="J28" s="285"/>
      <c r="K28" s="238"/>
      <c r="L28" s="106"/>
      <c r="M28" s="178">
        <f>(E28*AA28)+((E28*(1-AA28))*(1-0.3))</f>
        <v>3.8839499999999999E-2</v>
      </c>
      <c r="N28" s="106"/>
      <c r="O28" s="165"/>
      <c r="P28" s="239"/>
      <c r="Q28" s="165">
        <f>(AF27+$E27-AG27)/AG27</f>
        <v>0</v>
      </c>
      <c r="R28" s="239"/>
      <c r="S28" s="165">
        <f>(AH27+$E27-AI27)/AI27</f>
        <v>2.8725579904690504E-2</v>
      </c>
      <c r="T28" s="108"/>
      <c r="U28" s="244">
        <f>(AJ27+E27-AK27)/AK27</f>
        <v>-1.238484247986932E-2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5.5485E-2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32.450000000000003</v>
      </c>
      <c r="F38" s="335"/>
      <c r="G38" s="207">
        <v>2.4</v>
      </c>
      <c r="H38" s="336"/>
      <c r="I38" s="210">
        <f>+G38/E38</f>
        <v>7.395993836671802E-2</v>
      </c>
      <c r="J38" s="210"/>
      <c r="K38" s="337">
        <f>(+I38-E$28)*10000</f>
        <v>184.74938366718021</v>
      </c>
      <c r="L38" s="206"/>
      <c r="M38" s="210">
        <f>(I38*AA38)+((I38*(1-AA38))*(1-0.3))</f>
        <v>5.1771956856702613E-2</v>
      </c>
      <c r="N38" s="206"/>
      <c r="O38" s="338" t="s">
        <v>117</v>
      </c>
      <c r="P38" s="339"/>
      <c r="Q38" s="338">
        <f>(AF38+$E38-AG38)/AG38</f>
        <v>3.212468193384229E-2</v>
      </c>
      <c r="R38" s="339"/>
      <c r="S38" s="338">
        <f>(AH38+$E38-AI38)/AI38</f>
        <v>8.5284280936455001E-2</v>
      </c>
      <c r="T38" s="209"/>
      <c r="U38" s="340">
        <f>(AJ38+E38-AK38)/AK38</f>
        <v>0.32448979591836746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>
        <v>37102</v>
      </c>
      <c r="AE38" s="370">
        <v>0.50109999999999999</v>
      </c>
      <c r="AF38" s="353"/>
      <c r="AG38" s="354">
        <v>31.44</v>
      </c>
      <c r="AH38" s="353"/>
      <c r="AI38" s="354">
        <v>29.9</v>
      </c>
      <c r="AJ38" s="355" t="s">
        <v>85</v>
      </c>
      <c r="AK38" s="355">
        <v>24.5</v>
      </c>
      <c r="AL38" s="355" t="s">
        <v>85</v>
      </c>
      <c r="AM38" s="355" t="s">
        <v>85</v>
      </c>
      <c r="AN38" s="355" t="s">
        <v>85</v>
      </c>
      <c r="AO38" s="355" t="s">
        <v>85</v>
      </c>
      <c r="AP38" s="355" t="s">
        <v>85</v>
      </c>
      <c r="AQ38" s="356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31.85</v>
      </c>
      <c r="F39" s="343"/>
      <c r="G39" s="228">
        <v>2.1</v>
      </c>
      <c r="H39" s="344"/>
      <c r="I39" s="231">
        <f>+G39/E39</f>
        <v>6.5934065934065936E-2</v>
      </c>
      <c r="J39" s="231"/>
      <c r="K39" s="232">
        <f>(+I39-E$28)*10000</f>
        <v>104.49065934065936</v>
      </c>
      <c r="L39" s="227"/>
      <c r="M39" s="231">
        <f>(I39*AA39)+((I39*(1-AA39))*(1-0.3))</f>
        <v>4.6153846153846149E-2</v>
      </c>
      <c r="N39" s="227"/>
      <c r="O39" s="345" t="s">
        <v>117</v>
      </c>
      <c r="P39" s="346"/>
      <c r="Q39" s="345">
        <f>(AF39+$E39-AG39)/AG39</f>
        <v>6.5217391304347921E-2</v>
      </c>
      <c r="R39" s="346"/>
      <c r="S39" s="345">
        <f>(AH39+$E39-AI39)/AI39</f>
        <v>9.2893573614416969E-2</v>
      </c>
      <c r="T39" s="230"/>
      <c r="U39" s="347">
        <f>(AJ39+E39-AK39)/AK39</f>
        <v>0.49497674418604665</v>
      </c>
      <c r="V39" s="251"/>
      <c r="W39" s="130"/>
      <c r="X39" s="149"/>
      <c r="Y39" s="357">
        <v>1.65</v>
      </c>
      <c r="Z39" s="358">
        <v>1.73</v>
      </c>
      <c r="AA39" s="359">
        <v>0</v>
      </c>
      <c r="AB39" s="360"/>
      <c r="AC39" s="118"/>
      <c r="AD39" s="361">
        <v>37103</v>
      </c>
      <c r="AE39" s="371">
        <v>0.5625</v>
      </c>
      <c r="AF39" s="362"/>
      <c r="AG39" s="363">
        <v>29.9</v>
      </c>
      <c r="AH39" s="362">
        <v>0.29199999999999998</v>
      </c>
      <c r="AI39" s="363">
        <v>29.41</v>
      </c>
      <c r="AJ39" s="364">
        <v>0.29199999999999998</v>
      </c>
      <c r="AK39" s="364">
        <v>21.5</v>
      </c>
      <c r="AL39" s="364" t="s">
        <v>85</v>
      </c>
      <c r="AM39" s="364" t="s">
        <v>85</v>
      </c>
      <c r="AN39" s="364" t="s">
        <v>85</v>
      </c>
      <c r="AO39" s="364" t="s">
        <v>85</v>
      </c>
      <c r="AP39" s="364" t="s">
        <v>85</v>
      </c>
      <c r="AQ39" s="365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6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6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4" t="s">
        <v>35</v>
      </c>
      <c r="F43" s="374"/>
      <c r="G43" s="374"/>
      <c r="H43" s="374"/>
      <c r="I43" s="374"/>
      <c r="J43" s="374"/>
      <c r="K43" s="374"/>
      <c r="L43" s="72"/>
      <c r="M43" s="72"/>
      <c r="N43" s="72"/>
      <c r="O43" s="73"/>
      <c r="P43" s="74"/>
      <c r="Q43" s="374" t="s">
        <v>37</v>
      </c>
      <c r="R43" s="374"/>
      <c r="S43" s="374"/>
      <c r="T43" s="374"/>
      <c r="U43" s="374"/>
      <c r="V43" s="374"/>
      <c r="W43" s="375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2.52</v>
      </c>
      <c r="H45" s="86"/>
      <c r="I45" s="96">
        <v>2.95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3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2.5</v>
      </c>
      <c r="H48" s="86"/>
      <c r="I48" s="96">
        <v>2.95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2.4700000000000002</v>
      </c>
      <c r="H49" s="86"/>
      <c r="I49" s="96">
        <v>2.9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2.4</v>
      </c>
      <c r="H50" s="86"/>
      <c r="I50" s="96">
        <v>2.9</v>
      </c>
      <c r="J50" s="86"/>
      <c r="K50" s="96">
        <v>45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2.5499999999999998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2.5</v>
      </c>
      <c r="H54" s="86"/>
      <c r="I54" s="96">
        <v>2.5499999999999998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2.5</v>
      </c>
      <c r="H56" s="86"/>
      <c r="I56" s="96">
        <v>2.9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2.5336363636363637</v>
      </c>
      <c r="H58" s="108"/>
      <c r="I58" s="107">
        <f>AVERAGEA(I45:I56)</f>
        <v>2.8099999999999996</v>
      </c>
      <c r="J58" s="109"/>
      <c r="K58" s="107">
        <f>AVERAGEA(K45:K56)</f>
        <v>42.589090909090913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2001-07-27T19:45:43Z</cp:lastPrinted>
  <dcterms:created xsi:type="dcterms:W3CDTF">1997-07-25T21:20:20Z</dcterms:created>
  <dcterms:modified xsi:type="dcterms:W3CDTF">2023-09-10T15:44:45Z</dcterms:modified>
</cp:coreProperties>
</file>