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'MLP''s'!$W$10:$AT$34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'MLP''s'!$A:$C,'MLP''s'!$1:$9</definedName>
    <definedName name="report">'MLP''s'!$C$10:$U$34</definedName>
  </definedNames>
  <calcPr calcId="92512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I26" i="1"/>
  <c r="K26" i="1"/>
  <c r="M26" i="1"/>
  <c r="O26" i="1"/>
  <c r="Q26" i="1"/>
  <c r="S26" i="1"/>
  <c r="U26" i="1"/>
  <c r="E27" i="1"/>
  <c r="AK27" i="1"/>
  <c r="AL27" i="1"/>
  <c r="AM27" i="1"/>
  <c r="AN27" i="1"/>
  <c r="E28" i="1"/>
  <c r="M28" i="1"/>
  <c r="Q28" i="1"/>
  <c r="S28" i="1"/>
  <c r="U28" i="1"/>
  <c r="E38" i="1"/>
  <c r="I38" i="1"/>
  <c r="K38" i="1"/>
  <c r="M38" i="1"/>
  <c r="Q38" i="1"/>
  <c r="S38" i="1"/>
  <c r="U38" i="1"/>
  <c r="E39" i="1"/>
  <c r="I39" i="1"/>
  <c r="K39" i="1"/>
  <c r="M39" i="1"/>
  <c r="Q39" i="1"/>
  <c r="S39" i="1"/>
  <c r="U39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<sst xmlns="http://schemas.openxmlformats.org/spreadsheetml/2006/main" count="186" uniqueCount="128">
  <si>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</si>
  <si>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</si>
  <si>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</si>
  <si>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</si>
  <si>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</si>
  <si>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</si>
  <si>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</si>
  <si>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</si>
  <si>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</si>
  <si>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</si>
  <si>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</si>
  <si>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</si>
  <si>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</si>
  <si>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</si>
  <si>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</si>
  <si>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</si>
  <si>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</si>
  <si>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</si>
  <si>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</si>
  <si>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</si>
  <si>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</si>
  <si>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</si>
  <si>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</si>
  <si>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</si>
  <si>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</si>
  <si>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</si>
  <si>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</si>
  <si>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</si>
  <si>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</si>
  <si>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</si>
  <si>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</si>
  <si>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</si>
  <si>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</si>
  <si>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</si>
  <si>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</si>
  <si>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</si>
  <si>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</si>
  <si>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</si>
  <si>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</si>
  <si>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</si>
  <si>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</si>
  <si>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</si>
  <si>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</si>
  <si>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</si>
  <si>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</si>
  <si>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</si>
  <si>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</si>
  <si>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</si>
  <si>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</si>
  <si>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</si>
  <si>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</si>
  <si>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</si>
  <si>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</si>
  <si>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</si>
  <si>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</si>
  <si>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</si>
  <si>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</si>
  <si>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</si>
  <si>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</si>
  <si>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</si>
  <si>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</si>
  <si>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</si>
  <si>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</si>
  <si>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</si>
  <si>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</si>
  <si>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</si>
  <si>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</si>
  <si>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</si>
  <si>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</si>
  <si>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</si>
  <si>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</si>
  <si>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</si>
  <si>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</si>
  <si>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</si>
  <si>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</si>
  <si>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</si>
  <si>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</si>
  <si>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</si>
  <si>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</si>
  <si>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</si>
  <si>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</si>
  <si>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</si>
  <si>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</si>
  <si>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</si>
  <si>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</si>
  <si>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</si>
  <si>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</si>
  <si>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</si>
  <si>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</si>
  <si>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</si>
  <si>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</si>
  <si>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</si>
  <si>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</si>
  <si>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</si>
  <si>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</si>
  <si>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</si>
  <si>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</si>
  <si>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</si>
  <si>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</si>
  <si>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</si>
  <si>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</si>
  <si>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</si>
  <si>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</si>
  <si>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</si>
  <si>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</si>
  <si>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</si>
  <si>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</si>
  <si>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</si>
  <si>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</si>
  <si>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</si>
  <si>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</si>
  <si>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</si>
  <si>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</si>
  <si>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</si>
  <si>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</si>
  <si>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</si>
  <si>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</si>
  <si>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</si>
  <si>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</si>
  <si>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</si>
  <si>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</si>
  <si>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</si>
  <si>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</si>
  <si>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</si>
  <si>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</si>
  <si>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</si>
  <si>
    <t>Enterprise Products</t>
  </si>
  <si>
    <t>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</si>
</sst>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2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9" xfId="0" applyFont="1" applyFill="1" applyBorder="1" applyAlignment="1">
      <alignment horizontal="center"/>
    </xf>
    <xf numFmtId="166" fontId="16" fillId="0" borderId="9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 applyProtection="1">
      <alignment horizontal="center"/>
    </xf>
    <xf numFmtId="166" fontId="18" fillId="0" borderId="19" xfId="0" applyNumberFormat="1" applyFont="1" applyFill="1" applyBorder="1" applyProtection="1"/>
    <xf numFmtId="0" fontId="23" fillId="0" borderId="19" xfId="1" quotePrefix="1" applyNumberFormat="1" applyFont="1" applyFill="1" applyBorder="1" applyAlignment="1">
      <alignment horizontal="center"/>
    </xf>
    <xf numFmtId="1" fontId="16" fillId="0" borderId="19" xfId="3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/>
    <xf numFmtId="9" fontId="24" fillId="0" borderId="20" xfId="3" applyNumberFormat="1" applyFont="1" applyFill="1" applyBorder="1" applyAlignment="1" applyProtection="1">
      <alignment horizontal="center"/>
    </xf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 applyAlignment="1" applyProtection="1">
      <alignment horizontal="center"/>
    </xf>
    <xf numFmtId="166" fontId="18" fillId="0" borderId="22" xfId="0" applyNumberFormat="1" applyFont="1" applyFill="1" applyBorder="1" applyProtection="1"/>
    <xf numFmtId="0" fontId="23" fillId="0" borderId="22" xfId="1" quotePrefix="1" applyNumberFormat="1" applyFont="1" applyFill="1" applyBorder="1" applyAlignment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/>
    <xf numFmtId="9" fontId="24" fillId="0" borderId="23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5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5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173" fontId="25" fillId="0" borderId="5" xfId="2" applyNumberFormat="1" applyFont="1" applyFill="1" applyBorder="1" applyAlignment="1">
      <alignment horizontal="center"/>
    </xf>
    <xf numFmtId="173" fontId="25" fillId="0" borderId="2" xfId="2" applyNumberFormat="1" applyFont="1" applyFill="1" applyBorder="1" applyAlignment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5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10" xfId="2" applyFont="1" applyFill="1" applyBorder="1" applyAlignment="1">
      <alignment horizontal="center"/>
    </xf>
    <xf numFmtId="9" fontId="19" fillId="0" borderId="9" xfId="3" applyFont="1" applyFill="1" applyBorder="1" applyAlignment="1">
      <alignment horizontal="center"/>
    </xf>
    <xf numFmtId="9" fontId="19" fillId="0" borderId="10" xfId="3" applyFont="1" applyFill="1" applyBorder="1" applyAlignment="1">
      <alignment horizontal="center"/>
    </xf>
    <xf numFmtId="14" fontId="20" fillId="0" borderId="9" xfId="0" applyNumberFormat="1" applyFont="1" applyFill="1" applyBorder="1" applyAlignment="1" applyProtection="1">
      <alignment horizontal="center"/>
    </xf>
    <xf numFmtId="173" fontId="25" fillId="0" borderId="10" xfId="2" applyNumberFormat="1" applyFont="1" applyFill="1" applyBorder="1" applyAlignment="1">
      <alignment horizontal="center"/>
    </xf>
    <xf numFmtId="173" fontId="25" fillId="0" borderId="9" xfId="2" applyNumberFormat="1" applyFont="1" applyFill="1" applyBorder="1" applyAlignment="1">
      <alignment horizontal="center"/>
    </xf>
    <xf numFmtId="7" fontId="18" fillId="0" borderId="9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10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73" fontId="17" fillId="0" borderId="22" xfId="2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24.05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36.96</val>
          </value>
        </values>
      </ddeItem>
      <ddeItem name="BPL,DIVIDEND">
        <values>
          <value>
            <val>2.5</val>
          </value>
        </values>
      </ddeItem>
      <ddeItem name="EOT">
        <values>
          <value>
            <val>18.95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34.43</val>
          </value>
        </values>
      </ddeItem>
      <ddeItem name="EPN,DIVIDEND" advise="1">
        <values>
          <value>
            <val>2.2999999999999998</val>
          </value>
        </values>
      </ddeItem>
      <ddeItem name="FGP">
        <values>
          <value>
            <val>19</val>
          </value>
        </values>
      </ddeItem>
      <ddeItem name="FGP,DIVIDEND">
        <values>
          <value>
            <val>2</val>
          </value>
        </values>
      </ddeItem>
      <ddeItem name="GEL.A" advise="1">
        <values>
          <value>
            <val>5.29</val>
          </value>
        </values>
      </ddeItem>
      <ddeItem name="GEL.A,DIVIDEND" advise="1">
        <values>
          <value>
            <val>0.8</val>
          </value>
        </values>
      </ddeItem>
      <ddeItem name="KMP" advise="1">
        <values>
          <value>
            <val>71.239999999999995</val>
          </value>
        </values>
      </ddeItem>
      <ddeItem name="KMP,DIVIDEND" advise="1">
        <values>
          <value>
            <val>4.2</val>
          </value>
        </values>
      </ddeItem>
      <ddeItem name="KPP">
        <values>
          <value>
            <val>38.93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45.49</val>
          </value>
        </values>
      </ddeItem>
      <ddeItem name="LHP,DIVIDEND">
        <values>
          <value>
            <val>3.5</val>
          </value>
        </values>
      </ddeItem>
      <ddeItem name="NBP" advise="1">
        <values>
          <value>
            <val>39.56</val>
          </value>
        </values>
      </ddeItem>
      <ddeItem name="NBP,DIVIDEND">
        <values>
          <value>
            <val>3.05</val>
          </value>
        </values>
      </ddeItem>
      <ddeItem name="PAA">
        <values>
          <value>
            <val>25.9</val>
          </value>
        </values>
      </ddeItem>
      <ddeItem name="PAA,DIVIDEND" advise="1">
        <values>
          <value>
            <val>1.9</val>
          </value>
        </values>
      </ddeItem>
      <ddeItem name="TCLPZ.O" advise="1">
        <values>
          <value>
            <val>24</val>
          </value>
        </values>
      </ddeItem>
      <ddeItem name="TCLPZ.O,DIVIDEND" advise="1">
        <values>
          <value>
            <val>2</val>
          </value>
        </values>
      </ddeItem>
      <ddeItem name="TPP">
        <values>
          <value>
            <val>30.5</val>
          </value>
        </values>
      </ddeItem>
      <ddeItem name="TPP,DIVIDEND">
        <values>
          <value>
            <val>2.1</val>
          </value>
        </values>
      </ddeItem>
      <ddeItem name="UDL">
        <values>
          <value>
            <val>31.44</val>
          </value>
        </values>
      </ddeItem>
      <ddeItem name="US30YT=RR,RT YIELD 1">
        <values>
          <value>
            <val>5.5484999999999998</val>
          </value>
        </values>
      </ddeItem>
      <ddeItem name="WEG">
        <values>
          <value>
            <val>29.9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workbookViewId="0">
      <pane xSplit="3" topLeftCell="D1" activePane="topRight" state="frozen"/>
      <selection pane="topRight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7.453125" style="22" customWidth="1"/>
    <col min="37" max="37" width="15" style="22" customWidth="1"/>
    <col min="38" max="38" width="10.90625" style="22" customWidth="1"/>
    <col min="39" max="41" width="15.453125" style="22" customWidth="1"/>
    <col min="42" max="42" width="12.90625" style="7" customWidth="1"/>
    <col min="43" max="43" width="15.36328125" style="7" customWidth="1"/>
    <col min="44" max="54" width="11.36328125" style="7" customWidth="1"/>
    <col min="55" max="16384" width="9.81640625" style="7"/>
  </cols>
  <sheetData>
    <row r="1" spans="1:54" s="84" customFormat="1" ht="22.8" x14ac:dyDescent="0.4">
      <c r="A1" s="126" t="s">
        <v>0</v>
      </c>
      <c r="B1" s="77"/>
      <c r="C1" s="127"/>
      <c r="D1" s="77"/>
      <c r="E1" s="77"/>
      <c r="F1" s="77"/>
      <c r="G1" s="108"/>
      <c r="H1" s="83"/>
      <c r="I1" s="109"/>
      <c r="J1" s="109"/>
      <c r="K1" s="128"/>
      <c r="L1" s="83"/>
      <c r="M1" s="109"/>
      <c r="N1" s="83"/>
      <c r="O1" s="77"/>
      <c r="P1" s="83"/>
      <c r="Q1" s="77"/>
      <c r="R1" s="83"/>
      <c r="S1" s="77"/>
      <c r="T1" s="83"/>
      <c r="U1" s="129" t="s">
        <v>114</v>
      </c>
      <c r="V1" s="130"/>
      <c r="W1" s="130"/>
      <c r="X1" s="130"/>
      <c r="Y1" s="130"/>
      <c r="Z1" s="130"/>
      <c r="AA1" s="130"/>
      <c r="AB1" s="130"/>
      <c r="AC1" s="77"/>
      <c r="AD1" s="83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83"/>
      <c r="AQ1" s="83"/>
      <c r="AR1" s="79"/>
      <c r="AS1" s="83"/>
      <c r="AT1" s="79"/>
      <c r="AU1" s="79"/>
      <c r="AV1" s="79"/>
      <c r="AW1" s="79"/>
      <c r="AX1" s="79"/>
      <c r="AY1" s="131"/>
      <c r="AZ1" s="79"/>
      <c r="BA1" s="79"/>
    </row>
    <row r="2" spans="1:54" s="84" customFormat="1" ht="22.8" x14ac:dyDescent="0.4">
      <c r="A2" s="126" t="s">
        <v>1</v>
      </c>
      <c r="B2" s="77"/>
      <c r="C2" s="127"/>
      <c r="D2" s="77"/>
      <c r="E2" s="77"/>
      <c r="F2" s="77"/>
      <c r="G2" s="108"/>
      <c r="H2" s="106"/>
      <c r="I2" s="109"/>
      <c r="J2" s="109"/>
      <c r="K2" s="132"/>
      <c r="L2" s="106"/>
      <c r="M2" s="109"/>
      <c r="N2" s="106"/>
      <c r="O2" s="77"/>
      <c r="P2" s="83"/>
      <c r="Q2" s="77"/>
      <c r="R2" s="83"/>
      <c r="S2" s="77"/>
      <c r="T2" s="106"/>
      <c r="U2" s="133">
        <v>37092</v>
      </c>
      <c r="V2" s="134"/>
      <c r="W2" s="310"/>
      <c r="X2" s="134"/>
      <c r="Y2" s="134"/>
      <c r="Z2" s="134"/>
      <c r="AA2" s="134"/>
      <c r="AB2" s="134"/>
      <c r="AC2" s="77"/>
      <c r="AD2" s="106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06"/>
      <c r="AQ2" s="106"/>
      <c r="AR2" s="106"/>
      <c r="AS2" s="106"/>
      <c r="AT2" s="136"/>
      <c r="AU2" s="136"/>
      <c r="AV2" s="136"/>
      <c r="AW2" s="136"/>
      <c r="AX2" s="137"/>
      <c r="AY2" s="136"/>
      <c r="AZ2" s="136"/>
      <c r="BA2" s="83"/>
      <c r="BB2" s="138"/>
    </row>
    <row r="3" spans="1:54" s="84" customFormat="1" ht="22.8" x14ac:dyDescent="0.4">
      <c r="A3" s="77"/>
      <c r="B3" s="77"/>
      <c r="C3" s="127"/>
      <c r="D3" s="77"/>
      <c r="E3" s="77"/>
      <c r="F3" s="77"/>
      <c r="G3" s="108"/>
      <c r="H3" s="106"/>
      <c r="I3" s="109"/>
      <c r="J3" s="109"/>
      <c r="K3" s="139"/>
      <c r="L3" s="106"/>
      <c r="M3" s="109"/>
      <c r="N3" s="106"/>
      <c r="O3" s="77"/>
      <c r="P3" s="83"/>
      <c r="Q3" s="77"/>
      <c r="R3" s="83"/>
      <c r="S3" s="77"/>
      <c r="T3" s="106"/>
      <c r="U3" s="140"/>
      <c r="V3" s="134"/>
      <c r="W3" s="134"/>
      <c r="X3" s="134"/>
      <c r="Y3" s="134"/>
      <c r="Z3" s="134"/>
      <c r="AA3" s="134"/>
      <c r="AB3" s="134"/>
      <c r="AC3" s="77"/>
      <c r="AD3" s="106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06"/>
      <c r="AQ3" s="106"/>
      <c r="AR3" s="106"/>
      <c r="AS3" s="106"/>
      <c r="AT3" s="136"/>
      <c r="AU3" s="136"/>
      <c r="AV3" s="136"/>
      <c r="AW3" s="136"/>
      <c r="AX3" s="137"/>
      <c r="AY3" s="136"/>
      <c r="AZ3" s="136"/>
      <c r="BA3" s="83"/>
      <c r="BB3" s="138"/>
    </row>
    <row r="4" spans="1:54" s="84" customFormat="1" ht="22.8" x14ac:dyDescent="0.4">
      <c r="A4" s="77"/>
      <c r="B4" s="77"/>
      <c r="C4" s="127"/>
      <c r="D4" s="77"/>
      <c r="E4" s="77"/>
      <c r="F4" s="77"/>
      <c r="G4" s="108"/>
      <c r="H4" s="106"/>
      <c r="I4" s="109"/>
      <c r="J4" s="109"/>
      <c r="K4" s="132"/>
      <c r="L4" s="106"/>
      <c r="M4" s="109" t="s">
        <v>2</v>
      </c>
      <c r="N4" s="106"/>
      <c r="O4" s="77"/>
      <c r="P4" s="83"/>
      <c r="Q4" s="141"/>
      <c r="R4" s="141"/>
      <c r="S4" s="142"/>
      <c r="T4" s="142"/>
      <c r="U4" s="142"/>
      <c r="V4" s="134"/>
      <c r="W4" s="134"/>
      <c r="X4" s="134"/>
      <c r="Y4" s="134"/>
      <c r="Z4" s="134"/>
      <c r="AA4" s="134"/>
      <c r="AB4" s="134"/>
      <c r="AC4" s="77"/>
      <c r="AD4" s="106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06"/>
      <c r="AQ4" s="106"/>
      <c r="AR4" s="136"/>
      <c r="AS4" s="136"/>
      <c r="AT4" s="136"/>
      <c r="AU4" s="136"/>
      <c r="AV4" s="137"/>
      <c r="AW4" s="136"/>
      <c r="AX4" s="136"/>
      <c r="AY4" s="83"/>
      <c r="AZ4" s="138"/>
    </row>
    <row r="5" spans="1:54" s="84" customFormat="1" ht="22.8" x14ac:dyDescent="0.4">
      <c r="A5" s="77"/>
      <c r="B5" s="77"/>
      <c r="C5" s="127"/>
      <c r="D5" s="77"/>
      <c r="E5" s="143"/>
      <c r="F5" s="143"/>
      <c r="G5" s="108"/>
      <c r="H5" s="108"/>
      <c r="I5" s="109"/>
      <c r="J5" s="109"/>
      <c r="K5" s="113"/>
      <c r="L5" s="108"/>
      <c r="M5" s="109" t="s">
        <v>3</v>
      </c>
      <c r="N5" s="108"/>
      <c r="O5" s="110"/>
      <c r="P5" s="110"/>
      <c r="Q5" s="144" t="s">
        <v>4</v>
      </c>
      <c r="R5" s="145"/>
      <c r="S5" s="145"/>
      <c r="T5" s="146"/>
      <c r="U5" s="147"/>
      <c r="V5" s="148"/>
      <c r="W5" s="130"/>
      <c r="X5" s="149"/>
      <c r="Y5" s="150">
        <v>2001</v>
      </c>
      <c r="Z5" s="151">
        <v>2002</v>
      </c>
      <c r="AA5" s="152" t="s">
        <v>6</v>
      </c>
      <c r="AB5" s="153"/>
      <c r="AC5" s="154"/>
      <c r="AD5" s="155"/>
      <c r="AE5" s="156"/>
      <c r="AF5" s="157" t="s">
        <v>7</v>
      </c>
      <c r="AG5" s="158"/>
      <c r="AH5" s="157" t="s">
        <v>8</v>
      </c>
      <c r="AI5" s="159"/>
      <c r="AJ5" s="318" t="s">
        <v>9</v>
      </c>
      <c r="AK5" s="158"/>
      <c r="AL5" s="318"/>
      <c r="AM5" s="158"/>
      <c r="AN5" s="159"/>
      <c r="AO5" s="159"/>
      <c r="AP5" s="160"/>
      <c r="AQ5" s="161"/>
      <c r="AR5" s="162"/>
      <c r="AS5" s="106"/>
      <c r="AT5" s="106"/>
      <c r="AU5" s="106"/>
      <c r="AV5" s="106"/>
      <c r="AW5" s="106"/>
      <c r="AX5" s="106"/>
      <c r="AY5" s="106"/>
      <c r="AZ5" s="77"/>
    </row>
    <row r="6" spans="1:54" s="84" customFormat="1" ht="22.8" x14ac:dyDescent="0.4">
      <c r="A6" s="77"/>
      <c r="B6" s="77"/>
      <c r="C6" s="127"/>
      <c r="D6" s="77"/>
      <c r="E6" s="163" t="s">
        <v>10</v>
      </c>
      <c r="F6" s="163"/>
      <c r="G6" s="143" t="s">
        <v>11</v>
      </c>
      <c r="H6" s="108"/>
      <c r="I6" s="164" t="s">
        <v>12</v>
      </c>
      <c r="J6" s="164"/>
      <c r="K6" s="113"/>
      <c r="L6" s="108"/>
      <c r="M6" s="164" t="s">
        <v>12</v>
      </c>
      <c r="N6" s="108"/>
      <c r="O6" s="165" t="s">
        <v>13</v>
      </c>
      <c r="P6" s="165"/>
      <c r="Q6" s="165" t="s">
        <v>12</v>
      </c>
      <c r="R6" s="165"/>
      <c r="S6" s="106" t="s">
        <v>14</v>
      </c>
      <c r="T6" s="142"/>
      <c r="U6" s="106" t="s">
        <v>5</v>
      </c>
      <c r="V6" s="166"/>
      <c r="W6" s="130"/>
      <c r="X6" s="149"/>
      <c r="Y6" s="167" t="s">
        <v>16</v>
      </c>
      <c r="Z6" s="168" t="s">
        <v>16</v>
      </c>
      <c r="AA6" s="166" t="s">
        <v>17</v>
      </c>
      <c r="AB6" s="168" t="s">
        <v>18</v>
      </c>
      <c r="AC6" s="77"/>
      <c r="AD6" s="169" t="s">
        <v>19</v>
      </c>
      <c r="AE6" s="170" t="s">
        <v>19</v>
      </c>
      <c r="AF6" s="299" t="s">
        <v>81</v>
      </c>
      <c r="AG6" s="171">
        <v>37085</v>
      </c>
      <c r="AH6" s="299" t="s">
        <v>81</v>
      </c>
      <c r="AI6" s="171">
        <v>37071</v>
      </c>
      <c r="AJ6" s="299" t="s">
        <v>81</v>
      </c>
      <c r="AK6" s="171">
        <v>36889</v>
      </c>
      <c r="AL6" s="299">
        <v>2000</v>
      </c>
      <c r="AM6" s="171">
        <v>36523</v>
      </c>
      <c r="AN6" s="319" t="s">
        <v>102</v>
      </c>
      <c r="AO6" s="173">
        <v>36160</v>
      </c>
      <c r="AP6" s="172">
        <v>1998</v>
      </c>
      <c r="AQ6" s="173">
        <v>35795</v>
      </c>
      <c r="AR6" s="162"/>
      <c r="AS6" s="106"/>
      <c r="AT6" s="106"/>
      <c r="AU6" s="163"/>
      <c r="AV6" s="163"/>
      <c r="AW6" s="106"/>
      <c r="AX6" s="106"/>
      <c r="AY6" s="106"/>
      <c r="AZ6" s="83"/>
    </row>
    <row r="7" spans="1:54" s="84" customFormat="1" ht="26.4" x14ac:dyDescent="0.4">
      <c r="A7" s="174" t="s">
        <v>20</v>
      </c>
      <c r="B7" s="77"/>
      <c r="C7" s="174" t="s">
        <v>21</v>
      </c>
      <c r="D7" s="77"/>
      <c r="E7" s="175" t="s">
        <v>22</v>
      </c>
      <c r="F7" s="176"/>
      <c r="G7" s="174" t="s">
        <v>23</v>
      </c>
      <c r="H7" s="108"/>
      <c r="I7" s="177" t="s">
        <v>24</v>
      </c>
      <c r="J7" s="178"/>
      <c r="K7" s="179" t="s">
        <v>25</v>
      </c>
      <c r="L7" s="108"/>
      <c r="M7" s="177" t="s">
        <v>71</v>
      </c>
      <c r="N7" s="108"/>
      <c r="O7" s="180" t="s">
        <v>26</v>
      </c>
      <c r="P7" s="165"/>
      <c r="Q7" s="180" t="s">
        <v>27</v>
      </c>
      <c r="R7" s="165"/>
      <c r="S7" s="181" t="s">
        <v>15</v>
      </c>
      <c r="T7" s="108"/>
      <c r="U7" s="181" t="s">
        <v>15</v>
      </c>
      <c r="V7" s="166"/>
      <c r="W7" s="130"/>
      <c r="X7" s="149"/>
      <c r="Y7" s="182" t="s">
        <v>28</v>
      </c>
      <c r="Z7" s="183" t="s">
        <v>28</v>
      </c>
      <c r="AA7" s="184" t="s">
        <v>29</v>
      </c>
      <c r="AB7" s="184" t="s">
        <v>29</v>
      </c>
      <c r="AC7" s="185"/>
      <c r="AD7" s="186" t="s">
        <v>30</v>
      </c>
      <c r="AE7" s="187" t="s">
        <v>31</v>
      </c>
      <c r="AF7" s="188" t="s">
        <v>27</v>
      </c>
      <c r="AG7" s="189" t="s">
        <v>32</v>
      </c>
      <c r="AH7" s="188" t="s">
        <v>33</v>
      </c>
      <c r="AI7" s="189" t="s">
        <v>32</v>
      </c>
      <c r="AJ7" s="190" t="s">
        <v>103</v>
      </c>
      <c r="AK7" s="189" t="s">
        <v>32</v>
      </c>
      <c r="AL7" s="190" t="s">
        <v>103</v>
      </c>
      <c r="AM7" s="189" t="s">
        <v>32</v>
      </c>
      <c r="AN7" s="189" t="s">
        <v>34</v>
      </c>
      <c r="AO7" s="192" t="s">
        <v>32</v>
      </c>
      <c r="AP7" s="191" t="s">
        <v>34</v>
      </c>
      <c r="AQ7" s="192" t="s">
        <v>32</v>
      </c>
      <c r="AR7" s="136"/>
      <c r="AS7" s="106"/>
      <c r="AT7" s="106"/>
      <c r="AU7" s="79"/>
      <c r="AV7" s="83"/>
      <c r="AW7" s="83"/>
      <c r="AX7" s="83"/>
      <c r="AY7" s="83"/>
      <c r="AZ7" s="83"/>
    </row>
    <row r="8" spans="1:54" s="84" customFormat="1" ht="22.8" x14ac:dyDescent="0.4">
      <c r="A8" s="77"/>
      <c r="B8" s="77"/>
      <c r="C8" s="127"/>
      <c r="D8" s="77"/>
      <c r="E8" s="77"/>
      <c r="F8" s="77"/>
      <c r="G8" s="108"/>
      <c r="H8" s="108"/>
      <c r="I8" s="109"/>
      <c r="J8" s="109"/>
      <c r="K8" s="113"/>
      <c r="L8" s="108"/>
      <c r="M8" s="109"/>
      <c r="N8" s="108"/>
      <c r="O8" s="110"/>
      <c r="P8" s="110"/>
      <c r="Q8" s="110"/>
      <c r="R8" s="110"/>
      <c r="S8" s="110"/>
      <c r="T8" s="108"/>
      <c r="U8" s="77"/>
      <c r="V8" s="193"/>
      <c r="W8" s="130"/>
      <c r="X8" s="149"/>
      <c r="Y8" s="194"/>
      <c r="Z8" s="195"/>
      <c r="AA8" s="196"/>
      <c r="AB8" s="195"/>
      <c r="AC8" s="77"/>
      <c r="AD8" s="197"/>
      <c r="AE8" s="198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293"/>
      <c r="AQ8" s="264"/>
      <c r="AR8" s="200"/>
      <c r="AS8" s="200"/>
      <c r="AT8" s="200"/>
      <c r="AU8" s="201"/>
      <c r="AV8" s="201"/>
      <c r="AW8" s="201"/>
      <c r="AX8" s="201"/>
      <c r="AY8" s="106"/>
      <c r="AZ8" s="163"/>
    </row>
    <row r="9" spans="1:54" s="84" customFormat="1" ht="23.4" thickBot="1" x14ac:dyDescent="0.45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83"/>
      <c r="Q9" s="77"/>
      <c r="R9" s="83"/>
      <c r="S9" s="77"/>
      <c r="T9" s="77"/>
      <c r="U9" s="77"/>
      <c r="V9" s="91"/>
      <c r="W9" s="83"/>
      <c r="X9" s="79"/>
      <c r="Y9" s="202"/>
      <c r="Z9" s="203"/>
      <c r="AA9" s="149"/>
      <c r="AB9" s="203"/>
      <c r="AD9" s="197"/>
      <c r="AE9" s="198"/>
      <c r="AF9" s="199"/>
      <c r="AG9" s="369"/>
      <c r="AH9" s="199"/>
      <c r="AI9" s="369"/>
      <c r="AJ9" s="199"/>
      <c r="AK9" s="199"/>
      <c r="AL9" s="199"/>
      <c r="AM9" s="199"/>
      <c r="AN9" s="199"/>
      <c r="AO9" s="199"/>
      <c r="AP9" s="294"/>
      <c r="AQ9" s="264"/>
    </row>
    <row r="10" spans="1:54" s="84" customFormat="1" ht="22.8" x14ac:dyDescent="0.4">
      <c r="A10" s="204" t="s">
        <v>35</v>
      </c>
      <c r="B10" s="205"/>
      <c r="C10" s="206" t="s">
        <v>36</v>
      </c>
      <c r="D10" s="205"/>
      <c r="E10" s="207">
        <f>[1]!NBP</f>
        <v>39.56</v>
      </c>
      <c r="F10" s="208"/>
      <c r="G10" s="207">
        <f>[1]!'NBP,DIVIDEND'</f>
        <v>3.05</v>
      </c>
      <c r="H10" s="209"/>
      <c r="I10" s="210">
        <f>+G10/E10</f>
        <v>7.7098078867542968E-2</v>
      </c>
      <c r="J10" s="210"/>
      <c r="K10" s="211">
        <f>(+I10-E$28)*10000</f>
        <v>216.1307886754297</v>
      </c>
      <c r="L10" s="206"/>
      <c r="M10" s="210">
        <f>(I10*AA10)+((I10*(1-AA10))*(1-0.3))</f>
        <v>7.594160768452983E-2</v>
      </c>
      <c r="N10" s="206"/>
      <c r="O10" s="212">
        <f>+G10/Z10</f>
        <v>1.1282367447595563</v>
      </c>
      <c r="P10" s="213"/>
      <c r="Q10" s="212">
        <f>(AF10+$E10-AG10)/AG10</f>
        <v>3.4248366013071956E-2</v>
      </c>
      <c r="R10" s="213"/>
      <c r="S10" s="212">
        <f>(AH10+$E10-AI10)/AI10</f>
        <v>4.2973899288162469E-2</v>
      </c>
      <c r="T10" s="209"/>
      <c r="U10" s="214">
        <f>(AJ10+$E10-AK10)/AK10</f>
        <v>0.30750597609561764</v>
      </c>
      <c r="V10" s="215"/>
      <c r="W10" s="130"/>
      <c r="X10" s="149"/>
      <c r="Y10" s="323">
        <f>ROUND(G58,2)</f>
        <v>2.6</v>
      </c>
      <c r="Z10" s="324">
        <f>+I58</f>
        <v>2.7033333333333327</v>
      </c>
      <c r="AA10" s="216">
        <v>0.95</v>
      </c>
      <c r="AB10" s="217"/>
      <c r="AC10" s="77"/>
      <c r="AD10" s="218">
        <v>37098</v>
      </c>
      <c r="AE10" s="219">
        <v>0.76249999999999996</v>
      </c>
      <c r="AF10" s="220"/>
      <c r="AG10" s="236">
        <v>38.25</v>
      </c>
      <c r="AH10" s="220"/>
      <c r="AI10" s="236">
        <v>37.93</v>
      </c>
      <c r="AJ10" s="220">
        <f>0.7+0.763</f>
        <v>1.4630000000000001</v>
      </c>
      <c r="AK10" s="219">
        <v>31.375</v>
      </c>
      <c r="AL10" s="321">
        <f>0.65*3+0.7</f>
        <v>2.6500000000000004</v>
      </c>
      <c r="AM10" s="219">
        <v>23</v>
      </c>
      <c r="AN10" s="220">
        <f>0.61*4</f>
        <v>2.44</v>
      </c>
      <c r="AO10" s="219">
        <v>32.5625</v>
      </c>
      <c r="AP10" s="295">
        <f>0.575+0.575+0.575+0.575</f>
        <v>2.2999999999999998</v>
      </c>
      <c r="AQ10" s="221">
        <v>34</v>
      </c>
      <c r="AR10" s="200"/>
      <c r="AS10" s="201"/>
      <c r="AT10" s="201"/>
      <c r="AU10" s="201"/>
      <c r="AV10" s="201"/>
      <c r="AW10" s="83"/>
      <c r="AX10" s="223"/>
      <c r="AY10" s="224"/>
    </row>
    <row r="11" spans="1:54" s="84" customFormat="1" ht="23.4" thickBot="1" x14ac:dyDescent="0.45">
      <c r="A11" s="225" t="s">
        <v>37</v>
      </c>
      <c r="B11" s="226"/>
      <c r="C11" s="227" t="s">
        <v>38</v>
      </c>
      <c r="D11" s="226"/>
      <c r="E11" s="228">
        <f>[1]!EOT</f>
        <v>18.95</v>
      </c>
      <c r="F11" s="229"/>
      <c r="G11" s="228">
        <f>[1]!'EOT,DIVIDEND'</f>
        <v>1.9</v>
      </c>
      <c r="H11" s="230"/>
      <c r="I11" s="231">
        <f>+G11/E11</f>
        <v>0.10026385224274406</v>
      </c>
      <c r="J11" s="231"/>
      <c r="K11" s="232">
        <f>(+I11-E$28)*10000</f>
        <v>447.78852242744063</v>
      </c>
      <c r="L11" s="227"/>
      <c r="M11" s="231">
        <f>(I11*AA11)+((I11*(1-AA11))*(1-0.3))</f>
        <v>9.8759894459102909E-2</v>
      </c>
      <c r="N11" s="227"/>
      <c r="O11" s="233">
        <f>+G11/Z11</f>
        <v>2.8787878787878785</v>
      </c>
      <c r="P11" s="234"/>
      <c r="Q11" s="233">
        <f>(AF11+$E11-AG11)/AG11</f>
        <v>1.9365250134480875E-2</v>
      </c>
      <c r="R11" s="234"/>
      <c r="S11" s="233">
        <f>(AH11+$E11-AI11)/AI11</f>
        <v>2.9891304347826129E-2</v>
      </c>
      <c r="T11" s="230"/>
      <c r="U11" s="235">
        <f>(AJ11+E11-AK11)/AK11</f>
        <v>0.21526717557251901</v>
      </c>
      <c r="V11" s="215"/>
      <c r="W11" s="130"/>
      <c r="X11" s="149"/>
      <c r="Y11" s="323">
        <v>0.62</v>
      </c>
      <c r="Z11" s="324">
        <v>0.66</v>
      </c>
      <c r="AA11" s="216">
        <v>0.95</v>
      </c>
      <c r="AB11" s="217"/>
      <c r="AD11" s="218">
        <v>37098</v>
      </c>
      <c r="AE11" s="219">
        <v>0.47499999999999998</v>
      </c>
      <c r="AF11" s="220"/>
      <c r="AG11" s="228">
        <v>18.59</v>
      </c>
      <c r="AH11" s="220"/>
      <c r="AI11" s="228">
        <v>18.399999999999999</v>
      </c>
      <c r="AJ11" s="220">
        <f>0.475*2</f>
        <v>0.95</v>
      </c>
      <c r="AK11" s="219">
        <v>16.375</v>
      </c>
      <c r="AL11" s="321">
        <f>0.475*4</f>
        <v>1.9</v>
      </c>
      <c r="AM11" s="219">
        <v>13</v>
      </c>
      <c r="AN11" s="220">
        <f>0.475*4</f>
        <v>1.9</v>
      </c>
      <c r="AO11" s="219">
        <v>15.75</v>
      </c>
      <c r="AP11" s="222">
        <f>0.475+0.475+0.475+0.475</f>
        <v>1.9</v>
      </c>
      <c r="AQ11" s="221">
        <v>17.125</v>
      </c>
      <c r="AR11" s="200"/>
      <c r="AS11" s="201"/>
      <c r="AT11" s="83"/>
      <c r="AU11" s="201"/>
      <c r="AV11" s="201"/>
      <c r="AW11" s="83"/>
      <c r="AX11" s="223"/>
      <c r="AY11" s="224"/>
      <c r="AZ11" s="79"/>
      <c r="BA11" s="79"/>
    </row>
    <row r="12" spans="1:54" s="84" customFormat="1" ht="22.8" x14ac:dyDescent="0.4">
      <c r="A12" s="77"/>
      <c r="B12" s="77"/>
      <c r="C12" s="127"/>
      <c r="D12" s="77"/>
      <c r="E12" s="236"/>
      <c r="F12" s="237"/>
      <c r="G12" s="236"/>
      <c r="H12" s="108"/>
      <c r="I12" s="109"/>
      <c r="J12" s="109"/>
      <c r="K12" s="238"/>
      <c r="L12" s="106"/>
      <c r="M12" s="109"/>
      <c r="N12" s="106"/>
      <c r="O12" s="165"/>
      <c r="P12" s="239"/>
      <c r="Q12" s="165"/>
      <c r="R12" s="239"/>
      <c r="S12" s="165"/>
      <c r="T12" s="108"/>
      <c r="U12" s="240"/>
      <c r="V12" s="215"/>
      <c r="W12" s="130"/>
      <c r="X12" s="149"/>
      <c r="Y12" s="323"/>
      <c r="Z12" s="324"/>
      <c r="AA12" s="216"/>
      <c r="AB12" s="217"/>
      <c r="AC12" s="77"/>
      <c r="AD12" s="241"/>
      <c r="AE12" s="219"/>
      <c r="AF12" s="220"/>
      <c r="AG12" s="236"/>
      <c r="AH12" s="220"/>
      <c r="AI12" s="236"/>
      <c r="AJ12" s="220"/>
      <c r="AK12" s="219"/>
      <c r="AL12" s="321"/>
      <c r="AM12" s="219"/>
      <c r="AN12" s="220"/>
      <c r="AO12" s="219"/>
      <c r="AP12" s="295"/>
      <c r="AQ12" s="242"/>
      <c r="AR12" s="200"/>
      <c r="AS12" s="201"/>
      <c r="AT12" s="83"/>
      <c r="AU12" s="201"/>
      <c r="AV12" s="201"/>
      <c r="AW12" s="83"/>
      <c r="AX12" s="223"/>
      <c r="AY12" s="224"/>
      <c r="AZ12" s="79"/>
      <c r="BA12" s="79"/>
    </row>
    <row r="13" spans="1:54" s="84" customFormat="1" ht="26.4" x14ac:dyDescent="0.4">
      <c r="A13" s="126" t="s">
        <v>72</v>
      </c>
      <c r="B13" s="77"/>
      <c r="C13" s="143" t="s">
        <v>39</v>
      </c>
      <c r="D13" s="77"/>
      <c r="E13" s="236">
        <f>[1]!APU</f>
        <v>24.05</v>
      </c>
      <c r="F13" s="237"/>
      <c r="G13" s="236">
        <f>[1]!'APU,DIVIDEND'</f>
        <v>2.2000000000000002</v>
      </c>
      <c r="H13" s="108"/>
      <c r="I13" s="178">
        <f t="shared" ref="I13:I24" si="0">+G13/E13</f>
        <v>9.1476091476091481E-2</v>
      </c>
      <c r="J13" s="178"/>
      <c r="K13" s="243">
        <f t="shared" ref="K13:K24" si="1">(+I13-E$28)*10000</f>
        <v>359.91091476091481</v>
      </c>
      <c r="L13" s="106"/>
      <c r="M13" s="178">
        <f t="shared" ref="M13:M24" si="2">(I13*AA13)+((I13*(1-AA13))*(1-0.3))</f>
        <v>8.3243243243243253E-2</v>
      </c>
      <c r="N13" s="106"/>
      <c r="O13" s="165">
        <f>+G13/Y13</f>
        <v>2</v>
      </c>
      <c r="P13" s="239"/>
      <c r="Q13" s="165">
        <f t="shared" ref="Q13:Q24" si="3">(AF13+$E13-AG13)/AG13</f>
        <v>1.0504201680672268E-2</v>
      </c>
      <c r="R13" s="239"/>
      <c r="S13" s="165">
        <f t="shared" ref="S13:S24" si="4">(AH13+$E13-AI13)/AI13</f>
        <v>3.4408602150537662E-2</v>
      </c>
      <c r="T13" s="108"/>
      <c r="U13" s="244">
        <f>(AJ13+E13-AK13)/AK13</f>
        <v>0.51278195488721823</v>
      </c>
      <c r="V13" s="215"/>
      <c r="W13" s="130"/>
      <c r="X13" s="149"/>
      <c r="Y13" s="323">
        <v>1.1000000000000001</v>
      </c>
      <c r="Z13" s="324">
        <v>1.1499999999999999</v>
      </c>
      <c r="AA13" s="216">
        <v>0.7</v>
      </c>
      <c r="AB13" s="245"/>
      <c r="AC13" s="77"/>
      <c r="AD13" s="218">
        <v>37107</v>
      </c>
      <c r="AE13" s="219">
        <v>0.55000000000000004</v>
      </c>
      <c r="AF13" s="328"/>
      <c r="AG13" s="236">
        <v>23.8</v>
      </c>
      <c r="AH13" s="328"/>
      <c r="AI13" s="236">
        <v>23.25</v>
      </c>
      <c r="AJ13" s="328">
        <f>0.55*2</f>
        <v>1.1000000000000001</v>
      </c>
      <c r="AK13" s="219">
        <v>16.625</v>
      </c>
      <c r="AL13" s="321">
        <f>0.55*4</f>
        <v>2.2000000000000002</v>
      </c>
      <c r="AM13" s="219">
        <v>14.875</v>
      </c>
      <c r="AN13" s="220">
        <f>0.55*4</f>
        <v>2.2000000000000002</v>
      </c>
      <c r="AO13" s="219">
        <v>22.875</v>
      </c>
      <c r="AP13" s="222">
        <f>0.55+0.55+0.55+0.55</f>
        <v>2.2000000000000002</v>
      </c>
      <c r="AQ13" s="246">
        <v>25.1875</v>
      </c>
      <c r="AR13" s="200"/>
      <c r="AS13" s="201"/>
      <c r="AT13" s="83"/>
      <c r="AU13" s="201"/>
      <c r="AV13" s="201"/>
      <c r="AW13" s="83"/>
      <c r="AX13" s="247"/>
      <c r="AY13" s="224"/>
    </row>
    <row r="14" spans="1:54" s="84" customFormat="1" ht="22.8" x14ac:dyDescent="0.4">
      <c r="A14" s="126" t="s">
        <v>40</v>
      </c>
      <c r="B14" s="77"/>
      <c r="C14" s="143" t="s">
        <v>41</v>
      </c>
      <c r="D14" s="77"/>
      <c r="E14" s="236">
        <f>[1]!BPL</f>
        <v>36.96</v>
      </c>
      <c r="F14" s="237"/>
      <c r="G14" s="236">
        <f>[1]!'BPL,DIVIDEND'</f>
        <v>2.5</v>
      </c>
      <c r="H14" s="108"/>
      <c r="I14" s="178">
        <f t="shared" si="0"/>
        <v>6.764069264069264E-2</v>
      </c>
      <c r="J14" s="178"/>
      <c r="K14" s="243">
        <f t="shared" si="1"/>
        <v>121.55692640692641</v>
      </c>
      <c r="L14" s="106"/>
      <c r="M14" s="178">
        <f t="shared" si="2"/>
        <v>6.2567640692640689E-2</v>
      </c>
      <c r="N14" s="106"/>
      <c r="O14" s="165">
        <f t="shared" ref="O14:O24" si="5">+G14/Z14</f>
        <v>0.96525096525096532</v>
      </c>
      <c r="P14" s="239"/>
      <c r="Q14" s="165">
        <f t="shared" si="3"/>
        <v>4.406779661016956E-2</v>
      </c>
      <c r="R14" s="239"/>
      <c r="S14" s="165">
        <f t="shared" si="4"/>
        <v>7.0683661645422877E-2</v>
      </c>
      <c r="T14" s="108"/>
      <c r="U14" s="244">
        <f t="shared" ref="U14:U24" si="6">(AJ14+E14-AK14)/AK14</f>
        <v>0.32155844155844171</v>
      </c>
      <c r="V14" s="215"/>
      <c r="W14" s="130"/>
      <c r="X14" s="149"/>
      <c r="Y14" s="323">
        <v>2.44</v>
      </c>
      <c r="Z14" s="324">
        <v>2.59</v>
      </c>
      <c r="AA14" s="216">
        <v>0.75</v>
      </c>
      <c r="AB14" s="217"/>
      <c r="AC14" s="77"/>
      <c r="AD14" s="218">
        <v>37105</v>
      </c>
      <c r="AE14" s="219">
        <v>0.6</v>
      </c>
      <c r="AF14" s="220"/>
      <c r="AG14" s="236">
        <v>35.4</v>
      </c>
      <c r="AH14" s="220"/>
      <c r="AI14" s="236">
        <v>34.520000000000003</v>
      </c>
      <c r="AJ14" s="220">
        <f>0.6*2</f>
        <v>1.2</v>
      </c>
      <c r="AK14" s="219">
        <v>28.875</v>
      </c>
      <c r="AL14" s="321">
        <f>0.6*4</f>
        <v>2.4</v>
      </c>
      <c r="AM14" s="219">
        <v>26</v>
      </c>
      <c r="AN14" s="220">
        <f>0.525+0.55*3</f>
        <v>2.1750000000000003</v>
      </c>
      <c r="AO14" s="219">
        <v>29</v>
      </c>
      <c r="AP14" s="222">
        <f>0.525+0.525+0.525+0.525</f>
        <v>2.1</v>
      </c>
      <c r="AQ14" s="246">
        <f>57.9375/2</f>
        <v>28.96875</v>
      </c>
      <c r="AR14" s="200"/>
      <c r="AS14" s="201"/>
      <c r="AT14" s="83"/>
      <c r="AU14" s="201"/>
      <c r="AV14" s="201"/>
      <c r="AW14" s="83"/>
      <c r="AX14" s="223"/>
      <c r="AY14" s="224"/>
    </row>
    <row r="15" spans="1:54" s="84" customFormat="1" ht="22.8" x14ac:dyDescent="0.4">
      <c r="A15" s="126" t="s">
        <v>99</v>
      </c>
      <c r="B15" s="77"/>
      <c r="C15" s="143" t="s">
        <v>100</v>
      </c>
      <c r="D15" s="77"/>
      <c r="E15" s="236">
        <f>[1]!EPN</f>
        <v>34.43</v>
      </c>
      <c r="F15" s="237"/>
      <c r="G15" s="236">
        <f>[1]!'EPN,DIVIDEND'</f>
        <v>2.2999999999999998</v>
      </c>
      <c r="H15" s="108"/>
      <c r="I15" s="178">
        <f t="shared" si="0"/>
        <v>6.6802207377287245E-2</v>
      </c>
      <c r="J15" s="178"/>
      <c r="K15" s="243">
        <f t="shared" si="1"/>
        <v>113.17207377287245</v>
      </c>
      <c r="L15" s="106"/>
      <c r="M15" s="178">
        <f>(I15*AA15)+((I15*(1-AA15))*(1-0.3))</f>
        <v>6.6000580888759791E-2</v>
      </c>
      <c r="N15" s="106"/>
      <c r="O15" s="165">
        <f>+G15/Z15</f>
        <v>4.7916666666666661</v>
      </c>
      <c r="P15" s="239"/>
      <c r="Q15" s="165">
        <f>(AF15+$E15-AG15)/AG15</f>
        <v>1.2647058823529404E-2</v>
      </c>
      <c r="R15" s="239"/>
      <c r="S15" s="165">
        <f>(AH15+$E15-AI15)/AI15</f>
        <v>9.3710292249046992E-2</v>
      </c>
      <c r="T15" s="108"/>
      <c r="U15" s="244">
        <f t="shared" si="6"/>
        <v>0.29585421412300683</v>
      </c>
      <c r="V15" s="251"/>
      <c r="W15" s="130"/>
      <c r="X15" s="149"/>
      <c r="Y15" s="325">
        <v>0.24</v>
      </c>
      <c r="Z15" s="326">
        <v>0.48</v>
      </c>
      <c r="AA15" s="252">
        <v>0.96</v>
      </c>
      <c r="AB15" s="254"/>
      <c r="AC15" s="77"/>
      <c r="AD15" s="218">
        <v>37098</v>
      </c>
      <c r="AE15" s="249">
        <v>0.57499999999999996</v>
      </c>
      <c r="AF15" s="250"/>
      <c r="AG15" s="236">
        <v>34</v>
      </c>
      <c r="AH15" s="250"/>
      <c r="AI15" s="236">
        <v>31.48</v>
      </c>
      <c r="AJ15" s="250">
        <f>0.55+0.575</f>
        <v>1.125</v>
      </c>
      <c r="AK15" s="249">
        <v>27.4375</v>
      </c>
      <c r="AL15" s="322">
        <f>0.525+0.5375*2+0.55</f>
        <v>2.1500000000000004</v>
      </c>
      <c r="AM15" s="249">
        <v>19</v>
      </c>
      <c r="AN15" s="250">
        <f>0.525*4</f>
        <v>2.1</v>
      </c>
      <c r="AO15" s="249">
        <v>20.125</v>
      </c>
      <c r="AP15" s="222">
        <f>0.5+0.525+0.525+0.525</f>
        <v>2.0749999999999997</v>
      </c>
      <c r="AQ15" s="246">
        <v>30.625</v>
      </c>
      <c r="AR15" s="200"/>
      <c r="AS15" s="201"/>
      <c r="AT15" s="83"/>
      <c r="AU15" s="201"/>
      <c r="AV15" s="201"/>
      <c r="AW15" s="83"/>
      <c r="AX15" s="223"/>
      <c r="AY15" s="224"/>
    </row>
    <row r="16" spans="1:54" s="84" customFormat="1" ht="22.8" x14ac:dyDescent="0.4">
      <c r="A16" s="126" t="s">
        <v>126</v>
      </c>
      <c r="B16" s="77"/>
      <c r="C16" s="143" t="s">
        <v>127</v>
      </c>
      <c r="D16" s="77"/>
      <c r="E16" s="236">
        <v>38.5</v>
      </c>
      <c r="F16" s="237"/>
      <c r="G16" s="236">
        <v>2.2000000000000002</v>
      </c>
      <c r="H16" s="108"/>
      <c r="I16" s="178">
        <f t="shared" si="0"/>
        <v>5.7142857142857148E-2</v>
      </c>
      <c r="J16" s="178"/>
      <c r="K16" s="243">
        <f>(+I16-E$28)*10000</f>
        <v>16.578571428571482</v>
      </c>
      <c r="L16" s="106"/>
      <c r="M16" s="178">
        <f>(I16*AA16)+((I16*(1-AA16))*(1-0.3))</f>
        <v>0.04</v>
      </c>
      <c r="N16" s="106"/>
      <c r="O16" s="165">
        <f>+G16/Z16</f>
        <v>0.89795918367346939</v>
      </c>
      <c r="P16" s="239"/>
      <c r="Q16" s="165">
        <f>(AF16+$E16-AG16)/AG16</f>
        <v>0</v>
      </c>
      <c r="R16" s="239"/>
      <c r="S16" s="165">
        <f>(AH16+$E16-AI16)/AI16</f>
        <v>0</v>
      </c>
      <c r="T16" s="108"/>
      <c r="U16" s="244">
        <f>(AJ16+E16-AK16)/AK16</f>
        <v>0.25964214711729627</v>
      </c>
      <c r="V16" s="251"/>
      <c r="W16" s="130"/>
      <c r="X16" s="149"/>
      <c r="Y16" s="325">
        <v>2.23</v>
      </c>
      <c r="Z16" s="326">
        <v>2.4500000000000002</v>
      </c>
      <c r="AA16" s="252"/>
      <c r="AB16" s="254"/>
      <c r="AC16" s="77"/>
      <c r="AD16" s="218">
        <v>37098</v>
      </c>
      <c r="AE16" s="249">
        <v>0.55000000000000004</v>
      </c>
      <c r="AF16" s="250"/>
      <c r="AG16" s="236">
        <v>38.5</v>
      </c>
      <c r="AH16" s="250"/>
      <c r="AI16" s="236">
        <v>38.5</v>
      </c>
      <c r="AJ16" s="250">
        <f>0.55*2</f>
        <v>1.1000000000000001</v>
      </c>
      <c r="AK16" s="249">
        <v>31.4375</v>
      </c>
      <c r="AL16" s="322">
        <f>0.525+0.525+0.5+0.5</f>
        <v>2.0499999999999998</v>
      </c>
      <c r="AM16" s="249">
        <v>18.4375</v>
      </c>
      <c r="AN16" s="250">
        <f>0.45+0.45+0.45+0.45</f>
        <v>1.8</v>
      </c>
      <c r="AO16" s="249">
        <v>14.875</v>
      </c>
      <c r="AP16" s="222">
        <v>0.32</v>
      </c>
      <c r="AQ16" s="300" t="s">
        <v>117</v>
      </c>
      <c r="AR16" s="200"/>
      <c r="AS16" s="201"/>
      <c r="AT16" s="83"/>
      <c r="AU16" s="201"/>
      <c r="AV16" s="201"/>
      <c r="AW16" s="83"/>
      <c r="AX16" s="223"/>
      <c r="AY16" s="224"/>
    </row>
    <row r="17" spans="1:54" s="84" customFormat="1" ht="26.4" x14ac:dyDescent="0.4">
      <c r="A17" s="126" t="s">
        <v>73</v>
      </c>
      <c r="B17" s="77"/>
      <c r="C17" s="143" t="s">
        <v>42</v>
      </c>
      <c r="D17" s="77"/>
      <c r="E17" s="236">
        <f>[1]!FGP</f>
        <v>19</v>
      </c>
      <c r="F17" s="237"/>
      <c r="G17" s="236">
        <f>[1]!'FGP,DIVIDEND'</f>
        <v>2</v>
      </c>
      <c r="H17" s="108"/>
      <c r="I17" s="178">
        <f t="shared" si="0"/>
        <v>0.10526315789473684</v>
      </c>
      <c r="J17" s="178"/>
      <c r="K17" s="243">
        <f t="shared" si="1"/>
        <v>497.78157894736836</v>
      </c>
      <c r="L17" s="106"/>
      <c r="M17" s="178">
        <f t="shared" si="2"/>
        <v>0.10463157894736842</v>
      </c>
      <c r="N17" s="106"/>
      <c r="O17" s="165">
        <f t="shared" si="5"/>
        <v>1.9607843137254901</v>
      </c>
      <c r="P17" s="248"/>
      <c r="Q17" s="165">
        <f t="shared" si="3"/>
        <v>-7.8328981723236862E-3</v>
      </c>
      <c r="R17" s="248"/>
      <c r="S17" s="165">
        <f t="shared" si="4"/>
        <v>-1.8087855297157694E-2</v>
      </c>
      <c r="T17" s="108"/>
      <c r="U17" s="244">
        <f t="shared" si="6"/>
        <v>0.51658767772511849</v>
      </c>
      <c r="V17" s="215"/>
      <c r="W17" s="130"/>
      <c r="X17" s="149"/>
      <c r="Y17" s="323">
        <v>1.19</v>
      </c>
      <c r="Z17" s="324">
        <v>1.02</v>
      </c>
      <c r="AA17" s="216">
        <v>0.98</v>
      </c>
      <c r="AB17" s="217"/>
      <c r="AC17" s="77"/>
      <c r="AD17" s="218">
        <v>37133</v>
      </c>
      <c r="AE17" s="219">
        <v>0.5</v>
      </c>
      <c r="AF17" s="220"/>
      <c r="AG17" s="236">
        <v>19.149999999999999</v>
      </c>
      <c r="AH17" s="220"/>
      <c r="AI17" s="236">
        <v>19.350000000000001</v>
      </c>
      <c r="AJ17" s="220">
        <f>0.5*2</f>
        <v>1</v>
      </c>
      <c r="AK17" s="219">
        <v>13.1875</v>
      </c>
      <c r="AL17" s="321">
        <f>0.5+0.5+0.5+0.5</f>
        <v>2</v>
      </c>
      <c r="AM17" s="219">
        <v>12.625</v>
      </c>
      <c r="AN17" s="220">
        <f>0.5*4</f>
        <v>2</v>
      </c>
      <c r="AO17" s="219">
        <v>17.25</v>
      </c>
      <c r="AP17" s="222">
        <f>0.5+0.5+0.5+0.5</f>
        <v>2</v>
      </c>
      <c r="AQ17" s="246">
        <v>22.375</v>
      </c>
      <c r="AR17" s="200"/>
      <c r="AS17" s="201"/>
      <c r="AT17" s="83"/>
      <c r="AU17" s="201"/>
      <c r="AV17" s="201"/>
      <c r="AW17" s="83"/>
      <c r="AX17" s="223"/>
      <c r="AY17" s="224"/>
    </row>
    <row r="18" spans="1:54" s="84" customFormat="1" ht="22.8" x14ac:dyDescent="0.4">
      <c r="A18" s="126" t="s">
        <v>108</v>
      </c>
      <c r="B18" s="77"/>
      <c r="C18" s="143" t="s">
        <v>43</v>
      </c>
      <c r="D18" s="77"/>
      <c r="E18" s="236">
        <f>[1]!GEL.A</f>
        <v>5.29</v>
      </c>
      <c r="F18" s="237"/>
      <c r="G18" s="236">
        <f>[1]!'GEL.A,DIVIDEND'</f>
        <v>0.8</v>
      </c>
      <c r="H18" s="327" t="s">
        <v>111</v>
      </c>
      <c r="I18" s="178">
        <f t="shared" si="0"/>
        <v>0.15122873345935728</v>
      </c>
      <c r="J18" s="178"/>
      <c r="K18" s="243">
        <f t="shared" si="1"/>
        <v>957.4373345935727</v>
      </c>
      <c r="L18" s="106"/>
      <c r="M18" s="178">
        <f t="shared" si="2"/>
        <v>0.15122873345935728</v>
      </c>
      <c r="N18" s="106"/>
      <c r="O18" s="165" t="s">
        <v>117</v>
      </c>
      <c r="P18" s="239"/>
      <c r="Q18" s="165">
        <f t="shared" si="3"/>
        <v>0.11134453781512611</v>
      </c>
      <c r="R18" s="239"/>
      <c r="S18" s="165">
        <f t="shared" si="4"/>
        <v>0.23023255813953494</v>
      </c>
      <c r="T18" s="108"/>
      <c r="U18" s="244">
        <f t="shared" si="6"/>
        <v>0.56965517241379326</v>
      </c>
      <c r="V18" s="215"/>
      <c r="W18" s="130"/>
      <c r="X18" s="149"/>
      <c r="Y18" s="323">
        <v>0.1</v>
      </c>
      <c r="Z18" s="324">
        <v>0.15</v>
      </c>
      <c r="AA18" s="216">
        <v>1</v>
      </c>
      <c r="AB18" s="217"/>
      <c r="AC18" s="77"/>
      <c r="AD18" s="218">
        <v>37098</v>
      </c>
      <c r="AE18" s="249">
        <v>0.2</v>
      </c>
      <c r="AF18" s="250"/>
      <c r="AG18" s="236">
        <v>4.76</v>
      </c>
      <c r="AH18" s="250"/>
      <c r="AI18" s="236">
        <v>4.3</v>
      </c>
      <c r="AJ18" s="250">
        <f>0.2*2</f>
        <v>0.4</v>
      </c>
      <c r="AK18" s="249">
        <v>3.625</v>
      </c>
      <c r="AL18" s="322">
        <f>0.5*4+0.28</f>
        <v>2.2800000000000002</v>
      </c>
      <c r="AM18" s="249">
        <v>8.0625</v>
      </c>
      <c r="AN18" s="250">
        <f>0.5*4</f>
        <v>2</v>
      </c>
      <c r="AO18" s="249">
        <v>14.4375</v>
      </c>
      <c r="AP18" s="296">
        <f>0.5+0.5+0.5+0.5</f>
        <v>2</v>
      </c>
      <c r="AQ18" s="246">
        <v>16.375</v>
      </c>
      <c r="AR18" s="200"/>
      <c r="AS18" s="201"/>
      <c r="AT18" s="83"/>
      <c r="AU18" s="201"/>
      <c r="AV18" s="201"/>
      <c r="AW18" s="83"/>
      <c r="AX18" s="223"/>
      <c r="AY18" s="224"/>
    </row>
    <row r="19" spans="1:54" s="84" customFormat="1" ht="22.8" x14ac:dyDescent="0.4">
      <c r="A19" s="126" t="s">
        <v>44</v>
      </c>
      <c r="B19" s="77"/>
      <c r="C19" s="143" t="s">
        <v>45</v>
      </c>
      <c r="D19" s="77"/>
      <c r="E19" s="236">
        <f>[1]!KPP</f>
        <v>38.93</v>
      </c>
      <c r="F19" s="237"/>
      <c r="G19" s="236">
        <f>[1]!'KPP,DIVIDEND'</f>
        <v>2.8</v>
      </c>
      <c r="H19" s="108"/>
      <c r="I19" s="178">
        <f t="shared" si="0"/>
        <v>7.1923966092987415E-2</v>
      </c>
      <c r="J19" s="178"/>
      <c r="K19" s="243">
        <f t="shared" si="1"/>
        <v>164.38966092987417</v>
      </c>
      <c r="L19" s="106"/>
      <c r="M19" s="178">
        <f t="shared" si="2"/>
        <v>6.7608528127408168E-2</v>
      </c>
      <c r="N19" s="106"/>
      <c r="O19" s="165">
        <f t="shared" si="5"/>
        <v>1.021897810218978</v>
      </c>
      <c r="P19" s="239"/>
      <c r="Q19" s="165">
        <f t="shared" si="3"/>
        <v>6.018518518518521E-2</v>
      </c>
      <c r="R19" s="239"/>
      <c r="S19" s="165">
        <f t="shared" si="4"/>
        <v>8.6823003908431021E-2</v>
      </c>
      <c r="T19" s="108"/>
      <c r="U19" s="244">
        <f t="shared" si="6"/>
        <v>0.28616632860040575</v>
      </c>
      <c r="V19" s="251"/>
      <c r="W19" s="130"/>
      <c r="X19" s="149"/>
      <c r="Y19" s="323">
        <v>2.67</v>
      </c>
      <c r="Z19" s="324">
        <v>2.74</v>
      </c>
      <c r="AA19" s="216">
        <v>0.8</v>
      </c>
      <c r="AB19" s="217"/>
      <c r="AC19" s="77"/>
      <c r="AD19" s="218">
        <v>37098</v>
      </c>
      <c r="AE19" s="249">
        <v>0.7</v>
      </c>
      <c r="AF19" s="250"/>
      <c r="AG19" s="236">
        <v>36.72</v>
      </c>
      <c r="AH19" s="250"/>
      <c r="AI19" s="236">
        <v>35.82</v>
      </c>
      <c r="AJ19" s="250">
        <v>0.7</v>
      </c>
      <c r="AK19" s="249">
        <v>30.8125</v>
      </c>
      <c r="AL19" s="322">
        <f>0.7*4</f>
        <v>2.8</v>
      </c>
      <c r="AM19" s="249">
        <v>24.6875</v>
      </c>
      <c r="AN19" s="250">
        <f>0.65*2+0.7*2</f>
        <v>2.7</v>
      </c>
      <c r="AO19" s="249">
        <v>33</v>
      </c>
      <c r="AP19" s="222">
        <f>0.65+0.65+0.65+0.65</f>
        <v>2.6</v>
      </c>
      <c r="AQ19" s="246">
        <v>35.75</v>
      </c>
      <c r="AR19" s="200"/>
      <c r="AS19" s="79"/>
      <c r="AT19" s="79"/>
      <c r="AU19" s="79"/>
      <c r="AV19" s="79"/>
      <c r="AW19" s="83"/>
      <c r="AX19" s="223"/>
      <c r="AY19" s="224"/>
    </row>
    <row r="20" spans="1:54" s="84" customFormat="1" ht="26.4" x14ac:dyDescent="0.4">
      <c r="A20" s="126" t="s">
        <v>46</v>
      </c>
      <c r="B20" s="77"/>
      <c r="C20" s="143" t="s">
        <v>101</v>
      </c>
      <c r="D20" s="77"/>
      <c r="E20" s="236">
        <f>[1]!KMP</f>
        <v>71.239999999999995</v>
      </c>
      <c r="F20" s="237"/>
      <c r="G20" s="236">
        <f>[1]!'KMP,DIVIDEND'</f>
        <v>4.2</v>
      </c>
      <c r="H20" s="320"/>
      <c r="I20" s="178">
        <f t="shared" si="0"/>
        <v>5.8955642897248743E-2</v>
      </c>
      <c r="J20" s="178"/>
      <c r="K20" s="243">
        <f t="shared" si="1"/>
        <v>34.706428972487437</v>
      </c>
      <c r="L20" s="106"/>
      <c r="M20" s="178">
        <f t="shared" si="2"/>
        <v>5.7186973610331281E-2</v>
      </c>
      <c r="N20" s="106"/>
      <c r="O20" s="165">
        <f t="shared" si="5"/>
        <v>1.728395061728395</v>
      </c>
      <c r="P20" s="239"/>
      <c r="Q20" s="165">
        <f t="shared" si="3"/>
        <v>-3.6363636363637079E-3</v>
      </c>
      <c r="R20" s="239"/>
      <c r="S20" s="165">
        <f t="shared" si="4"/>
        <v>3.6067481093658954E-2</v>
      </c>
      <c r="T20" s="108"/>
      <c r="U20" s="244">
        <f t="shared" si="6"/>
        <v>0.30059933407325184</v>
      </c>
      <c r="V20" s="251"/>
      <c r="W20" s="130"/>
      <c r="X20" s="149"/>
      <c r="Y20" s="325">
        <v>1.87</v>
      </c>
      <c r="Z20" s="326">
        <v>2.4300000000000002</v>
      </c>
      <c r="AA20" s="252">
        <v>0.9</v>
      </c>
      <c r="AB20" s="253"/>
      <c r="AC20" s="77"/>
      <c r="AD20" s="218">
        <v>37098</v>
      </c>
      <c r="AE20" s="219">
        <v>1.05</v>
      </c>
      <c r="AF20" s="220"/>
      <c r="AG20" s="236">
        <v>71.5</v>
      </c>
      <c r="AH20" s="220"/>
      <c r="AI20" s="236">
        <v>68.760000000000005</v>
      </c>
      <c r="AJ20" s="220">
        <f>0.95+1.05</f>
        <v>2</v>
      </c>
      <c r="AK20" s="219">
        <v>56.3125</v>
      </c>
      <c r="AL20" s="321">
        <f>0.725+0.775+0.85*2</f>
        <v>3.2</v>
      </c>
      <c r="AM20" s="219">
        <v>41.4375</v>
      </c>
      <c r="AN20" s="220">
        <f>0.65+0.7*2+0.725</f>
        <v>2.7749999999999999</v>
      </c>
      <c r="AO20" s="219">
        <v>36.25</v>
      </c>
      <c r="AP20" s="222">
        <f>0.5625+0.5625+0.63+0.63</f>
        <v>2.3849999999999998</v>
      </c>
      <c r="AQ20" s="246">
        <v>33.875</v>
      </c>
      <c r="AR20" s="200"/>
      <c r="AS20" s="79"/>
      <c r="AT20" s="83"/>
      <c r="AU20" s="83"/>
      <c r="AV20" s="83"/>
      <c r="AW20" s="83"/>
      <c r="AX20" s="83"/>
      <c r="AY20" s="224"/>
    </row>
    <row r="21" spans="1:54" s="84" customFormat="1" ht="22.8" x14ac:dyDescent="0.4">
      <c r="A21" s="126" t="s">
        <v>47</v>
      </c>
      <c r="B21" s="77"/>
      <c r="C21" s="143" t="s">
        <v>48</v>
      </c>
      <c r="D21" s="77"/>
      <c r="E21" s="236">
        <f>[1]!LHP</f>
        <v>45.49</v>
      </c>
      <c r="F21" s="237"/>
      <c r="G21" s="236">
        <f>[1]!'LHP,DIVIDEND'</f>
        <v>3.5</v>
      </c>
      <c r="H21" s="108"/>
      <c r="I21" s="178">
        <f t="shared" si="0"/>
        <v>7.6939986810287977E-2</v>
      </c>
      <c r="J21" s="178"/>
      <c r="K21" s="243">
        <f t="shared" si="1"/>
        <v>214.54986810287977</v>
      </c>
      <c r="L21" s="106"/>
      <c r="M21" s="178">
        <f t="shared" si="2"/>
        <v>7.5785887008133657E-2</v>
      </c>
      <c r="N21" s="106"/>
      <c r="O21" s="165">
        <f t="shared" si="5"/>
        <v>1.4830508474576272</v>
      </c>
      <c r="P21" s="239"/>
      <c r="Q21" s="165">
        <f t="shared" si="3"/>
        <v>3.0871003307607623E-3</v>
      </c>
      <c r="R21" s="239"/>
      <c r="S21" s="165">
        <f t="shared" si="4"/>
        <v>5.3038674033149607E-3</v>
      </c>
      <c r="T21" s="108"/>
      <c r="U21" s="244">
        <f t="shared" si="6"/>
        <v>0.14521212121212126</v>
      </c>
      <c r="V21" s="251"/>
      <c r="W21" s="130"/>
      <c r="X21" s="149"/>
      <c r="Y21" s="325">
        <v>2.21</v>
      </c>
      <c r="Z21" s="326">
        <v>2.36</v>
      </c>
      <c r="AA21" s="252">
        <v>0.95</v>
      </c>
      <c r="AB21" s="254"/>
      <c r="AC21" s="77"/>
      <c r="AD21" s="218">
        <v>37098</v>
      </c>
      <c r="AE21" s="219">
        <v>0.875</v>
      </c>
      <c r="AF21" s="220"/>
      <c r="AG21" s="236">
        <v>45.35</v>
      </c>
      <c r="AH21" s="220"/>
      <c r="AI21" s="236">
        <v>45.25</v>
      </c>
      <c r="AJ21" s="220">
        <f>0.875*2</f>
        <v>1.75</v>
      </c>
      <c r="AK21" s="219">
        <v>41.25</v>
      </c>
      <c r="AL21" s="321">
        <f>0.875*4</f>
        <v>3.5</v>
      </c>
      <c r="AM21" s="219">
        <v>34.8125</v>
      </c>
      <c r="AN21" s="220">
        <f>0.875*4</f>
        <v>3.5</v>
      </c>
      <c r="AO21" s="219">
        <v>48.5</v>
      </c>
      <c r="AP21" s="222">
        <f>0.78+0.86+0.86+0.86</f>
        <v>3.36</v>
      </c>
      <c r="AQ21" s="246">
        <v>43.6875</v>
      </c>
      <c r="AR21" s="200"/>
      <c r="AS21" s="201"/>
      <c r="AT21" s="201"/>
      <c r="AU21" s="201"/>
      <c r="AV21" s="201"/>
      <c r="AW21" s="83"/>
      <c r="AX21" s="223"/>
      <c r="AY21" s="224"/>
    </row>
    <row r="22" spans="1:54" s="84" customFormat="1" ht="26.4" x14ac:dyDescent="0.4">
      <c r="A22" s="126" t="s">
        <v>82</v>
      </c>
      <c r="B22" s="77"/>
      <c r="C22" s="143" t="s">
        <v>84</v>
      </c>
      <c r="D22" s="77"/>
      <c r="E22" s="236">
        <f>[1]!PAA</f>
        <v>25.9</v>
      </c>
      <c r="F22" s="237"/>
      <c r="G22" s="236">
        <f>[1]!'PAA,DIVIDEND'</f>
        <v>1.9</v>
      </c>
      <c r="H22" s="320"/>
      <c r="I22" s="178">
        <f t="shared" si="0"/>
        <v>7.3359073359073365E-2</v>
      </c>
      <c r="J22" s="178"/>
      <c r="K22" s="243">
        <f t="shared" si="1"/>
        <v>178.74073359073367</v>
      </c>
      <c r="L22" s="106"/>
      <c r="M22" s="178">
        <f>(I22*AA22)+((I22*(1-AA22))*(1-0.3))</f>
        <v>6.6756756756756769E-2</v>
      </c>
      <c r="N22" s="106"/>
      <c r="O22" s="165">
        <f>+G22/Z22</f>
        <v>1.0497237569060773</v>
      </c>
      <c r="P22" s="239"/>
      <c r="Q22" s="165">
        <f>(AF22+$E22-AG22)/AG22</f>
        <v>3.3107299561228494E-2</v>
      </c>
      <c r="R22" s="239"/>
      <c r="S22" s="165">
        <f>(AH22+$E22-AI22)/AI22</f>
        <v>8.7778244435111299E-2</v>
      </c>
      <c r="T22" s="108"/>
      <c r="U22" s="244">
        <f t="shared" si="6"/>
        <v>0.40329411764705869</v>
      </c>
      <c r="V22" s="251"/>
      <c r="W22" s="130"/>
      <c r="X22" s="149"/>
      <c r="Y22" s="325">
        <v>1.61</v>
      </c>
      <c r="Z22" s="326">
        <v>1.81</v>
      </c>
      <c r="AA22" s="252">
        <v>0.7</v>
      </c>
      <c r="AB22" s="254"/>
      <c r="AC22" s="77"/>
      <c r="AD22" s="218">
        <v>37104</v>
      </c>
      <c r="AE22" s="249">
        <v>0.47499999999999998</v>
      </c>
      <c r="AF22" s="250"/>
      <c r="AG22" s="236">
        <v>25.07</v>
      </c>
      <c r="AH22" s="250"/>
      <c r="AI22" s="236">
        <v>23.81</v>
      </c>
      <c r="AJ22" s="250">
        <f>0.463+0.475</f>
        <v>0.93799999999999994</v>
      </c>
      <c r="AK22" s="249">
        <v>19.125</v>
      </c>
      <c r="AL22" s="322">
        <f>0.45*2+0.4625*2</f>
        <v>1.8250000000000002</v>
      </c>
      <c r="AM22" s="249">
        <v>13</v>
      </c>
      <c r="AN22" s="250">
        <f>0.193+0.45+0.463+0.48125</f>
        <v>1.58725</v>
      </c>
      <c r="AO22" s="249">
        <v>17.3125</v>
      </c>
      <c r="AP22" s="222" t="s">
        <v>85</v>
      </c>
      <c r="AQ22" s="300" t="s">
        <v>85</v>
      </c>
      <c r="AR22" s="200"/>
      <c r="AS22" s="255"/>
      <c r="AT22" s="201"/>
      <c r="AU22" s="201"/>
      <c r="AV22" s="201"/>
      <c r="AW22" s="83"/>
      <c r="AX22" s="223"/>
      <c r="AY22" s="224"/>
    </row>
    <row r="23" spans="1:54" s="84" customFormat="1" ht="22.8" x14ac:dyDescent="0.4">
      <c r="A23" s="126" t="s">
        <v>104</v>
      </c>
      <c r="B23" s="77"/>
      <c r="C23" s="143" t="s">
        <v>86</v>
      </c>
      <c r="D23" s="77"/>
      <c r="E23" s="236">
        <f>[1]!TCLPZ.O</f>
        <v>24</v>
      </c>
      <c r="F23" s="237"/>
      <c r="G23" s="236">
        <f>[1]!'TCLPZ.O,DIVIDEND'</f>
        <v>2</v>
      </c>
      <c r="H23" s="108"/>
      <c r="I23" s="178">
        <f t="shared" si="0"/>
        <v>8.3333333333333329E-2</v>
      </c>
      <c r="J23" s="178"/>
      <c r="K23" s="243">
        <f t="shared" si="1"/>
        <v>278.48333333333329</v>
      </c>
      <c r="L23" s="106"/>
      <c r="M23" s="178">
        <f>(I23*AA23)+((I23*(1-AA23))*(1-0.3))</f>
        <v>8.2083333333333328E-2</v>
      </c>
      <c r="N23" s="106"/>
      <c r="O23" s="165">
        <f>+G23/Z23</f>
        <v>0.92165898617511521</v>
      </c>
      <c r="P23" s="239"/>
      <c r="Q23" s="165">
        <f>(AF23+$E23-AG23)/AG23</f>
        <v>1.6949152542372819E-2</v>
      </c>
      <c r="R23" s="239"/>
      <c r="S23" s="165">
        <f>(AH23+$E23-AI23)/AI23</f>
        <v>4.3478260869565216E-2</v>
      </c>
      <c r="T23" s="108"/>
      <c r="U23" s="244">
        <f t="shared" si="6"/>
        <v>0.29610389610389609</v>
      </c>
      <c r="V23" s="251"/>
      <c r="W23" s="130"/>
      <c r="X23" s="149"/>
      <c r="Y23" s="325">
        <v>2.14</v>
      </c>
      <c r="Z23" s="326">
        <v>2.17</v>
      </c>
      <c r="AA23" s="252">
        <v>0.95</v>
      </c>
      <c r="AB23" s="254"/>
      <c r="AC23" s="77"/>
      <c r="AD23" s="218">
        <v>37098</v>
      </c>
      <c r="AE23" s="249">
        <v>0.47499999999999998</v>
      </c>
      <c r="AF23" s="250"/>
      <c r="AG23" s="316">
        <v>23.6</v>
      </c>
      <c r="AH23" s="250"/>
      <c r="AI23" s="316">
        <v>23</v>
      </c>
      <c r="AJ23" s="250">
        <f>0.475*2</f>
        <v>0.95</v>
      </c>
      <c r="AK23" s="249">
        <v>19.25</v>
      </c>
      <c r="AL23" s="322">
        <f>0.45*4</f>
        <v>1.8</v>
      </c>
      <c r="AM23" s="249">
        <v>14.25</v>
      </c>
      <c r="AN23" s="250">
        <f>0.168+0.45</f>
        <v>0.61799999999999999</v>
      </c>
      <c r="AO23" s="249" t="s">
        <v>85</v>
      </c>
      <c r="AP23" s="222"/>
      <c r="AQ23" s="300"/>
      <c r="AR23" s="200"/>
      <c r="AS23" s="255"/>
      <c r="AT23" s="201"/>
      <c r="AU23" s="201"/>
      <c r="AV23" s="201"/>
      <c r="AW23" s="83"/>
      <c r="AX23" s="223"/>
      <c r="AY23" s="224"/>
    </row>
    <row r="24" spans="1:54" s="84" customFormat="1" ht="22.8" x14ac:dyDescent="0.4">
      <c r="A24" s="126" t="s">
        <v>49</v>
      </c>
      <c r="B24" s="77"/>
      <c r="C24" s="143" t="s">
        <v>50</v>
      </c>
      <c r="D24" s="77"/>
      <c r="E24" s="236">
        <f>[1]!TPP</f>
        <v>30.5</v>
      </c>
      <c r="F24" s="237"/>
      <c r="G24" s="236">
        <f>[1]!'TPP,DIVIDEND'</f>
        <v>2.1</v>
      </c>
      <c r="H24" s="108"/>
      <c r="I24" s="178">
        <f t="shared" si="0"/>
        <v>6.8852459016393447E-2</v>
      </c>
      <c r="J24" s="178"/>
      <c r="K24" s="243">
        <f t="shared" si="1"/>
        <v>133.67459016393448</v>
      </c>
      <c r="L24" s="106"/>
      <c r="M24" s="178">
        <f t="shared" si="2"/>
        <v>6.2655737704918044E-2</v>
      </c>
      <c r="N24" s="106"/>
      <c r="O24" s="165">
        <f t="shared" si="5"/>
        <v>1.0096153846153846</v>
      </c>
      <c r="P24" s="239"/>
      <c r="Q24" s="165">
        <f t="shared" si="3"/>
        <v>2.8667790893760588E-2</v>
      </c>
      <c r="R24" s="239"/>
      <c r="S24" s="165">
        <f t="shared" si="4"/>
        <v>3.9182282793867068E-2</v>
      </c>
      <c r="T24" s="108"/>
      <c r="U24" s="244">
        <f t="shared" si="6"/>
        <v>0.28447837150127231</v>
      </c>
      <c r="V24" s="251"/>
      <c r="W24" s="130"/>
      <c r="X24" s="149"/>
      <c r="Y24" s="325">
        <v>1.95</v>
      </c>
      <c r="Z24" s="326">
        <v>2.08</v>
      </c>
      <c r="AA24" s="252">
        <v>0.7</v>
      </c>
      <c r="AB24" s="254"/>
      <c r="AC24" s="77"/>
      <c r="AD24" s="218">
        <v>37098</v>
      </c>
      <c r="AE24" s="249">
        <v>0.52500000000000002</v>
      </c>
      <c r="AF24" s="250"/>
      <c r="AG24" s="236">
        <v>29.65</v>
      </c>
      <c r="AH24" s="250"/>
      <c r="AI24" s="236">
        <v>29.35</v>
      </c>
      <c r="AJ24" s="250">
        <f>0.525*2</f>
        <v>1.05</v>
      </c>
      <c r="AK24" s="249">
        <v>24.5625</v>
      </c>
      <c r="AL24" s="322">
        <f>0.475+0.5+0.5+0.525</f>
        <v>2</v>
      </c>
      <c r="AM24" s="249">
        <v>19.3125</v>
      </c>
      <c r="AN24" s="250">
        <f>0.45*2+0.475*2</f>
        <v>1.85</v>
      </c>
      <c r="AO24" s="249">
        <v>24.5625</v>
      </c>
      <c r="AP24" s="222">
        <f>(0.85+0.85+0.9)/2+0.45</f>
        <v>1.75</v>
      </c>
      <c r="AQ24" s="246">
        <f>52.6875/2</f>
        <v>26.34375</v>
      </c>
      <c r="AR24" s="200"/>
      <c r="AS24" s="79"/>
      <c r="AT24" s="79"/>
      <c r="AU24" s="79"/>
      <c r="AV24" s="79"/>
      <c r="AW24" s="79"/>
      <c r="AX24" s="223"/>
      <c r="AY24" s="224"/>
    </row>
    <row r="25" spans="1:54" s="84" customFormat="1" ht="23.4" thickBot="1" x14ac:dyDescent="0.45">
      <c r="A25" s="77"/>
      <c r="B25" s="77"/>
      <c r="C25" s="127"/>
      <c r="D25" s="77"/>
      <c r="E25" s="77"/>
      <c r="F25" s="77"/>
      <c r="G25" s="108"/>
      <c r="H25" s="108"/>
      <c r="I25" s="109"/>
      <c r="J25" s="109"/>
      <c r="K25" s="238"/>
      <c r="L25" s="106"/>
      <c r="M25" s="109"/>
      <c r="N25" s="106"/>
      <c r="O25" s="165"/>
      <c r="P25" s="239"/>
      <c r="Q25" s="165"/>
      <c r="R25" s="239"/>
      <c r="S25" s="165"/>
      <c r="T25" s="108"/>
      <c r="U25" s="127"/>
      <c r="V25" s="256"/>
      <c r="W25" s="130"/>
      <c r="X25" s="149"/>
      <c r="Y25" s="257"/>
      <c r="Z25" s="258"/>
      <c r="AA25" s="259"/>
      <c r="AB25" s="260"/>
      <c r="AD25" s="261"/>
      <c r="AE25" s="262"/>
      <c r="AF25" s="116"/>
      <c r="AG25" s="83"/>
      <c r="AH25" s="116"/>
      <c r="AI25" s="83"/>
      <c r="AJ25" s="261"/>
      <c r="AK25" s="264"/>
      <c r="AL25" s="263"/>
      <c r="AM25" s="264"/>
      <c r="AN25" s="263"/>
      <c r="AO25" s="264"/>
      <c r="AP25" s="297"/>
      <c r="AQ25" s="291"/>
      <c r="AR25" s="79"/>
      <c r="AS25" s="79"/>
      <c r="AT25" s="79"/>
      <c r="AU25" s="79"/>
      <c r="AV25" s="79"/>
      <c r="AW25" s="79"/>
      <c r="AX25" s="223"/>
      <c r="AY25" s="223"/>
      <c r="AZ25" s="224"/>
    </row>
    <row r="26" spans="1:54" s="84" customFormat="1" ht="23.4" thickBot="1" x14ac:dyDescent="0.45">
      <c r="A26" s="265" t="s">
        <v>51</v>
      </c>
      <c r="B26" s="266"/>
      <c r="C26" s="267"/>
      <c r="D26" s="266"/>
      <c r="E26" s="268"/>
      <c r="F26" s="268"/>
      <c r="G26" s="269"/>
      <c r="H26" s="270"/>
      <c r="I26" s="271">
        <f>AVERAGEA(I13:I24)</f>
        <v>8.1076516791695585E-2</v>
      </c>
      <c r="J26" s="271"/>
      <c r="K26" s="272">
        <f>(+I26-E$28)*10000</f>
        <v>255.91516791695585</v>
      </c>
      <c r="L26" s="267"/>
      <c r="M26" s="271">
        <f>AVERAGEA(M13:M24)</f>
        <v>7.6645749481020889E-2</v>
      </c>
      <c r="N26" s="267"/>
      <c r="O26" s="273">
        <f>AVERAGEA(O13:O24)</f>
        <v>1.4858335813681807</v>
      </c>
      <c r="P26" s="274"/>
      <c r="Q26" s="273">
        <f>AVERAGEA(Q13:Q24)</f>
        <v>2.5757571802843156E-2</v>
      </c>
      <c r="R26" s="274"/>
      <c r="S26" s="273">
        <f>AVERAGEA(S13:S24)</f>
        <v>5.913169994927777E-2</v>
      </c>
      <c r="T26" s="270"/>
      <c r="U26" s="275">
        <f>AVERAGEA(U13:U24)</f>
        <v>0.34932781474690661</v>
      </c>
      <c r="V26" s="256"/>
      <c r="W26" s="130"/>
      <c r="X26" s="149"/>
      <c r="Y26" s="276"/>
      <c r="Z26" s="277"/>
      <c r="AA26" s="278"/>
      <c r="AB26" s="279"/>
      <c r="AC26" s="118"/>
      <c r="AD26" s="280"/>
      <c r="AE26" s="281"/>
      <c r="AF26" s="282"/>
      <c r="AG26" s="330"/>
      <c r="AH26" s="282"/>
      <c r="AI26" s="330"/>
      <c r="AJ26" s="329"/>
      <c r="AK26" s="281"/>
      <c r="AL26" s="283"/>
      <c r="AM26" s="281"/>
      <c r="AN26" s="283"/>
      <c r="AO26" s="281"/>
      <c r="AP26" s="298"/>
      <c r="AQ26" s="292"/>
      <c r="AR26" s="79"/>
      <c r="AS26" s="79"/>
      <c r="AT26" s="79"/>
      <c r="AU26" s="79"/>
      <c r="AV26" s="79"/>
      <c r="AW26" s="79"/>
      <c r="AX26" s="83"/>
      <c r="AY26" s="83"/>
      <c r="AZ26" s="224"/>
    </row>
    <row r="27" spans="1:54" s="84" customFormat="1" ht="22.8" x14ac:dyDescent="0.4">
      <c r="A27" s="77"/>
      <c r="B27" s="77"/>
      <c r="C27" s="127"/>
      <c r="D27" s="77"/>
      <c r="E27" s="1">
        <f>PV(E28/2,(58-((+VALUE($AG$6+7)-VALUE($AT$28))/(365/2))),-$AK$28*100/2,-100,0)</f>
        <v>98.761515752013068</v>
      </c>
      <c r="F27" s="77"/>
      <c r="G27" s="108"/>
      <c r="H27" s="108"/>
      <c r="I27" s="109"/>
      <c r="J27" s="109"/>
      <c r="K27" s="132"/>
      <c r="L27" s="106"/>
      <c r="M27" s="109"/>
      <c r="N27" s="106"/>
      <c r="O27" s="165"/>
      <c r="P27" s="239"/>
      <c r="Q27" s="165"/>
      <c r="R27" s="239"/>
      <c r="S27" s="165"/>
      <c r="T27" s="108"/>
      <c r="U27" s="77"/>
      <c r="V27" s="256"/>
      <c r="W27" s="256"/>
      <c r="X27" s="76"/>
      <c r="Y27" s="76"/>
      <c r="Z27" s="76"/>
      <c r="AA27" s="76"/>
      <c r="AB27" s="76"/>
      <c r="AC27" s="77"/>
      <c r="AD27" s="261"/>
      <c r="AE27" s="116"/>
      <c r="AF27" s="311"/>
      <c r="AG27" s="1">
        <v>249.86104602739724</v>
      </c>
      <c r="AH27" s="312"/>
      <c r="AI27" s="1">
        <v>96.003752294332116</v>
      </c>
      <c r="AJ27" s="312"/>
      <c r="AK27" s="1">
        <f>PV(AK28/2,60,-$AK$28*100/2,-100,0)</f>
        <v>100</v>
      </c>
      <c r="AL27" s="312">
        <f>+AM28*100</f>
        <v>6.4820000000000002</v>
      </c>
      <c r="AM27" s="1">
        <f>PV(AM28/2,60,-$AM$28*100/2,-100,0)</f>
        <v>100</v>
      </c>
      <c r="AN27" s="312">
        <f>+AO28*100</f>
        <v>5.0999999999999996</v>
      </c>
      <c r="AO27" s="1">
        <v>100</v>
      </c>
      <c r="AP27" s="1"/>
      <c r="AQ27" s="1"/>
      <c r="AR27" s="308" t="s">
        <v>96</v>
      </c>
      <c r="AS27" s="32"/>
      <c r="AT27" s="8"/>
      <c r="AU27" s="83"/>
      <c r="AV27" s="79"/>
      <c r="AW27" s="83"/>
      <c r="AX27" s="83"/>
      <c r="AY27" s="83"/>
      <c r="AZ27" s="83"/>
      <c r="BA27" s="247"/>
      <c r="BB27" s="224"/>
    </row>
    <row r="28" spans="1:54" s="84" customFormat="1" ht="23.25" customHeight="1" x14ac:dyDescent="0.4">
      <c r="A28" s="126" t="s">
        <v>92</v>
      </c>
      <c r="B28" s="77"/>
      <c r="C28" s="127"/>
      <c r="D28" s="77"/>
      <c r="E28" s="285">
        <f>[1]!'US30YT=RR,RT YIELD 1'/100</f>
        <v>5.5485E-2</v>
      </c>
      <c r="F28" s="77"/>
      <c r="G28" s="284"/>
      <c r="H28" s="108"/>
      <c r="J28" s="285"/>
      <c r="K28" s="238"/>
      <c r="L28" s="106"/>
      <c r="M28" s="178">
        <f>(E28*AA28)+((E28*(1-AA28))*(1-0.3))</f>
        <v>3.8839499999999999E-2</v>
      </c>
      <c r="N28" s="106"/>
      <c r="O28" s="165"/>
      <c r="P28" s="239"/>
      <c r="Q28" s="165">
        <f>(AF27+$E27-AG27)/AG27</f>
        <v>-0.60473424200271741</v>
      </c>
      <c r="R28" s="239"/>
      <c r="S28" s="165">
        <f>(AH27+$E27-AI27)/AI27</f>
        <v>2.8725579904690504E-2</v>
      </c>
      <c r="T28" s="108"/>
      <c r="U28" s="244">
        <f>(AJ27+E27-AK27)/AK27</f>
        <v>-1.238484247986932E-2</v>
      </c>
      <c r="V28" s="256"/>
      <c r="W28" s="256"/>
      <c r="X28" s="76"/>
      <c r="Y28" s="76"/>
      <c r="Z28" s="76"/>
      <c r="AA28" s="76"/>
      <c r="AB28" s="76"/>
      <c r="AC28" s="79"/>
      <c r="AD28" s="286"/>
      <c r="AE28" s="286"/>
      <c r="AF28" s="286"/>
      <c r="AG28" s="285">
        <v>5.7512000000000001E-2</v>
      </c>
      <c r="AH28" s="288"/>
      <c r="AI28" s="285">
        <v>5.7512000000000001E-2</v>
      </c>
      <c r="AJ28" s="288"/>
      <c r="AK28" s="285">
        <v>5.4600999999999997E-2</v>
      </c>
      <c r="AL28" s="288"/>
      <c r="AM28" s="285">
        <v>6.4820000000000003E-2</v>
      </c>
      <c r="AN28" s="287"/>
      <c r="AO28" s="287">
        <v>5.0999999999999997E-2</v>
      </c>
      <c r="AP28" s="286"/>
      <c r="AQ28" s="286"/>
      <c r="AR28" s="315" t="s">
        <v>95</v>
      </c>
      <c r="AS28" s="286"/>
      <c r="AT28" s="313">
        <v>36525</v>
      </c>
      <c r="AU28" s="83"/>
      <c r="AV28" s="79"/>
      <c r="AW28" s="83"/>
      <c r="AX28" s="83"/>
      <c r="AY28" s="83"/>
      <c r="AZ28" s="83"/>
      <c r="BA28" s="83"/>
      <c r="BB28" s="224"/>
    </row>
    <row r="29" spans="1:54" ht="20.100000000000001" customHeight="1" x14ac:dyDescent="0.4">
      <c r="A29" s="126"/>
      <c r="B29" s="6"/>
      <c r="C29" s="10"/>
      <c r="D29" s="6"/>
      <c r="E29" s="16" t="s">
        <v>24</v>
      </c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309" t="s">
        <v>93</v>
      </c>
      <c r="S29" s="309" t="s">
        <v>93</v>
      </c>
      <c r="U29" s="309" t="s">
        <v>93</v>
      </c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22" t="s">
        <v>24</v>
      </c>
      <c r="AM29" s="312"/>
      <c r="AN29" s="312"/>
      <c r="AO29" s="312"/>
      <c r="AU29" s="8"/>
      <c r="AV29" s="5"/>
      <c r="AW29" s="8"/>
      <c r="AX29" s="8"/>
      <c r="AY29" s="8"/>
      <c r="AZ29" s="8"/>
      <c r="BA29" s="8"/>
    </row>
    <row r="30" spans="1:54" ht="19.5" hidden="1" customHeight="1" x14ac:dyDescent="0.3">
      <c r="A30" s="49" t="s">
        <v>70</v>
      </c>
      <c r="B30" s="6"/>
      <c r="C30" s="10"/>
      <c r="D30" s="6"/>
      <c r="E30" s="30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ht="19.5" customHeight="1" x14ac:dyDescent="0.3">
      <c r="A31" s="49"/>
      <c r="B31" s="6"/>
      <c r="C31" s="10"/>
      <c r="D31" s="6"/>
      <c r="E31" s="317"/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6"/>
      <c r="R31" s="26"/>
      <c r="S31" s="26"/>
      <c r="T31" s="23"/>
      <c r="U31" s="30"/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J31" s="314"/>
      <c r="AK31" s="314"/>
      <c r="AL31" s="1"/>
      <c r="AM31" s="1"/>
      <c r="AN31" s="1"/>
      <c r="AO31" s="1"/>
      <c r="AP31" s="1"/>
      <c r="AQ31" s="1"/>
      <c r="AR31" s="32"/>
      <c r="AS31" s="32"/>
      <c r="AT31" s="8"/>
      <c r="AU31" s="8"/>
      <c r="AV31" s="5"/>
      <c r="AW31" s="8"/>
      <c r="AX31" s="8"/>
      <c r="AY31" s="8"/>
      <c r="AZ31" s="8"/>
      <c r="BA31" s="8"/>
    </row>
    <row r="32" spans="1:54" s="61" customFormat="1" ht="26.4" x14ac:dyDescent="0.4">
      <c r="A32" s="301" t="s">
        <v>88</v>
      </c>
      <c r="B32" s="50"/>
      <c r="C32" s="51"/>
      <c r="D32" s="50"/>
      <c r="E32" s="236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9.75" customHeight="1" x14ac:dyDescent="0.4">
      <c r="A33" s="301"/>
      <c r="B33" s="50"/>
      <c r="C33" s="51"/>
      <c r="D33" s="50"/>
      <c r="E33" s="1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34"/>
      <c r="X33" s="34"/>
      <c r="Y33" s="34"/>
      <c r="Z33" s="34"/>
      <c r="AA33" s="34"/>
      <c r="AB33" s="34"/>
      <c r="AC33" s="34"/>
      <c r="AD33" s="34"/>
      <c r="AE33" s="58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"/>
      <c r="AR33" s="33"/>
      <c r="AS33" s="33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26.4" x14ac:dyDescent="0.4">
      <c r="A34" s="301" t="s">
        <v>89</v>
      </c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1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61" customFormat="1" ht="6.75" customHeight="1" x14ac:dyDescent="0.4">
      <c r="A35" s="301"/>
      <c r="B35" s="50"/>
      <c r="C35" s="51"/>
      <c r="D35" s="50"/>
      <c r="E35" s="52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62"/>
      <c r="X35" s="62"/>
      <c r="Y35" s="62"/>
      <c r="Z35" s="62"/>
      <c r="AA35" s="62"/>
      <c r="AB35" s="62"/>
      <c r="AC35" s="62"/>
      <c r="AD35" s="62"/>
      <c r="AE35" s="62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3"/>
      <c r="AQ35" s="34"/>
      <c r="AR35" s="34"/>
      <c r="AS35" s="35"/>
      <c r="AT35" s="59"/>
      <c r="AU35" s="59"/>
      <c r="AV35" s="60"/>
      <c r="AW35" s="59"/>
      <c r="AX35" s="59"/>
      <c r="AY35" s="59"/>
      <c r="AZ35" s="59"/>
      <c r="BA35" s="59"/>
    </row>
    <row r="36" spans="1:53" s="11" customFormat="1" ht="31.5" customHeight="1" x14ac:dyDescent="0.5">
      <c r="A36" s="6" t="s">
        <v>125</v>
      </c>
      <c r="B36" s="302"/>
      <c r="C36" s="302"/>
      <c r="D36" s="30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11" customFormat="1" ht="31.5" customHeight="1" thickBot="1" x14ac:dyDescent="0.55000000000000004">
      <c r="A37" s="6"/>
      <c r="B37" s="302"/>
      <c r="C37" s="302"/>
      <c r="D37" s="302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5"/>
      <c r="U37" s="66"/>
      <c r="V37" s="67"/>
      <c r="W37" s="67"/>
      <c r="X37" s="68"/>
      <c r="Y37" s="68"/>
      <c r="Z37" s="68"/>
      <c r="AA37" s="68"/>
      <c r="AB37" s="68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7"/>
      <c r="AQ37" s="3"/>
      <c r="AR37" s="18"/>
      <c r="AS37" s="18"/>
      <c r="AT37" s="47"/>
      <c r="AU37" s="47"/>
      <c r="AV37" s="4"/>
      <c r="AW37" s="47"/>
      <c r="AX37" s="47"/>
      <c r="AY37" s="47"/>
      <c r="AZ37" s="47"/>
      <c r="BA37" s="47"/>
    </row>
    <row r="38" spans="1:53" s="84" customFormat="1" ht="26.4" x14ac:dyDescent="0.4">
      <c r="A38" s="204" t="s">
        <v>120</v>
      </c>
      <c r="B38" s="205"/>
      <c r="C38" s="334" t="s">
        <v>119</v>
      </c>
      <c r="D38" s="205"/>
      <c r="E38" s="207">
        <f>[1]!UDL</f>
        <v>31.44</v>
      </c>
      <c r="F38" s="335"/>
      <c r="G38" s="207">
        <v>2.4</v>
      </c>
      <c r="H38" s="336"/>
      <c r="I38" s="210">
        <f>+G38/E38</f>
        <v>7.6335877862595408E-2</v>
      </c>
      <c r="J38" s="210"/>
      <c r="K38" s="337">
        <f>(+I38-E$28)*10000</f>
        <v>208.50877862595408</v>
      </c>
      <c r="L38" s="206"/>
      <c r="M38" s="210">
        <f>(I38*AA38)+((I38*(1-AA38))*(1-0.3))</f>
        <v>5.3435114503816786E-2</v>
      </c>
      <c r="N38" s="206"/>
      <c r="O38" s="338" t="s">
        <v>117</v>
      </c>
      <c r="P38" s="339"/>
      <c r="Q38" s="338">
        <f>(AF38+$E38-AG38)/AG38</f>
        <v>3.933884297520665E-2</v>
      </c>
      <c r="R38" s="339"/>
      <c r="S38" s="338">
        <f>(AH38+$E38-AI38)/AI38</f>
        <v>5.150501672240812E-2</v>
      </c>
      <c r="T38" s="209"/>
      <c r="U38" s="340">
        <f>(AJ38+E38-AK38)/AK38</f>
        <v>0.28326530612244905</v>
      </c>
      <c r="V38" s="251"/>
      <c r="W38" s="130"/>
      <c r="X38" s="149"/>
      <c r="Y38" s="348">
        <v>2.16</v>
      </c>
      <c r="Z38" s="349">
        <v>2.6</v>
      </c>
      <c r="AA38" s="350">
        <v>0</v>
      </c>
      <c r="AB38" s="351"/>
      <c r="AC38" s="154"/>
      <c r="AD38" s="352"/>
      <c r="AE38" s="353"/>
      <c r="AF38" s="354"/>
      <c r="AG38" s="355">
        <v>30.25</v>
      </c>
      <c r="AH38" s="354"/>
      <c r="AI38" s="355">
        <v>29.9</v>
      </c>
      <c r="AJ38" s="356" t="s">
        <v>85</v>
      </c>
      <c r="AK38" s="356">
        <v>24.5</v>
      </c>
      <c r="AL38" s="356" t="s">
        <v>85</v>
      </c>
      <c r="AM38" s="356" t="s">
        <v>85</v>
      </c>
      <c r="AN38" s="356" t="s">
        <v>85</v>
      </c>
      <c r="AO38" s="356" t="s">
        <v>85</v>
      </c>
      <c r="AP38" s="356" t="s">
        <v>85</v>
      </c>
      <c r="AQ38" s="357" t="s">
        <v>85</v>
      </c>
      <c r="AR38" s="200"/>
      <c r="AS38" s="255"/>
      <c r="AT38" s="201"/>
      <c r="AU38" s="201"/>
      <c r="AV38" s="201"/>
      <c r="AW38" s="83"/>
      <c r="AX38" s="223"/>
      <c r="AY38" s="224"/>
    </row>
    <row r="39" spans="1:53" s="84" customFormat="1" ht="27" thickBot="1" x14ac:dyDescent="0.45">
      <c r="A39" s="341" t="s">
        <v>121</v>
      </c>
      <c r="B39" s="226"/>
      <c r="C39" s="342" t="s">
        <v>122</v>
      </c>
      <c r="D39" s="226"/>
      <c r="E39" s="228">
        <f>[1]!WEG</f>
        <v>29.9</v>
      </c>
      <c r="F39" s="343"/>
      <c r="G39" s="228">
        <v>2.1</v>
      </c>
      <c r="H39" s="344"/>
      <c r="I39" s="231">
        <f>+G39/E39</f>
        <v>7.0234113712374591E-2</v>
      </c>
      <c r="J39" s="231"/>
      <c r="K39" s="232">
        <f>(+I39-E$28)*10000</f>
        <v>147.49113712374592</v>
      </c>
      <c r="L39" s="227"/>
      <c r="M39" s="231">
        <f>(I39*AA39)+((I39*(1-AA39))*(1-0.3))</f>
        <v>4.9163879598662211E-2</v>
      </c>
      <c r="N39" s="227"/>
      <c r="O39" s="345" t="s">
        <v>117</v>
      </c>
      <c r="P39" s="346"/>
      <c r="Q39" s="345">
        <f>(AF39+$E39-AG39)/AG39</f>
        <v>-3.7037037037037104E-2</v>
      </c>
      <c r="R39" s="346"/>
      <c r="S39" s="345">
        <f>(AH39+$E39-AI39)/AI39</f>
        <v>2.6589595375722544E-2</v>
      </c>
      <c r="T39" s="230"/>
      <c r="U39" s="347">
        <f>(AJ39+E39-AK39)/AK39</f>
        <v>0.40427906976744188</v>
      </c>
      <c r="V39" s="251"/>
      <c r="W39" s="130"/>
      <c r="X39" s="149"/>
      <c r="Y39" s="358">
        <v>1.65</v>
      </c>
      <c r="Z39" s="359">
        <v>1.73</v>
      </c>
      <c r="AA39" s="360">
        <v>0</v>
      </c>
      <c r="AB39" s="361"/>
      <c r="AC39" s="118"/>
      <c r="AD39" s="362">
        <v>37099</v>
      </c>
      <c r="AE39" s="363">
        <v>0.29199999999999998</v>
      </c>
      <c r="AF39" s="364"/>
      <c r="AG39" s="365">
        <v>31.05</v>
      </c>
      <c r="AH39" s="364">
        <v>0.29199999999999998</v>
      </c>
      <c r="AI39" s="365">
        <v>29.41</v>
      </c>
      <c r="AJ39" s="366">
        <v>0.29199999999999998</v>
      </c>
      <c r="AK39" s="366">
        <v>21.5</v>
      </c>
      <c r="AL39" s="366" t="s">
        <v>85</v>
      </c>
      <c r="AM39" s="366" t="s">
        <v>85</v>
      </c>
      <c r="AN39" s="366" t="s">
        <v>85</v>
      </c>
      <c r="AO39" s="366" t="s">
        <v>85</v>
      </c>
      <c r="AP39" s="366" t="s">
        <v>85</v>
      </c>
      <c r="AQ39" s="367" t="s">
        <v>85</v>
      </c>
      <c r="AR39" s="200"/>
      <c r="AS39" s="255"/>
      <c r="AT39" s="201"/>
      <c r="AU39" s="201"/>
      <c r="AV39" s="201"/>
      <c r="AW39" s="83"/>
      <c r="AX39" s="223"/>
      <c r="AY39" s="224"/>
    </row>
    <row r="40" spans="1:53" s="84" customFormat="1" ht="18.75" customHeight="1" x14ac:dyDescent="0.4">
      <c r="A40" s="368" t="s">
        <v>123</v>
      </c>
      <c r="B40" s="77"/>
      <c r="C40" s="143"/>
      <c r="D40" s="77"/>
      <c r="E40" s="236"/>
      <c r="F40" s="237"/>
      <c r="G40" s="236"/>
      <c r="H40" s="320"/>
      <c r="I40" s="178"/>
      <c r="J40" s="178"/>
      <c r="K40" s="243"/>
      <c r="L40" s="106"/>
      <c r="M40" s="178"/>
      <c r="N40" s="106"/>
      <c r="O40" s="165"/>
      <c r="P40" s="239"/>
      <c r="Q40" s="165"/>
      <c r="R40" s="239"/>
      <c r="S40" s="165"/>
      <c r="T40" s="108"/>
      <c r="U40" s="244"/>
      <c r="V40" s="251"/>
      <c r="W40" s="130"/>
      <c r="X40" s="149"/>
      <c r="Y40" s="331"/>
      <c r="Z40" s="331"/>
      <c r="AA40" s="252"/>
      <c r="AB40" s="252"/>
      <c r="AC40" s="77"/>
      <c r="AD40" s="218"/>
      <c r="AE40" s="250"/>
      <c r="AF40" s="250"/>
      <c r="AG40" s="236"/>
      <c r="AH40" s="250"/>
      <c r="AI40" s="236"/>
      <c r="AJ40" s="332"/>
      <c r="AK40" s="332"/>
      <c r="AL40" s="332"/>
      <c r="AM40" s="332"/>
      <c r="AN40" s="332"/>
      <c r="AO40" s="332"/>
      <c r="AP40" s="332"/>
      <c r="AQ40" s="333"/>
      <c r="AR40" s="200"/>
      <c r="AS40" s="255"/>
      <c r="AT40" s="201"/>
      <c r="AU40" s="201"/>
      <c r="AV40" s="201"/>
      <c r="AW40" s="83"/>
      <c r="AX40" s="223"/>
      <c r="AY40" s="224"/>
    </row>
    <row r="41" spans="1:53" s="84" customFormat="1" ht="18.75" customHeight="1" x14ac:dyDescent="0.4">
      <c r="A41" s="368" t="s">
        <v>124</v>
      </c>
      <c r="B41" s="63"/>
      <c r="C41" s="58"/>
      <c r="D41" s="63"/>
      <c r="E41" s="63"/>
      <c r="F41" s="237"/>
      <c r="G41" s="236"/>
      <c r="H41" s="320"/>
      <c r="I41" s="178"/>
      <c r="J41" s="178"/>
      <c r="K41" s="243"/>
      <c r="L41" s="106"/>
      <c r="M41" s="178"/>
      <c r="N41" s="106"/>
      <c r="O41" s="165"/>
      <c r="P41" s="239"/>
      <c r="Q41" s="165"/>
      <c r="R41" s="239"/>
      <c r="S41" s="165"/>
      <c r="T41" s="108"/>
      <c r="U41" s="244"/>
      <c r="V41" s="251"/>
      <c r="W41" s="130"/>
      <c r="X41" s="149"/>
      <c r="Y41" s="331"/>
      <c r="Z41" s="331"/>
      <c r="AA41" s="252"/>
      <c r="AB41" s="252"/>
      <c r="AC41" s="77"/>
      <c r="AD41" s="218"/>
      <c r="AE41" s="250"/>
      <c r="AF41" s="250"/>
      <c r="AG41" s="236"/>
      <c r="AH41" s="250"/>
      <c r="AI41" s="236"/>
      <c r="AJ41" s="332"/>
      <c r="AK41" s="332"/>
      <c r="AL41" s="332"/>
      <c r="AM41" s="332"/>
      <c r="AN41" s="332"/>
      <c r="AO41" s="332"/>
      <c r="AP41" s="332"/>
      <c r="AQ41" s="333"/>
      <c r="AR41" s="200"/>
      <c r="AS41" s="255"/>
      <c r="AT41" s="201"/>
      <c r="AU41" s="201"/>
      <c r="AV41" s="201"/>
      <c r="AW41" s="83"/>
      <c r="AX41" s="223"/>
      <c r="AY41" s="224"/>
    </row>
    <row r="42" spans="1:53" s="11" customFormat="1" ht="19.5" customHeight="1" x14ac:dyDescent="0.3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314" t="s">
        <v>97</v>
      </c>
      <c r="AH42" s="4"/>
      <c r="AI42" s="314" t="s">
        <v>98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3" s="84" customFormat="1" ht="37.5" customHeight="1" x14ac:dyDescent="0.7">
      <c r="A43" s="69"/>
      <c r="B43" s="70"/>
      <c r="C43" s="71"/>
      <c r="D43" s="70"/>
      <c r="E43" s="370" t="s">
        <v>35</v>
      </c>
      <c r="F43" s="370"/>
      <c r="G43" s="370"/>
      <c r="H43" s="370"/>
      <c r="I43" s="370"/>
      <c r="J43" s="370"/>
      <c r="K43" s="370"/>
      <c r="L43" s="72"/>
      <c r="M43" s="72"/>
      <c r="N43" s="72"/>
      <c r="O43" s="73"/>
      <c r="P43" s="74"/>
      <c r="Q43" s="370" t="s">
        <v>37</v>
      </c>
      <c r="R43" s="370"/>
      <c r="S43" s="370"/>
      <c r="T43" s="370"/>
      <c r="U43" s="370"/>
      <c r="V43" s="370"/>
      <c r="W43" s="371"/>
      <c r="X43" s="75"/>
      <c r="Y43" s="290" t="s">
        <v>79</v>
      </c>
      <c r="Z43" s="76"/>
      <c r="AA43" s="76"/>
      <c r="AB43" s="76"/>
      <c r="AC43" s="77"/>
      <c r="AD43" s="78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80"/>
      <c r="AQ43" s="81"/>
      <c r="AR43" s="82"/>
      <c r="AS43" s="82"/>
      <c r="AT43" s="83"/>
      <c r="AU43" s="83"/>
      <c r="AV43" s="79"/>
      <c r="AW43" s="83"/>
      <c r="AX43" s="83"/>
      <c r="AY43" s="83"/>
      <c r="AZ43" s="83"/>
      <c r="BA43" s="83"/>
    </row>
    <row r="44" spans="1:53" s="84" customFormat="1" ht="26.1" customHeight="1" x14ac:dyDescent="0.4">
      <c r="A44" s="85" t="s">
        <v>52</v>
      </c>
      <c r="B44" s="86"/>
      <c r="C44" s="86"/>
      <c r="D44" s="86"/>
      <c r="E44" s="87" t="s">
        <v>53</v>
      </c>
      <c r="F44" s="86"/>
      <c r="G44" s="87" t="s">
        <v>105</v>
      </c>
      <c r="H44" s="88"/>
      <c r="I44" s="87" t="s">
        <v>116</v>
      </c>
      <c r="J44" s="87"/>
      <c r="K44" s="87" t="s">
        <v>54</v>
      </c>
      <c r="L44" s="77"/>
      <c r="M44" s="89"/>
      <c r="N44" s="88"/>
      <c r="O44" s="90"/>
      <c r="P44" s="88"/>
      <c r="Q44" s="289" t="s">
        <v>53</v>
      </c>
      <c r="R44" s="88"/>
      <c r="S44" s="87" t="s">
        <v>105</v>
      </c>
      <c r="T44" s="88"/>
      <c r="U44" s="87" t="s">
        <v>116</v>
      </c>
      <c r="V44" s="91"/>
      <c r="W44" s="92" t="s">
        <v>54</v>
      </c>
      <c r="X44" s="87"/>
      <c r="Y44" s="76"/>
      <c r="Z44" s="76"/>
      <c r="AA44" s="76"/>
      <c r="AB44" s="76"/>
      <c r="AC44" s="77"/>
      <c r="AD44" s="93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0"/>
      <c r="AQ44" s="81"/>
      <c r="AR44" s="82"/>
      <c r="AS44" s="82"/>
      <c r="AT44" s="83"/>
      <c r="AU44" s="83"/>
      <c r="AV44" s="79"/>
      <c r="AW44" s="83"/>
      <c r="AX44" s="83"/>
      <c r="AY44" s="83"/>
      <c r="AZ44" s="83"/>
      <c r="BA44" s="83"/>
    </row>
    <row r="45" spans="1:53" s="84" customFormat="1" ht="26.1" customHeight="1" x14ac:dyDescent="0.4">
      <c r="A45" s="94" t="s">
        <v>55</v>
      </c>
      <c r="B45" s="86"/>
      <c r="C45" s="86"/>
      <c r="D45" s="86"/>
      <c r="E45" s="95" t="s">
        <v>56</v>
      </c>
      <c r="F45" s="86"/>
      <c r="G45" s="96">
        <v>2.62</v>
      </c>
      <c r="H45" s="86"/>
      <c r="I45" s="96">
        <v>2.67</v>
      </c>
      <c r="J45" s="86"/>
      <c r="K45" s="96">
        <v>42</v>
      </c>
      <c r="L45" s="77"/>
      <c r="M45" s="89"/>
      <c r="N45" s="86"/>
      <c r="O45" s="96"/>
      <c r="P45" s="86"/>
      <c r="Q45" s="97" t="s">
        <v>57</v>
      </c>
      <c r="R45" s="98"/>
      <c r="S45" s="97"/>
      <c r="T45" s="99"/>
      <c r="U45" s="100"/>
      <c r="V45" s="91"/>
      <c r="W45" s="101"/>
      <c r="X45" s="102"/>
      <c r="Y45" s="76" t="s">
        <v>107</v>
      </c>
      <c r="Z45" s="76"/>
      <c r="AA45" s="76"/>
      <c r="AB45" s="76"/>
      <c r="AC45" s="77"/>
      <c r="AD45" s="93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0"/>
      <c r="AQ45" s="81"/>
      <c r="AR45" s="82"/>
      <c r="AS45" s="82"/>
      <c r="AT45" s="83"/>
      <c r="AU45" s="83"/>
      <c r="AV45" s="79"/>
      <c r="AW45" s="83"/>
      <c r="AX45" s="83"/>
      <c r="AY45" s="83"/>
      <c r="AZ45" s="83"/>
      <c r="BA45" s="83"/>
    </row>
    <row r="46" spans="1:53" s="84" customFormat="1" ht="26.1" customHeight="1" x14ac:dyDescent="0.4">
      <c r="A46" s="94" t="s">
        <v>87</v>
      </c>
      <c r="B46" s="86"/>
      <c r="C46" s="86"/>
      <c r="D46" s="86"/>
      <c r="E46" s="95" t="s">
        <v>56</v>
      </c>
      <c r="F46" s="86"/>
      <c r="G46" s="96">
        <v>2.65</v>
      </c>
      <c r="H46" s="86"/>
      <c r="I46" s="96">
        <v>2.75</v>
      </c>
      <c r="J46" s="86"/>
      <c r="K46" s="96">
        <v>43</v>
      </c>
      <c r="L46" s="77"/>
      <c r="M46" s="89"/>
      <c r="N46" s="86"/>
      <c r="O46" s="96"/>
      <c r="P46" s="86"/>
      <c r="Q46" s="97" t="s">
        <v>66</v>
      </c>
      <c r="R46" s="98"/>
      <c r="S46" s="102"/>
      <c r="T46" s="99"/>
      <c r="U46" s="102"/>
      <c r="V46" s="91"/>
      <c r="W46" s="101"/>
      <c r="X46" s="102"/>
      <c r="Y46" s="76" t="s">
        <v>77</v>
      </c>
      <c r="Z46" s="76"/>
      <c r="AA46" s="76"/>
      <c r="AB46" s="76"/>
      <c r="AC46" s="77"/>
      <c r="AD46" s="93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0"/>
      <c r="AQ46" s="81"/>
      <c r="AR46" s="82"/>
      <c r="AS46" s="82"/>
      <c r="AT46" s="83"/>
      <c r="AU46" s="83"/>
      <c r="AV46" s="79"/>
      <c r="AW46" s="83"/>
      <c r="AX46" s="83"/>
      <c r="AY46" s="83"/>
      <c r="AZ46" s="83"/>
      <c r="BA46" s="83"/>
    </row>
    <row r="47" spans="1:53" s="84" customFormat="1" ht="26.1" customHeight="1" x14ac:dyDescent="0.4">
      <c r="A47" s="94" t="s">
        <v>58</v>
      </c>
      <c r="B47" s="86"/>
      <c r="C47" s="86"/>
      <c r="D47" s="86"/>
      <c r="E47" s="95" t="s">
        <v>56</v>
      </c>
      <c r="F47" s="86"/>
      <c r="G47" s="96">
        <v>2.6</v>
      </c>
      <c r="H47" s="86"/>
      <c r="I47" s="96"/>
      <c r="J47" s="86"/>
      <c r="K47" s="96">
        <v>34</v>
      </c>
      <c r="L47" s="77"/>
      <c r="M47" s="89"/>
      <c r="N47" s="86"/>
      <c r="O47" s="96"/>
      <c r="P47" s="86"/>
      <c r="Q47" s="97" t="s">
        <v>66</v>
      </c>
      <c r="R47" s="98"/>
      <c r="S47" s="97"/>
      <c r="T47" s="99"/>
      <c r="U47" s="100"/>
      <c r="V47" s="91"/>
      <c r="W47" s="101"/>
      <c r="X47" s="102"/>
      <c r="Y47" s="76" t="s">
        <v>74</v>
      </c>
      <c r="Z47" s="76"/>
      <c r="AA47" s="76"/>
      <c r="AB47" s="76"/>
      <c r="AC47" s="77"/>
      <c r="AD47" s="93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0"/>
      <c r="AQ47" s="81"/>
      <c r="AR47" s="82"/>
      <c r="AS47" s="82"/>
      <c r="AT47" s="83"/>
      <c r="AU47" s="83"/>
      <c r="AV47" s="79"/>
      <c r="AW47" s="83"/>
      <c r="AX47" s="83"/>
      <c r="AY47" s="83"/>
      <c r="AZ47" s="83"/>
      <c r="BA47" s="83"/>
    </row>
    <row r="48" spans="1:53" s="84" customFormat="1" ht="26.1" customHeight="1" x14ac:dyDescent="0.4">
      <c r="A48" s="94" t="s">
        <v>59</v>
      </c>
      <c r="B48" s="86"/>
      <c r="C48" s="86"/>
      <c r="D48" s="86"/>
      <c r="E48" s="95" t="s">
        <v>56</v>
      </c>
      <c r="F48" s="86"/>
      <c r="G48" s="96">
        <v>2.6</v>
      </c>
      <c r="H48" s="86"/>
      <c r="I48" s="96">
        <v>2.8</v>
      </c>
      <c r="J48" s="86"/>
      <c r="K48" s="96">
        <v>44</v>
      </c>
      <c r="L48" s="77"/>
      <c r="M48" s="89"/>
      <c r="N48" s="86"/>
      <c r="O48" s="96"/>
      <c r="P48" s="86"/>
      <c r="Q48" s="97" t="s">
        <v>90</v>
      </c>
      <c r="R48" s="98"/>
      <c r="S48" s="96">
        <v>0.65</v>
      </c>
      <c r="T48" s="86"/>
      <c r="U48" s="96">
        <v>0.7</v>
      </c>
      <c r="V48" s="91"/>
      <c r="W48" s="103">
        <v>22</v>
      </c>
      <c r="X48" s="96"/>
      <c r="Y48" s="76" t="s">
        <v>75</v>
      </c>
      <c r="Z48" s="76"/>
      <c r="AA48" s="76"/>
      <c r="AB48" s="76"/>
      <c r="AC48" s="77"/>
      <c r="AD48" s="93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0"/>
      <c r="AQ48" s="81"/>
      <c r="AR48" s="82"/>
      <c r="AS48" s="82"/>
      <c r="AT48" s="79"/>
      <c r="AU48" s="79"/>
      <c r="AV48" s="79"/>
      <c r="AW48" s="79"/>
      <c r="AX48" s="79"/>
      <c r="AY48" s="79"/>
      <c r="AZ48" s="79"/>
      <c r="BA48" s="79"/>
    </row>
    <row r="49" spans="1:54" s="84" customFormat="1" ht="26.1" customHeight="1" x14ac:dyDescent="0.4">
      <c r="A49" s="94" t="s">
        <v>115</v>
      </c>
      <c r="B49" s="86"/>
      <c r="C49" s="86"/>
      <c r="D49" s="86"/>
      <c r="E49" s="95" t="s">
        <v>118</v>
      </c>
      <c r="F49" s="86"/>
      <c r="G49" s="96">
        <v>2.56</v>
      </c>
      <c r="H49" s="86"/>
      <c r="I49" s="96">
        <v>2.68</v>
      </c>
      <c r="J49" s="86"/>
      <c r="K49" s="96">
        <v>43</v>
      </c>
      <c r="L49" s="77"/>
      <c r="M49" s="89"/>
      <c r="N49" s="86"/>
      <c r="O49" s="96"/>
      <c r="P49" s="86"/>
      <c r="Q49" s="97"/>
      <c r="R49" s="98"/>
      <c r="S49" s="96"/>
      <c r="T49" s="86"/>
      <c r="U49" s="96"/>
      <c r="V49" s="91"/>
      <c r="W49" s="103"/>
      <c r="X49" s="96"/>
      <c r="Y49" s="76"/>
      <c r="Z49" s="76"/>
      <c r="AA49" s="76"/>
      <c r="AB49" s="76"/>
      <c r="AC49" s="77"/>
      <c r="AD49" s="93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0"/>
      <c r="AQ49" s="81"/>
      <c r="AR49" s="82"/>
      <c r="AS49" s="82"/>
      <c r="AT49" s="79"/>
      <c r="AU49" s="79"/>
      <c r="AV49" s="79"/>
      <c r="AW49" s="79"/>
      <c r="AX49" s="79"/>
      <c r="AY49" s="79"/>
      <c r="AZ49" s="79"/>
      <c r="BA49" s="79"/>
    </row>
    <row r="50" spans="1:54" s="84" customFormat="1" ht="26.1" customHeight="1" x14ac:dyDescent="0.4">
      <c r="A50" s="94" t="s">
        <v>60</v>
      </c>
      <c r="B50" s="86"/>
      <c r="C50" s="86"/>
      <c r="D50" s="86"/>
      <c r="E50" s="95" t="s">
        <v>83</v>
      </c>
      <c r="F50" s="86"/>
      <c r="G50" s="96">
        <v>2.6</v>
      </c>
      <c r="H50" s="86"/>
      <c r="I50" s="96"/>
      <c r="J50" s="86"/>
      <c r="K50" s="96">
        <v>38</v>
      </c>
      <c r="L50" s="77"/>
      <c r="M50" s="89"/>
      <c r="N50" s="86"/>
      <c r="O50" s="96"/>
      <c r="P50" s="86"/>
      <c r="Q50" s="97" t="s">
        <v>66</v>
      </c>
      <c r="R50" s="98"/>
      <c r="S50" s="102"/>
      <c r="T50" s="99"/>
      <c r="U50" s="102"/>
      <c r="V50" s="91"/>
      <c r="W50" s="101"/>
      <c r="X50" s="102"/>
      <c r="Y50" s="76" t="s">
        <v>76</v>
      </c>
      <c r="Z50" s="76"/>
      <c r="AA50" s="76"/>
      <c r="AB50" s="76"/>
      <c r="AC50" s="77"/>
      <c r="AD50" s="93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0"/>
      <c r="AQ50" s="81"/>
      <c r="AR50" s="82"/>
      <c r="AS50" s="82"/>
      <c r="AT50" s="79"/>
      <c r="AU50" s="79"/>
      <c r="AV50" s="79"/>
      <c r="AW50" s="79"/>
      <c r="AX50" s="79"/>
      <c r="AY50" s="79"/>
      <c r="AZ50" s="79"/>
      <c r="BA50" s="79"/>
    </row>
    <row r="51" spans="1:54" s="84" customFormat="1" ht="26.1" customHeight="1" x14ac:dyDescent="0.4">
      <c r="A51" s="94" t="s">
        <v>91</v>
      </c>
      <c r="B51" s="86"/>
      <c r="C51" s="86"/>
      <c r="D51" s="86"/>
      <c r="E51" s="95"/>
      <c r="F51" s="86"/>
      <c r="G51" s="96"/>
      <c r="H51" s="86"/>
      <c r="I51" s="96"/>
      <c r="J51" s="86"/>
      <c r="K51" s="96"/>
      <c r="L51" s="77"/>
      <c r="M51" s="89"/>
      <c r="N51" s="86"/>
      <c r="O51" s="96"/>
      <c r="P51" s="86"/>
      <c r="Q51" s="97" t="s">
        <v>56</v>
      </c>
      <c r="R51" s="98"/>
      <c r="S51" s="303"/>
      <c r="T51" s="304"/>
      <c r="U51" s="303"/>
      <c r="V51" s="305"/>
      <c r="W51" s="306"/>
      <c r="X51" s="102"/>
      <c r="Y51" s="76" t="s">
        <v>110</v>
      </c>
      <c r="Z51" s="76"/>
      <c r="AA51" s="76"/>
      <c r="AB51" s="76"/>
      <c r="AC51" s="77"/>
      <c r="AD51" s="93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0"/>
      <c r="AQ51" s="81"/>
      <c r="AR51" s="82"/>
      <c r="AS51" s="82"/>
      <c r="AT51" s="79"/>
      <c r="AU51" s="79"/>
      <c r="AV51" s="79"/>
      <c r="AW51" s="79"/>
      <c r="AX51" s="79"/>
      <c r="AY51" s="79"/>
      <c r="AZ51" s="79"/>
      <c r="BA51" s="79"/>
    </row>
    <row r="52" spans="1:54" s="84" customFormat="1" ht="26.1" customHeight="1" x14ac:dyDescent="0.4">
      <c r="A52" s="94" t="s">
        <v>68</v>
      </c>
      <c r="B52" s="86"/>
      <c r="C52" s="86"/>
      <c r="D52" s="86"/>
      <c r="E52" s="95" t="s">
        <v>56</v>
      </c>
      <c r="F52" s="86"/>
      <c r="G52" s="96">
        <v>2.58</v>
      </c>
      <c r="H52" s="86"/>
      <c r="I52" s="96">
        <v>2.68</v>
      </c>
      <c r="J52" s="86"/>
      <c r="K52" s="96">
        <v>42</v>
      </c>
      <c r="L52" s="77"/>
      <c r="M52" s="89"/>
      <c r="N52" s="86"/>
      <c r="O52" s="96"/>
      <c r="P52" s="86"/>
      <c r="Q52" s="97" t="s">
        <v>69</v>
      </c>
      <c r="R52" s="98"/>
      <c r="S52" s="303">
        <v>0.6</v>
      </c>
      <c r="T52" s="304"/>
      <c r="U52" s="96">
        <v>0.65</v>
      </c>
      <c r="V52" s="305"/>
      <c r="W52" s="306">
        <v>19</v>
      </c>
      <c r="X52" s="102"/>
      <c r="Y52" s="76" t="s">
        <v>106</v>
      </c>
      <c r="Z52" s="76"/>
      <c r="AA52" s="76"/>
      <c r="AB52" s="76"/>
      <c r="AC52" s="77"/>
      <c r="AD52" s="93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0"/>
      <c r="AQ52" s="81"/>
      <c r="AR52" s="82"/>
      <c r="AS52" s="82"/>
      <c r="AT52" s="79"/>
      <c r="AU52" s="79"/>
      <c r="AV52" s="79"/>
      <c r="AW52" s="79"/>
      <c r="AX52" s="79"/>
      <c r="AY52" s="79"/>
      <c r="AZ52" s="79"/>
      <c r="BA52" s="79"/>
    </row>
    <row r="53" spans="1:54" s="84" customFormat="1" ht="26.1" customHeight="1" x14ac:dyDescent="0.4">
      <c r="A53" s="94" t="s">
        <v>67</v>
      </c>
      <c r="B53" s="86"/>
      <c r="C53" s="86"/>
      <c r="D53" s="86"/>
      <c r="E53" s="95" t="s">
        <v>112</v>
      </c>
      <c r="F53" s="86"/>
      <c r="G53" s="96">
        <v>2.6</v>
      </c>
      <c r="H53" s="86"/>
      <c r="I53" s="96">
        <v>2.7</v>
      </c>
      <c r="J53" s="86"/>
      <c r="K53" s="96">
        <v>43.48</v>
      </c>
      <c r="L53" s="77"/>
      <c r="M53" s="89"/>
      <c r="N53" s="86"/>
      <c r="O53" s="96"/>
      <c r="P53" s="86"/>
      <c r="Q53" s="97" t="s">
        <v>80</v>
      </c>
      <c r="R53" s="98"/>
      <c r="S53" s="96">
        <v>0.67</v>
      </c>
      <c r="T53" s="86"/>
      <c r="U53" s="96">
        <v>0.65</v>
      </c>
      <c r="V53" s="91"/>
      <c r="W53" s="103"/>
      <c r="X53" s="96"/>
      <c r="Y53" s="76" t="s">
        <v>109</v>
      </c>
      <c r="Z53" s="76"/>
      <c r="AA53" s="76"/>
      <c r="AB53" s="76"/>
      <c r="AD53" s="93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0"/>
      <c r="AQ53" s="81"/>
      <c r="AR53" s="82"/>
      <c r="AS53" s="82"/>
      <c r="AT53" s="79"/>
      <c r="AU53" s="79"/>
      <c r="AV53" s="79"/>
      <c r="AW53" s="79"/>
      <c r="AX53" s="79"/>
      <c r="AY53" s="79"/>
      <c r="AZ53" s="79"/>
      <c r="BA53" s="79"/>
    </row>
    <row r="54" spans="1:54" s="84" customFormat="1" ht="26.1" customHeight="1" x14ac:dyDescent="0.4">
      <c r="A54" s="94" t="s">
        <v>61</v>
      </c>
      <c r="B54" s="86"/>
      <c r="C54" s="86"/>
      <c r="D54" s="86"/>
      <c r="E54" s="95" t="s">
        <v>62</v>
      </c>
      <c r="F54" s="86"/>
      <c r="G54" s="96">
        <v>2.6</v>
      </c>
      <c r="H54" s="86"/>
      <c r="I54" s="96">
        <v>2.65</v>
      </c>
      <c r="J54" s="86"/>
      <c r="K54" s="96">
        <v>40</v>
      </c>
      <c r="L54" s="77"/>
      <c r="M54" s="89"/>
      <c r="N54" s="86"/>
      <c r="O54" s="96"/>
      <c r="P54" s="86"/>
      <c r="Q54" s="97" t="s">
        <v>66</v>
      </c>
      <c r="R54" s="98"/>
      <c r="S54" s="102"/>
      <c r="T54" s="99"/>
      <c r="U54" s="102"/>
      <c r="V54" s="91"/>
      <c r="W54" s="101"/>
      <c r="X54" s="102"/>
      <c r="Y54" s="76" t="s">
        <v>78</v>
      </c>
      <c r="Z54" s="76"/>
      <c r="AA54" s="76"/>
      <c r="AB54" s="76"/>
      <c r="AC54" s="77"/>
      <c r="AD54" s="93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0"/>
      <c r="AQ54" s="81"/>
      <c r="AR54" s="82"/>
      <c r="AS54" s="82"/>
      <c r="AT54" s="79"/>
      <c r="AU54" s="79"/>
      <c r="AV54" s="79"/>
      <c r="AW54" s="79"/>
      <c r="AX54" s="79"/>
      <c r="AY54" s="79"/>
      <c r="AZ54" s="79"/>
      <c r="BA54" s="79"/>
    </row>
    <row r="55" spans="1:54" s="84" customFormat="1" ht="26.1" customHeight="1" x14ac:dyDescent="0.4">
      <c r="A55" s="104" t="s">
        <v>63</v>
      </c>
      <c r="B55" s="86"/>
      <c r="C55" s="86"/>
      <c r="D55" s="86"/>
      <c r="E55" s="95" t="s">
        <v>56</v>
      </c>
      <c r="F55" s="86"/>
      <c r="G55" s="96">
        <v>2.5499999999999998</v>
      </c>
      <c r="H55" s="86"/>
      <c r="I55" s="96">
        <v>2.7</v>
      </c>
      <c r="J55" s="86"/>
      <c r="K55" s="96">
        <v>45</v>
      </c>
      <c r="L55" s="77"/>
      <c r="M55" s="89"/>
      <c r="N55" s="86"/>
      <c r="O55" s="96"/>
      <c r="P55" s="86"/>
      <c r="Q55" s="97" t="s">
        <v>62</v>
      </c>
      <c r="R55" s="98"/>
      <c r="S55" s="96">
        <v>0.6</v>
      </c>
      <c r="T55" s="86"/>
      <c r="U55" s="96">
        <v>0.65</v>
      </c>
      <c r="V55" s="91"/>
      <c r="W55" s="103">
        <v>19</v>
      </c>
      <c r="X55" s="102"/>
      <c r="Y55" s="76"/>
      <c r="Z55" s="76"/>
      <c r="AA55" s="76"/>
      <c r="AB55" s="76"/>
      <c r="AC55" s="77"/>
      <c r="AD55" s="93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0"/>
      <c r="AQ55" s="81"/>
      <c r="AR55" s="82"/>
      <c r="AS55" s="82"/>
      <c r="AT55" s="79"/>
      <c r="AU55" s="79"/>
      <c r="AV55" s="79"/>
      <c r="AW55" s="79"/>
      <c r="AX55" s="79"/>
      <c r="AY55" s="79"/>
      <c r="AZ55" s="79"/>
      <c r="BA55" s="79"/>
    </row>
    <row r="56" spans="1:54" s="84" customFormat="1" ht="26.1" customHeight="1" x14ac:dyDescent="0.4">
      <c r="A56" s="104" t="s">
        <v>113</v>
      </c>
      <c r="B56" s="86"/>
      <c r="C56" s="86"/>
      <c r="D56" s="86"/>
      <c r="E56" s="95" t="s">
        <v>56</v>
      </c>
      <c r="F56" s="86"/>
      <c r="G56" s="96">
        <v>2.6</v>
      </c>
      <c r="H56" s="86"/>
      <c r="I56" s="96">
        <v>2.7</v>
      </c>
      <c r="J56" s="86"/>
      <c r="K56" s="96">
        <v>47</v>
      </c>
      <c r="L56" s="77"/>
      <c r="M56" s="89"/>
      <c r="N56" s="86"/>
      <c r="O56" s="96"/>
      <c r="P56" s="86"/>
      <c r="Q56" s="97" t="s">
        <v>56</v>
      </c>
      <c r="R56" s="98"/>
      <c r="S56" s="96">
        <v>0.6</v>
      </c>
      <c r="T56" s="86"/>
      <c r="U56" s="96">
        <v>0.65</v>
      </c>
      <c r="V56" s="91"/>
      <c r="W56" s="103">
        <v>21</v>
      </c>
      <c r="X56" s="96"/>
      <c r="Y56" s="76" t="s">
        <v>94</v>
      </c>
      <c r="Z56" s="76"/>
      <c r="AA56" s="76"/>
      <c r="AB56" s="76"/>
      <c r="AD56" s="93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0"/>
      <c r="AQ56" s="81"/>
      <c r="AR56" s="82"/>
      <c r="AS56" s="82"/>
      <c r="AT56" s="79"/>
      <c r="AU56" s="79"/>
      <c r="AV56" s="79"/>
      <c r="AW56" s="79"/>
      <c r="AX56" s="79"/>
      <c r="AY56" s="79"/>
      <c r="AZ56" s="79"/>
      <c r="BA56" s="79"/>
      <c r="BB56" s="79"/>
    </row>
    <row r="57" spans="1:54" s="79" customFormat="1" ht="26.1" customHeight="1" x14ac:dyDescent="0.4">
      <c r="A57" s="104"/>
      <c r="B57" s="86"/>
      <c r="C57" s="86"/>
      <c r="D57" s="86"/>
      <c r="E57" s="83"/>
      <c r="F57" s="86"/>
      <c r="G57" s="96"/>
      <c r="H57" s="86"/>
      <c r="I57" s="96"/>
      <c r="J57" s="86"/>
      <c r="K57" s="96"/>
      <c r="L57" s="83"/>
      <c r="M57" s="83"/>
      <c r="N57" s="86"/>
      <c r="O57" s="96"/>
      <c r="P57" s="86"/>
      <c r="Q57" s="83"/>
      <c r="R57" s="98"/>
      <c r="S57" s="95"/>
      <c r="T57" s="86"/>
      <c r="U57" s="83"/>
      <c r="V57" s="83"/>
      <c r="W57" s="105"/>
      <c r="X57" s="86"/>
      <c r="Y57" s="76"/>
      <c r="Z57" s="76"/>
      <c r="AA57" s="76"/>
      <c r="AB57" s="76"/>
      <c r="AD57" s="93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0"/>
      <c r="AQ57" s="81"/>
      <c r="AR57" s="82"/>
      <c r="AS57" s="82"/>
    </row>
    <row r="58" spans="1:54" s="79" customFormat="1" ht="26.1" customHeight="1" thickBot="1" x14ac:dyDescent="0.45">
      <c r="A58" s="104" t="s">
        <v>16</v>
      </c>
      <c r="B58" s="83"/>
      <c r="C58" s="106"/>
      <c r="D58" s="83"/>
      <c r="E58" s="83"/>
      <c r="F58" s="83"/>
      <c r="G58" s="107">
        <f>AVERAGEA(G45:G56)</f>
        <v>2.5963636363636371</v>
      </c>
      <c r="H58" s="108"/>
      <c r="I58" s="107">
        <f>AVERAGEA(I45:I56)</f>
        <v>2.7033333333333327</v>
      </c>
      <c r="J58" s="109"/>
      <c r="K58" s="107">
        <f>AVERAGEA(K45:K56)</f>
        <v>41.952727272727273</v>
      </c>
      <c r="L58" s="83"/>
      <c r="M58" s="83"/>
      <c r="N58" s="108"/>
      <c r="O58" s="83"/>
      <c r="P58" s="108"/>
      <c r="Q58" s="83"/>
      <c r="R58" s="98"/>
      <c r="S58" s="107">
        <f>AVERAGEA(S45:S56)</f>
        <v>0.624</v>
      </c>
      <c r="T58" s="110"/>
      <c r="U58" s="107">
        <f>AVERAGEA(U45:U56)</f>
        <v>0.65999999999999992</v>
      </c>
      <c r="V58" s="83"/>
      <c r="W58" s="111">
        <f>AVERAGEA(W45:W56)</f>
        <v>20.25</v>
      </c>
      <c r="X58" s="112"/>
      <c r="Y58" s="76"/>
      <c r="Z58" s="76"/>
      <c r="AA58" s="76"/>
      <c r="AB58" s="76"/>
      <c r="AD58" s="93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0"/>
      <c r="AQ58" s="81"/>
      <c r="AR58" s="82"/>
      <c r="AS58" s="82"/>
    </row>
    <row r="59" spans="1:54" s="79" customFormat="1" ht="23.4" thickTop="1" x14ac:dyDescent="0.4">
      <c r="A59" s="104"/>
      <c r="B59" s="83"/>
      <c r="C59" s="106"/>
      <c r="D59" s="83"/>
      <c r="E59" s="83"/>
      <c r="F59" s="83"/>
      <c r="G59" s="108"/>
      <c r="H59" s="108"/>
      <c r="I59" s="112"/>
      <c r="J59" s="109"/>
      <c r="K59" s="83"/>
      <c r="L59" s="83"/>
      <c r="M59" s="113"/>
      <c r="N59" s="108"/>
      <c r="O59" s="109"/>
      <c r="P59" s="108"/>
      <c r="Q59" s="110"/>
      <c r="R59" s="98"/>
      <c r="S59" s="83"/>
      <c r="T59" s="110"/>
      <c r="U59" s="83"/>
      <c r="V59" s="112"/>
      <c r="W59" s="114"/>
      <c r="X59" s="76"/>
      <c r="Y59" s="76"/>
      <c r="Z59" s="76"/>
      <c r="AA59" s="76"/>
      <c r="AB59" s="76"/>
      <c r="AD59" s="93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0"/>
      <c r="AQ59" s="81"/>
      <c r="AR59" s="82"/>
      <c r="AS59" s="82"/>
    </row>
    <row r="60" spans="1:54" s="79" customFormat="1" ht="22.8" x14ac:dyDescent="0.4">
      <c r="A60" s="115" t="s">
        <v>64</v>
      </c>
      <c r="B60" s="83"/>
      <c r="C60" s="106"/>
      <c r="D60" s="83"/>
      <c r="E60" s="83"/>
      <c r="F60" s="83"/>
      <c r="G60" s="108"/>
      <c r="H60" s="108"/>
      <c r="I60" s="109"/>
      <c r="J60" s="109"/>
      <c r="K60" s="83"/>
      <c r="L60" s="83"/>
      <c r="M60" s="113"/>
      <c r="N60" s="108"/>
      <c r="O60" s="109"/>
      <c r="P60" s="108"/>
      <c r="Q60" s="110"/>
      <c r="R60" s="98"/>
      <c r="S60" s="83"/>
      <c r="T60" s="110"/>
      <c r="U60" s="83"/>
      <c r="V60" s="110"/>
      <c r="W60" s="114"/>
      <c r="X60" s="76"/>
      <c r="Y60" s="76"/>
      <c r="Z60" s="76"/>
      <c r="AA60" s="76"/>
      <c r="AB60" s="76"/>
      <c r="AD60" s="84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84"/>
      <c r="AQ60" s="84"/>
      <c r="AR60" s="117"/>
      <c r="AS60" s="84"/>
    </row>
    <row r="61" spans="1:54" s="79" customFormat="1" ht="22.8" x14ac:dyDescent="0.4">
      <c r="A61" s="115" t="s">
        <v>65</v>
      </c>
      <c r="B61" s="83"/>
      <c r="C61" s="106"/>
      <c r="D61" s="83"/>
      <c r="E61" s="83"/>
      <c r="F61" s="83"/>
      <c r="G61" s="108"/>
      <c r="H61" s="108"/>
      <c r="I61" s="109"/>
      <c r="J61" s="109"/>
      <c r="K61" s="83"/>
      <c r="L61" s="83"/>
      <c r="M61" s="113"/>
      <c r="N61" s="108"/>
      <c r="O61" s="109"/>
      <c r="P61" s="108"/>
      <c r="Q61" s="110"/>
      <c r="R61" s="98"/>
      <c r="S61" s="83"/>
      <c r="T61" s="110"/>
      <c r="U61" s="83"/>
      <c r="V61" s="110"/>
      <c r="W61" s="114"/>
      <c r="X61" s="76"/>
      <c r="Y61" s="76"/>
      <c r="Z61" s="76"/>
      <c r="AA61" s="76"/>
      <c r="AB61" s="76"/>
      <c r="AD61" s="84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84"/>
      <c r="AQ61" s="84"/>
      <c r="AR61" s="117"/>
      <c r="AS61" s="84"/>
    </row>
    <row r="62" spans="1:54" s="79" customFormat="1" ht="22.8" x14ac:dyDescent="0.4">
      <c r="A62" s="307"/>
      <c r="B62" s="118"/>
      <c r="C62" s="119"/>
      <c r="D62" s="118"/>
      <c r="E62" s="118"/>
      <c r="F62" s="118"/>
      <c r="G62" s="120"/>
      <c r="H62" s="120"/>
      <c r="I62" s="121"/>
      <c r="J62" s="121"/>
      <c r="K62" s="118"/>
      <c r="L62" s="118"/>
      <c r="M62" s="122"/>
      <c r="N62" s="120"/>
      <c r="O62" s="121"/>
      <c r="P62" s="120"/>
      <c r="Q62" s="123"/>
      <c r="R62" s="124"/>
      <c r="S62" s="118"/>
      <c r="T62" s="123"/>
      <c r="U62" s="118"/>
      <c r="V62" s="123"/>
      <c r="W62" s="125"/>
      <c r="X62" s="76"/>
      <c r="Y62" s="76"/>
      <c r="Z62" s="76"/>
      <c r="AA62" s="76"/>
      <c r="AB62" s="76"/>
      <c r="AD62" s="84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84"/>
      <c r="AQ62" s="84"/>
      <c r="AR62" s="117"/>
      <c r="AS62" s="84"/>
    </row>
    <row r="63" spans="1:54" s="5" customFormat="1" ht="22.8" x14ac:dyDescent="0.4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36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2.8" x14ac:dyDescent="0.4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Q64" s="26"/>
      <c r="R64" s="26"/>
      <c r="S64" s="26"/>
      <c r="T64" s="13"/>
      <c r="V64" s="14"/>
      <c r="W64" s="14"/>
      <c r="X64" s="14"/>
      <c r="Y64" s="14"/>
      <c r="Z64" s="14"/>
      <c r="AA64" s="14"/>
      <c r="AB64" s="14"/>
      <c r="AD64" s="7"/>
      <c r="AE64" s="9"/>
      <c r="AF64" s="236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2.8" x14ac:dyDescent="0.4">
      <c r="C65" s="15"/>
      <c r="E65" s="7"/>
      <c r="G65" s="23"/>
      <c r="I65" s="24"/>
      <c r="J65" s="24"/>
      <c r="K65" s="41"/>
      <c r="M65" s="24"/>
      <c r="O65" s="27"/>
      <c r="P65" s="27"/>
      <c r="Q65" s="27"/>
      <c r="R65" s="27"/>
      <c r="S65" s="27"/>
      <c r="V65" s="19"/>
      <c r="W65" s="19"/>
      <c r="X65" s="19"/>
      <c r="Y65" s="19"/>
      <c r="Z65" s="19"/>
      <c r="AA65" s="19"/>
      <c r="AB65" s="19"/>
      <c r="AD65" s="7"/>
      <c r="AE65" s="9"/>
      <c r="AF65" s="236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2.8" x14ac:dyDescent="0.4">
      <c r="C66" s="15"/>
      <c r="E66" s="7"/>
      <c r="G66" s="23"/>
      <c r="I66" s="24"/>
      <c r="J66" s="24"/>
      <c r="K66" s="41"/>
      <c r="M66" s="24"/>
      <c r="O66" s="38"/>
      <c r="P66" s="38"/>
      <c r="Q66" s="38"/>
      <c r="R66" s="38"/>
      <c r="S66" s="38"/>
      <c r="V66" s="19"/>
      <c r="W66" s="19"/>
      <c r="X66" s="19"/>
      <c r="Y66" s="19"/>
      <c r="Z66" s="19"/>
      <c r="AA66" s="19"/>
      <c r="AB66" s="19"/>
      <c r="AD66" s="7"/>
      <c r="AE66" s="9"/>
      <c r="AF66" s="236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2.8" x14ac:dyDescent="0.4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12"/>
      <c r="AF67" s="236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2.8" x14ac:dyDescent="0.4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12"/>
      <c r="AF68" s="236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2.8" x14ac:dyDescent="0.4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236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2.8" x14ac:dyDescent="0.4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236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2.8" x14ac:dyDescent="0.4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236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2.8" x14ac:dyDescent="0.4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236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2.8" x14ac:dyDescent="0.4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236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2.8" x14ac:dyDescent="0.4">
      <c r="O74" s="43"/>
      <c r="P74" s="44"/>
      <c r="Q74" s="43"/>
      <c r="R74" s="44"/>
      <c r="S74" s="43"/>
      <c r="V74" s="21"/>
      <c r="W74" s="21"/>
      <c r="X74" s="21"/>
      <c r="Y74" s="21"/>
      <c r="Z74" s="21"/>
      <c r="AA74" s="21"/>
      <c r="AB74" s="21"/>
      <c r="AE74" s="45"/>
      <c r="AF74" s="236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3">
      <c r="O75" s="43"/>
      <c r="P75" s="44"/>
      <c r="Q75" s="43"/>
      <c r="R75" s="44"/>
      <c r="S75" s="43"/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3">
      <c r="O76" s="43"/>
      <c r="P76" s="44"/>
      <c r="Q76" s="43"/>
      <c r="R76" s="44"/>
      <c r="S76" s="43"/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3">
      <c r="O77" s="43"/>
      <c r="P77" s="44"/>
      <c r="Q77" s="43"/>
      <c r="R77" s="44"/>
      <c r="S77" s="43"/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3">
      <c r="O78" s="43"/>
      <c r="P78" s="44"/>
      <c r="Q78" s="43"/>
      <c r="R78" s="44"/>
      <c r="S78" s="43"/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3">
      <c r="O79" s="43"/>
      <c r="P79" s="44"/>
      <c r="Q79" s="43"/>
      <c r="R79" s="44"/>
      <c r="S79" s="43"/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3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3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3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3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3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3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3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3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3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3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3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3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2">
    <mergeCell ref="E43:K43"/>
    <mergeCell ref="Q43:W43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2001-06-29T21:26:51Z</cp:lastPrinted>
  <dcterms:created xsi:type="dcterms:W3CDTF">1997-07-25T21:20:20Z</dcterms:created>
  <dcterms:modified xsi:type="dcterms:W3CDTF">2023-09-10T15:44:47Z</dcterms:modified>
</cp:coreProperties>
</file>