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<sst xmlns="http://schemas.openxmlformats.org/spreadsheetml/2006/main" count="278" uniqueCount="132">
  <si>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</si>
  <si>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</si>
  <si>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</si>
  <si>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</si>
  <si>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</si>
  <si>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</si>
  <si>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</si>
  <si>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</si>
  <si>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</si>
  <si>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</si>
  <si>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</si>
  <si>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</si>
  <si>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</si>
  <si>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</si>
  <si>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</si>
  <si>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</si>
  <si>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</si>
  <si>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</si>
  <si>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</si>
  <si>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</si>
  <si>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</si>
  <si>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</si>
  <si>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</si>
  <si>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</si>
  <si>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</si>
  <si>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</si>
  <si>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</si>
  <si>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</si>
  <si>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</si>
  <si>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</si>
  <si>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</si>
  <si>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</si>
  <si>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</si>
  <si>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</si>
  <si>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</si>
  <si>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</si>
  <si>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</si>
  <si>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</si>
  <si>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</si>
  <si>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</si>
  <si>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</si>
  <si>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</si>
  <si>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</si>
  <si>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</si>
  <si>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</si>
  <si>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</si>
  <si>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</si>
  <si>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</si>
  <si>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</si>
  <si>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</si>
  <si>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</si>
  <si>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</si>
  <si>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</si>
  <si>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</si>
  <si>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</si>
  <si>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</si>
  <si>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</si>
  <si>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</si>
  <si>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</si>
  <si>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</si>
  <si>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</si>
  <si>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</si>
  <si>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</si>
  <si>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</si>
  <si>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</si>
  <si>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</si>
  <si>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</si>
  <si>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</si>
  <si>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</si>
  <si>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</si>
  <si>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</si>
  <si>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</si>
  <si>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</si>
  <si>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</si>
  <si>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</si>
  <si>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</si>
  <si>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</si>
  <si>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</si>
  <si>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</si>
  <si>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</si>
  <si>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</si>
  <si>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</si>
  <si>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</si>
  <si>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</si>
  <si>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</si>
  <si>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</si>
  <si>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</si>
  <si>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</si>
  <si>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</si>
  <si>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</si>
  <si>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</si>
  <si>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</si>
  <si>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</si>
  <si>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</si>
  <si>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</si>
  <si>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</si>
  <si>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</si>
  <si>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</si>
  <si>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</si>
  <si>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</si>
  <si>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</si>
  <si>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</si>
  <si>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</si>
  <si>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</si>
  <si>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</si>
  <si>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</si>
  <si>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</si>
  <si>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</si>
  <si>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</si>
  <si>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</si>
  <si>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</si>
  <si>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</si>
  <si>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</si>
  <si>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</si>
  <si>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</si>
  <si>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</si>
  <si>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</si>
  <si>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</si>
  <si>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</si>
  <si>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</si>
  <si>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</si>
  <si>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</si>
  <si>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</si>
  <si>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</si>
  <si>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</si>
  <si>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</si>
  <si>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</si>
  <si>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</si>
  <si>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</si>
  <si>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Aquila Inc.*</t>
  </si>
  <si>
    <t>Sanders Morris</t>
  </si>
  <si>
    <t>Reliant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</si>
</sst>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0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2029.37</val>
          </value>
        </values>
      </ddeItem>
      <ddeItem name=".SPX" advise="1">
        <values>
          <value>
            <val>1210.8499999999999</val>
          </value>
        </values>
      </ddeItem>
      <ddeItem name="AES" advise="1">
        <values>
          <value>
            <val>35.72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8.1</val>
          </value>
        </values>
      </ddeItem>
      <ddeItem name="DUK">
        <values>
          <value>
            <val>40.26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45.61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48.16</val>
          </value>
        </values>
      </ddeItem>
      <ddeItem name="EPG">
        <values>
          <value>
            <val>52.43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7.97</val>
          </value>
        </values>
      </ddeItem>
      <ddeItem name="ILA" advise="1">
        <values>
          <value>
            <val>26.2</val>
          </value>
        </values>
      </ddeItem>
      <ddeItem name="INAP.O" advise="1">
        <values>
          <value>
            <val>2.4</val>
          </value>
        </values>
      </ddeItem>
      <ddeItem name="ISLD.O" advise="1">
        <values>
          <value>
            <val>3.37</val>
          </value>
        </values>
      </ddeItem>
      <ddeItem name="KMI" advise="1">
        <values>
          <value>
            <val>52.71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4.4400000000000004</val>
          </value>
        </values>
      </ddeItem>
      <ddeItem name="MIR" advise="1">
        <values>
          <value>
            <val>33.299999999999997</val>
          </value>
        </values>
      </ddeItem>
      <ddeItem name="NPW" advise="1">
        <values>
          <value>
            <val>8.3800000000000008</val>
          </value>
        </values>
      </ddeItem>
      <ddeItem name="NRG" advise="1">
        <values>
          <value>
            <val>22.9</val>
          </value>
        </values>
      </ddeItem>
      <ddeItem name="Q" advise="1">
        <values>
          <value>
            <val>30</val>
          </value>
        </values>
      </ddeItem>
      <ddeItem name="RRI" advise="1">
        <values>
          <value>
            <val>21.8</val>
          </value>
        </values>
      </ddeItem>
      <ddeItem name="WCG" advise="1">
        <values>
          <value>
            <val>2.2000000000000002</val>
          </value>
        </values>
      </ddeItem>
      <ddeItem name="WMB">
        <values>
          <value>
            <val>32.86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0"/>
    </sheetView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37092</v>
      </c>
    </row>
    <row r="3" spans="1:8" ht="16.2" thickBot="1" x14ac:dyDescent="0.35"/>
    <row r="4" spans="1:8" ht="16.2" thickBot="1" x14ac:dyDescent="0.35">
      <c r="B4" s="357">
        <v>2001</v>
      </c>
      <c r="D4" s="388" t="s">
        <v>72</v>
      </c>
      <c r="E4" s="389"/>
      <c r="F4" s="389"/>
      <c r="G4" s="389"/>
      <c r="H4" s="390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26.46153846153846</v>
      </c>
      <c r="D6" s="365">
        <f>ENRON!AM7</f>
        <v>-1.2710127101271106E-2</v>
      </c>
      <c r="E6" s="366"/>
      <c r="F6" s="367">
        <f>ENRON!AO7</f>
        <v>-1.9144602851323928E-2</v>
      </c>
      <c r="G6" s="366"/>
      <c r="H6" s="368">
        <f>ENRON!AQ7</f>
        <v>-0.41762406015037601</v>
      </c>
    </row>
    <row r="7" spans="1:8" x14ac:dyDescent="0.3">
      <c r="A7" s="352" t="s">
        <v>74</v>
      </c>
      <c r="B7" s="369">
        <f>ENRON!Z9</f>
        <v>23.312475933769733</v>
      </c>
      <c r="D7" s="370">
        <f>ENRON!AM9</f>
        <v>-3.8965846275336273E-3</v>
      </c>
      <c r="E7" s="371"/>
      <c r="F7" s="372">
        <f>ENRON!AO9</f>
        <v>-1.2250986273678698E-2</v>
      </c>
      <c r="G7" s="371"/>
      <c r="H7" s="373">
        <f>ENRON!AQ9</f>
        <v>-7.6388341866876763E-2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-2.6563826572460588E-2</v>
      </c>
      <c r="E8" s="371"/>
      <c r="F8" s="372">
        <f>ENRON!AO10</f>
        <v>-6.4445376640498653E-2</v>
      </c>
      <c r="G8" s="371"/>
      <c r="H8" s="373">
        <f>ENRON!AQ10</f>
        <v>-0.17719791784725492</v>
      </c>
    </row>
    <row r="9" spans="1:8" x14ac:dyDescent="0.3">
      <c r="A9" s="352" t="s">
        <v>92</v>
      </c>
      <c r="B9" s="369">
        <f>ENRON!Z24</f>
        <v>18.18521716031589</v>
      </c>
      <c r="C9" s="374"/>
      <c r="D9" s="370">
        <f>ENRON!AM24</f>
        <v>-5.216790452184189E-2</v>
      </c>
      <c r="E9" s="371"/>
      <c r="F9" s="372">
        <f>ENRON!AO24</f>
        <v>-1.3509092952788982E-2</v>
      </c>
      <c r="G9" s="375"/>
      <c r="H9" s="373">
        <f>ENRON!AQ24</f>
        <v>-0.1251855167334332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-3.0488744959747661E-2</v>
      </c>
      <c r="E10" s="379"/>
      <c r="F10" s="380">
        <f>ENRON!AO44</f>
        <v>-0.12749472201670273</v>
      </c>
      <c r="G10" s="381"/>
      <c r="H10" s="382">
        <f>ENRON!AQ44</f>
        <v>-0.54878687788182978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37092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1">
        <v>2001</v>
      </c>
      <c r="Y4" s="392"/>
      <c r="Z4" s="393"/>
      <c r="AA4" s="28"/>
      <c r="AB4" s="29" t="s">
        <v>125</v>
      </c>
      <c r="AC4" s="27" t="s">
        <v>113</v>
      </c>
      <c r="AD4" s="28"/>
      <c r="AE4" s="391">
        <v>2002</v>
      </c>
      <c r="AF4" s="392"/>
      <c r="AG4" s="393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37085</v>
      </c>
      <c r="AZ5" s="55"/>
      <c r="BA5" s="57">
        <v>37071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48.16</v>
      </c>
      <c r="F7" s="79"/>
      <c r="G7" s="82">
        <v>2.16</v>
      </c>
      <c r="H7" s="83" t="s">
        <v>50</v>
      </c>
      <c r="I7" s="84">
        <f>E7/G7</f>
        <v>22.296296296296294</v>
      </c>
      <c r="J7" s="79"/>
      <c r="K7" s="82">
        <v>2.14</v>
      </c>
      <c r="L7" s="85" t="s">
        <v>51</v>
      </c>
      <c r="M7" s="84">
        <f>E7/K7</f>
        <v>22.504672897196258</v>
      </c>
      <c r="N7" s="79"/>
      <c r="O7" s="82">
        <v>2.16</v>
      </c>
      <c r="P7" s="83" t="s">
        <v>50</v>
      </c>
      <c r="Q7" s="84">
        <f>M7/O7</f>
        <v>10.418830044998266</v>
      </c>
      <c r="R7" s="79"/>
      <c r="S7" s="86">
        <f>+S88</f>
        <v>1.9988888888888892</v>
      </c>
      <c r="T7" s="84">
        <f>E7/S7</f>
        <v>24.093385214007778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26.46153846153846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22.296296296296294</v>
      </c>
      <c r="AH7" s="95"/>
      <c r="AJ7" s="96"/>
      <c r="AK7" s="97">
        <f>(X7-S7)/S7</f>
        <v>-8.9494163424124612E-2</v>
      </c>
      <c r="AL7" s="89"/>
      <c r="AM7" s="98">
        <f>((+AX7+E7-AY7)/AY7)</f>
        <v>-1.2710127101271106E-2</v>
      </c>
      <c r="AN7" s="89"/>
      <c r="AO7" s="89">
        <f>((+AZ7+E7-BA7)/BA7)</f>
        <v>-1.9144602851323928E-2</v>
      </c>
      <c r="AP7" s="89"/>
      <c r="AQ7" s="97">
        <f>((+BB7+E7-BC7)/BC7)</f>
        <v>-0.41762406015037601</v>
      </c>
      <c r="AR7" s="99"/>
      <c r="AS7" s="1">
        <f>AU7/E7</f>
        <v>1.0382059800664452E-2</v>
      </c>
      <c r="AT7" s="100"/>
      <c r="AU7" s="3">
        <v>0.5</v>
      </c>
      <c r="AV7" s="101">
        <v>37133</v>
      </c>
      <c r="AW7" s="102">
        <v>0.125</v>
      </c>
      <c r="AX7" s="103"/>
      <c r="AY7" s="104">
        <v>48.78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1210.8499999999999</v>
      </c>
      <c r="F9" s="127"/>
      <c r="G9" s="128">
        <v>40.53</v>
      </c>
      <c r="H9" s="109"/>
      <c r="I9" s="96">
        <f>E9/G9</f>
        <v>29.875400937577101</v>
      </c>
      <c r="J9" s="26"/>
      <c r="K9" s="128">
        <v>42.08</v>
      </c>
      <c r="L9" s="26"/>
      <c r="M9" s="96">
        <f>E9/K9</f>
        <v>28.774952471482887</v>
      </c>
      <c r="N9" s="127"/>
      <c r="O9" s="128">
        <v>40.53</v>
      </c>
      <c r="P9" s="109"/>
      <c r="Q9" s="96">
        <f>M9/O9</f>
        <v>0.70996675231884743</v>
      </c>
      <c r="R9" s="26"/>
      <c r="S9" s="129">
        <v>40.18</v>
      </c>
      <c r="T9" s="96">
        <f>E9/S9</f>
        <v>30.135639621702339</v>
      </c>
      <c r="U9" s="95"/>
      <c r="V9" s="130">
        <f>(S9-K9)/K9</f>
        <v>-4.5152091254752821E-2</v>
      </c>
      <c r="W9" s="131"/>
      <c r="X9" s="129">
        <v>51.94</v>
      </c>
      <c r="Y9" s="132"/>
      <c r="Z9" s="96">
        <f>E9/X9</f>
        <v>23.312475933769733</v>
      </c>
      <c r="AA9" s="95"/>
      <c r="AB9" s="133">
        <f>+(+X9-AS71)/AS71</f>
        <v>-8.5885251671946536E-2</v>
      </c>
      <c r="AC9" s="134"/>
      <c r="AD9" s="95"/>
      <c r="AE9" s="129">
        <v>58.95</v>
      </c>
      <c r="AF9" s="132"/>
      <c r="AG9" s="96">
        <f>E9/AE9</f>
        <v>20.540288379983036</v>
      </c>
      <c r="AH9" s="95"/>
      <c r="AJ9" s="95"/>
      <c r="AK9" s="130">
        <f>(X9-S9)/S9</f>
        <v>0.29268292682926822</v>
      </c>
      <c r="AL9" s="131"/>
      <c r="AM9" s="100">
        <f>((+AX9+E9-AY9)/AY9)</f>
        <v>-3.8965846275336273E-3</v>
      </c>
      <c r="AN9" s="131"/>
      <c r="AO9" s="131">
        <f>((+AZ9+E9-BA9)/BA9)</f>
        <v>-1.2250986273678698E-2</v>
      </c>
      <c r="AP9" s="131"/>
      <c r="AQ9" s="135">
        <f>((+BB9+E9-BC9)/BC9)</f>
        <v>-7.6388341866876763E-2</v>
      </c>
      <c r="AS9" s="2">
        <v>1.29E-2</v>
      </c>
      <c r="AT9" s="100"/>
      <c r="AU9" s="136">
        <f>AS9*E9</f>
        <v>15.619964999999999</v>
      </c>
      <c r="AV9" s="137"/>
      <c r="AW9" s="102"/>
      <c r="AX9" s="138">
        <v>9.2999999999999999E-2</v>
      </c>
      <c r="AY9" s="139">
        <v>1215.68</v>
      </c>
      <c r="AZ9" s="138">
        <f>0.867+0.093</f>
        <v>0.96</v>
      </c>
      <c r="BA9" s="139">
        <v>1226.8399999999999</v>
      </c>
      <c r="BB9" s="138">
        <f>8.483+0.093</f>
        <v>8.5760000000000005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2029.37</v>
      </c>
      <c r="F10" s="127"/>
      <c r="G10" s="128">
        <v>40.53</v>
      </c>
      <c r="H10" s="109"/>
      <c r="I10" s="96">
        <f>E10/G10</f>
        <v>50.070811744386873</v>
      </c>
      <c r="J10" s="26"/>
      <c r="K10" s="128">
        <v>42.08</v>
      </c>
      <c r="L10" s="26"/>
      <c r="M10" s="96">
        <f>E10/K10</f>
        <v>48.22647338403042</v>
      </c>
      <c r="N10" s="127"/>
      <c r="O10" s="128">
        <v>40.53</v>
      </c>
      <c r="P10" s="109"/>
      <c r="Q10" s="96">
        <f>M10/O10</f>
        <v>1.1898957163590036</v>
      </c>
      <c r="R10" s="26"/>
      <c r="S10" s="129">
        <v>40.18</v>
      </c>
      <c r="T10" s="96">
        <f>E10/S10</f>
        <v>50.50696864111498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-2.6563826572460588E-2</v>
      </c>
      <c r="AN10" s="131"/>
      <c r="AO10" s="131">
        <f>((+AZ10+E10-BA10)/BA10)</f>
        <v>-6.4445376640498653E-2</v>
      </c>
      <c r="AP10" s="131"/>
      <c r="AQ10" s="135">
        <f>((+BB10+E10-BC10)/BC10)</f>
        <v>-0.17719791784725492</v>
      </c>
      <c r="AS10" s="2">
        <v>2.8E-3</v>
      </c>
      <c r="AT10" s="100"/>
      <c r="AU10" s="136">
        <f>AS10*E10</f>
        <v>5.6822359999999996</v>
      </c>
      <c r="AV10" s="137"/>
      <c r="AW10" s="102"/>
      <c r="AX10" s="138">
        <v>0.04</v>
      </c>
      <c r="AY10" s="139">
        <v>2084.79</v>
      </c>
      <c r="AZ10" s="138">
        <v>0.13800000000000001</v>
      </c>
      <c r="BA10" s="139">
        <v>2169.31</v>
      </c>
      <c r="BB10" s="138">
        <v>3.379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129</v>
      </c>
      <c r="B13" s="18"/>
      <c r="C13" s="41" t="s">
        <v>127</v>
      </c>
      <c r="D13" s="18"/>
      <c r="E13" s="145">
        <f>[1]!ILA</f>
        <v>26.2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22.782608695652176</v>
      </c>
      <c r="U13" s="95"/>
      <c r="V13" s="130"/>
      <c r="W13" s="131"/>
      <c r="X13" s="141">
        <v>1.87</v>
      </c>
      <c r="Y13" s="154"/>
      <c r="Z13" s="96">
        <f t="shared" ref="Z13:Z22" si="1">E13/X13</f>
        <v>14.010695187165775</v>
      </c>
      <c r="AA13" s="143"/>
      <c r="AB13" s="155" t="s">
        <v>76</v>
      </c>
      <c r="AC13" s="156" t="s">
        <v>76</v>
      </c>
      <c r="AD13" s="144"/>
      <c r="AE13" s="141">
        <v>1.94</v>
      </c>
      <c r="AF13" s="154"/>
      <c r="AG13" s="96">
        <f t="shared" ref="AG13:AG22" si="2">E13/AE13</f>
        <v>13.505154639175258</v>
      </c>
      <c r="AH13" s="95"/>
      <c r="AJ13" s="95"/>
      <c r="AK13" s="130">
        <f>(X13-S13)/S13</f>
        <v>0.6260869565217394</v>
      </c>
      <c r="AL13" s="131"/>
      <c r="AM13" s="100">
        <f>((+AX13+E13-AY13)/AY13)</f>
        <v>-1.1320754716981159E-2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26.5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35.72</v>
      </c>
      <c r="F14" s="18"/>
      <c r="G14" s="128">
        <v>4.72</v>
      </c>
      <c r="H14" s="153" t="s">
        <v>50</v>
      </c>
      <c r="I14" s="96">
        <f>E14/G14</f>
        <v>7.5677966101694913</v>
      </c>
      <c r="J14" s="18"/>
      <c r="K14" s="128">
        <v>4.9400000000000004</v>
      </c>
      <c r="L14" s="26"/>
      <c r="M14" s="96">
        <f>E14/K14</f>
        <v>7.2307692307692299</v>
      </c>
      <c r="N14" s="18"/>
      <c r="O14" s="128">
        <v>4.72</v>
      </c>
      <c r="P14" s="153" t="s">
        <v>50</v>
      </c>
      <c r="Q14" s="96">
        <f>M14/O14</f>
        <v>1.5319426336375488</v>
      </c>
      <c r="R14" s="18"/>
      <c r="S14" s="129">
        <v>3.43</v>
      </c>
      <c r="T14" s="96">
        <f t="shared" si="0"/>
        <v>10.41399416909621</v>
      </c>
      <c r="U14" s="95"/>
      <c r="V14" s="130">
        <f>(S14-K14)/K14</f>
        <v>-0.30566801619433198</v>
      </c>
      <c r="W14" s="131"/>
      <c r="X14" s="129">
        <v>1.83</v>
      </c>
      <c r="Y14" s="132"/>
      <c r="Z14" s="96">
        <f t="shared" si="1"/>
        <v>19.519125683060107</v>
      </c>
      <c r="AA14" s="95"/>
      <c r="AB14" s="133">
        <f>+(+X14-AS75)/AS75</f>
        <v>0.25342465753424664</v>
      </c>
      <c r="AC14" s="134">
        <v>0.17399999999999999</v>
      </c>
      <c r="AD14" s="95"/>
      <c r="AE14" s="129">
        <v>2.42</v>
      </c>
      <c r="AF14" s="132"/>
      <c r="AG14" s="96">
        <f t="shared" si="2"/>
        <v>14.760330578512397</v>
      </c>
      <c r="AH14" s="95"/>
      <c r="AJ14" s="95"/>
      <c r="AK14" s="130">
        <f t="shared" ref="AK14:AK22" si="3">(X14-S14)/S14</f>
        <v>-0.46647230320699706</v>
      </c>
      <c r="AL14" s="131"/>
      <c r="AM14" s="100">
        <f t="shared" ref="AM14:AM22" si="4">((+AX14+E14-AY14)/AY14)</f>
        <v>-7.027589796980746E-2</v>
      </c>
      <c r="AN14" s="131"/>
      <c r="AO14" s="131">
        <f t="shared" ref="AO14:AO22" si="5">((+AZ14+E14-BA14)/BA14)</f>
        <v>-0.17026713124274098</v>
      </c>
      <c r="AP14" s="131"/>
      <c r="AQ14" s="135">
        <f t="shared" ref="AQ14:AQ22" si="6">((+BB14+E14-BC14)/BC14)</f>
        <v>-0.35494356659142212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37136</v>
      </c>
      <c r="AW14" s="386"/>
      <c r="AX14" s="151"/>
      <c r="AY14" s="140">
        <v>38.42</v>
      </c>
      <c r="AZ14" s="151"/>
      <c r="BA14" s="140">
        <v>43.05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40.26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13.647457627118643</v>
      </c>
      <c r="N15" s="18"/>
      <c r="O15" s="128"/>
      <c r="P15" s="153"/>
      <c r="Q15" s="96"/>
      <c r="R15" s="18"/>
      <c r="S15" s="129">
        <v>3.38</v>
      </c>
      <c r="T15" s="96">
        <f t="shared" si="0"/>
        <v>11.911242603550296</v>
      </c>
      <c r="U15" s="95"/>
      <c r="V15" s="130">
        <f>(S15-K15)/K15</f>
        <v>0.14576271186440667</v>
      </c>
      <c r="W15" s="131"/>
      <c r="X15" s="129">
        <v>2.4900000000000002</v>
      </c>
      <c r="Y15" s="132"/>
      <c r="Z15" s="96">
        <f t="shared" si="1"/>
        <v>16.168674698795179</v>
      </c>
      <c r="AA15" s="95"/>
      <c r="AB15" s="133">
        <f>+(+X15-AS77)/AS77</f>
        <v>0.18571428571428578</v>
      </c>
      <c r="AC15" s="134">
        <v>0.18140000000000001</v>
      </c>
      <c r="AD15" s="95"/>
      <c r="AE15" s="129">
        <v>2.79</v>
      </c>
      <c r="AF15" s="132"/>
      <c r="AG15" s="96">
        <f t="shared" si="2"/>
        <v>14.43010752688172</v>
      </c>
      <c r="AH15" s="95"/>
      <c r="AJ15" s="95"/>
      <c r="AK15" s="130">
        <f t="shared" si="3"/>
        <v>-0.26331360946745552</v>
      </c>
      <c r="AL15" s="131"/>
      <c r="AM15" s="100">
        <f t="shared" si="4"/>
        <v>-2.6595744680851099E-2</v>
      </c>
      <c r="AN15" s="131"/>
      <c r="AO15" s="131">
        <f t="shared" si="5"/>
        <v>3.2043065880543453E-2</v>
      </c>
      <c r="AP15" s="131"/>
      <c r="AQ15" s="135">
        <f t="shared" si="6"/>
        <v>-4.246832473017368E-2</v>
      </c>
      <c r="AS15" s="158">
        <f t="shared" si="7"/>
        <v>2.7322404371584702E-2</v>
      </c>
      <c r="AT15" s="159"/>
      <c r="AU15" s="3">
        <f>[1]!'DUK,DIVIDEND'</f>
        <v>1.1000000000000001</v>
      </c>
      <c r="AV15" s="163">
        <v>37118</v>
      </c>
      <c r="AW15" s="102">
        <v>0.27500000000000002</v>
      </c>
      <c r="AX15" s="151"/>
      <c r="AY15" s="140">
        <v>41.36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45.61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65.157142857142858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78.637931034482762</v>
      </c>
      <c r="U16" s="95"/>
      <c r="V16" s="130">
        <f>(S16-K16)/K16</f>
        <v>-0.17142857142857143</v>
      </c>
      <c r="W16" s="131"/>
      <c r="X16" s="129">
        <v>2.02</v>
      </c>
      <c r="Y16" s="132"/>
      <c r="Z16" s="96">
        <f t="shared" si="1"/>
        <v>22.579207920792079</v>
      </c>
      <c r="AA16" s="95"/>
      <c r="AB16" s="133">
        <f>+(+X16-AS78)/AS78</f>
        <v>0.41258741258741266</v>
      </c>
      <c r="AC16" s="134">
        <v>0.20399999999999999</v>
      </c>
      <c r="AD16" s="95"/>
      <c r="AE16" s="129">
        <v>2.5299999999999998</v>
      </c>
      <c r="AF16" s="164"/>
      <c r="AG16" s="96">
        <f t="shared" si="2"/>
        <v>18.027667984189723</v>
      </c>
      <c r="AH16" s="95"/>
      <c r="AJ16" s="95"/>
      <c r="AK16" s="130">
        <f t="shared" si="3"/>
        <v>2.4827586206896552</v>
      </c>
      <c r="AL16" s="131"/>
      <c r="AM16" s="100">
        <f t="shared" si="4"/>
        <v>-5.4519071310116136E-2</v>
      </c>
      <c r="AN16" s="131"/>
      <c r="AO16" s="131">
        <f t="shared" si="5"/>
        <v>-1.9139784946236572E-2</v>
      </c>
      <c r="AP16" s="131"/>
      <c r="AQ16" s="135">
        <f t="shared" si="6"/>
        <v>-0.18376811594202902</v>
      </c>
      <c r="AS16" s="158">
        <f t="shared" si="7"/>
        <v>6.5775049331286998E-3</v>
      </c>
      <c r="AT16" s="159"/>
      <c r="AU16" s="3">
        <f>[1]!'DYN,DIVIDEND'</f>
        <v>0.3</v>
      </c>
      <c r="AV16" s="160">
        <v>37132</v>
      </c>
      <c r="AW16" s="102">
        <v>7.4999999999999997E-2</v>
      </c>
      <c r="AX16" s="151"/>
      <c r="AY16" s="140">
        <v>48.24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52.43</v>
      </c>
      <c r="F17" s="18"/>
      <c r="G17" s="128">
        <v>2.85</v>
      </c>
      <c r="H17" s="153" t="s">
        <v>50</v>
      </c>
      <c r="I17" s="96">
        <f>E17/G17</f>
        <v>18.396491228070175</v>
      </c>
      <c r="J17" s="18"/>
      <c r="K17" s="128">
        <v>3.18</v>
      </c>
      <c r="L17" s="26"/>
      <c r="M17" s="96">
        <f>E17/K17</f>
        <v>16.487421383647799</v>
      </c>
      <c r="N17" s="18"/>
      <c r="O17" s="128">
        <v>2.85</v>
      </c>
      <c r="P17" s="153" t="s">
        <v>50</v>
      </c>
      <c r="Q17" s="96">
        <f>M17/O17</f>
        <v>5.7850601346132624</v>
      </c>
      <c r="R17" s="18"/>
      <c r="S17" s="129">
        <v>1.83</v>
      </c>
      <c r="T17" s="96">
        <f t="shared" si="0"/>
        <v>28.650273224043715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15.744744744744745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3.88</v>
      </c>
      <c r="AF17" s="132"/>
      <c r="AG17" s="96">
        <f t="shared" si="2"/>
        <v>13.512886597938145</v>
      </c>
      <c r="AH17" s="95"/>
      <c r="AJ17" s="95"/>
      <c r="AK17" s="130">
        <f t="shared" si="3"/>
        <v>0.81967213114754101</v>
      </c>
      <c r="AL17" s="131"/>
      <c r="AM17" s="100">
        <f t="shared" si="4"/>
        <v>4.5985821038513506E-3</v>
      </c>
      <c r="AN17" s="131"/>
      <c r="AO17" s="131">
        <f t="shared" si="5"/>
        <v>-2.0936429387133503E-3</v>
      </c>
      <c r="AP17" s="131"/>
      <c r="AQ17" s="135">
        <f t="shared" si="6"/>
        <v>-0.26205933682373478</v>
      </c>
      <c r="AS17" s="158">
        <f t="shared" si="7"/>
        <v>1.6212092313560938E-2</v>
      </c>
      <c r="AT17" s="159"/>
      <c r="AU17" s="3">
        <f>[1]!'EPG,DIVIDEND'</f>
        <v>0.85</v>
      </c>
      <c r="AV17" s="160">
        <v>37133</v>
      </c>
      <c r="AW17" s="102">
        <v>0.21249999999999999</v>
      </c>
      <c r="AX17" s="151"/>
      <c r="AY17" s="140">
        <v>52.19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52.71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21.691358024691358</v>
      </c>
      <c r="N18" s="18"/>
      <c r="O18" s="128"/>
      <c r="P18" s="153"/>
      <c r="Q18" s="96"/>
      <c r="R18" s="18"/>
      <c r="S18" s="129">
        <v>1.17</v>
      </c>
      <c r="T18" s="96">
        <f t="shared" si="0"/>
        <v>45.051282051282058</v>
      </c>
      <c r="U18" s="95"/>
      <c r="V18" s="130"/>
      <c r="W18" s="131"/>
      <c r="X18" s="129">
        <v>1.87</v>
      </c>
      <c r="Y18" s="132"/>
      <c r="Z18" s="96">
        <f t="shared" si="1"/>
        <v>28.18716577540107</v>
      </c>
      <c r="AA18" s="95"/>
      <c r="AB18" s="133">
        <f>+(+X18-AS80)/AS80</f>
        <v>0.46093750000000006</v>
      </c>
      <c r="AC18" s="134">
        <v>0.1061</v>
      </c>
      <c r="AD18" s="95"/>
      <c r="AE18" s="129">
        <v>2.4300000000000002</v>
      </c>
      <c r="AF18" s="132"/>
      <c r="AG18" s="96">
        <f t="shared" si="2"/>
        <v>21.691358024691358</v>
      </c>
      <c r="AH18" s="95"/>
      <c r="AJ18" s="95"/>
      <c r="AK18" s="130">
        <f t="shared" si="3"/>
        <v>0.5982905982905985</v>
      </c>
      <c r="AL18" s="131"/>
      <c r="AM18" s="100">
        <f t="shared" si="4"/>
        <v>-1.788708775852433E-2</v>
      </c>
      <c r="AN18" s="131"/>
      <c r="AO18" s="131">
        <f t="shared" si="5"/>
        <v>4.8955223880597032E-2</v>
      </c>
      <c r="AP18" s="131"/>
      <c r="AQ18" s="135">
        <f t="shared" si="6"/>
        <v>1.1928143712574894E-2</v>
      </c>
      <c r="AS18" s="158">
        <f t="shared" si="7"/>
        <v>3.7943464238284958E-3</v>
      </c>
      <c r="AT18" s="159"/>
      <c r="AU18" s="3">
        <f>[1]!'KMI,DIVIDEND'</f>
        <v>0.2</v>
      </c>
      <c r="AV18" s="160">
        <v>37098</v>
      </c>
      <c r="AW18" s="102">
        <v>0.05</v>
      </c>
      <c r="AX18" s="151"/>
      <c r="AY18" s="140">
        <v>53.67</v>
      </c>
      <c r="AZ18" s="151"/>
      <c r="BA18" s="140">
        <v>50.25</v>
      </c>
      <c r="BB18" s="387">
        <f>0.05*2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33.299999999999997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17.253886010362692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14.050632911392404</v>
      </c>
      <c r="AH19" s="95"/>
      <c r="AJ19" s="95"/>
      <c r="AK19" s="130" t="e">
        <f>(X19-S19)/S19</f>
        <v>#DIV/0!</v>
      </c>
      <c r="AL19" s="131"/>
      <c r="AM19" s="100">
        <f>((+AX19+E19-AY19)/AY19)</f>
        <v>-8.0110497237569217E-2</v>
      </c>
      <c r="AN19" s="131"/>
      <c r="AO19" s="131">
        <f>((+AZ19+E19-BA19)/BA19)</f>
        <v>-3.1976744186046555E-2</v>
      </c>
      <c r="AP19" s="131"/>
      <c r="AQ19" s="135">
        <f>((+BB19+E19-BC19)/BC19)</f>
        <v>0.17615894039735089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36.200000000000003</v>
      </c>
      <c r="AZ19" s="151"/>
      <c r="BA19" s="140">
        <v>34.4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22.9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16.838235294117645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13.630952380952381</v>
      </c>
      <c r="AH20" s="95"/>
      <c r="AJ20" s="95"/>
      <c r="AK20" s="130" t="e">
        <f>(X20-S20)/S20</f>
        <v>#DIV/0!</v>
      </c>
      <c r="AL20" s="131"/>
      <c r="AM20" s="100">
        <f t="shared" si="4"/>
        <v>-7.2123176661264235E-2</v>
      </c>
      <c r="AN20" s="131"/>
      <c r="AO20" s="131">
        <f t="shared" si="5"/>
        <v>3.7137681159420309E-2</v>
      </c>
      <c r="AP20" s="131"/>
      <c r="AQ20" s="135">
        <f t="shared" si="6"/>
        <v>-0.17662921348314611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24.68</v>
      </c>
      <c r="AZ20" s="151"/>
      <c r="BA20" s="140">
        <v>22.08</v>
      </c>
      <c r="BB20" s="151"/>
      <c r="BC20" s="140">
        <v>27.8125</v>
      </c>
    </row>
    <row r="21" spans="1:55" x14ac:dyDescent="0.25">
      <c r="A21" s="17" t="s">
        <v>131</v>
      </c>
      <c r="B21" s="18"/>
      <c r="C21" s="41" t="s">
        <v>128</v>
      </c>
      <c r="D21" s="18"/>
      <c r="E21" s="145">
        <f>[1]!RRI</f>
        <v>21.8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18.956521739130437</v>
      </c>
      <c r="U21" s="95"/>
      <c r="V21" s="130"/>
      <c r="W21" s="131"/>
      <c r="X21" s="141">
        <v>1.65</v>
      </c>
      <c r="Y21" s="154"/>
      <c r="Z21" s="96">
        <f t="shared" si="1"/>
        <v>13.212121212121213</v>
      </c>
      <c r="AA21" s="143"/>
      <c r="AB21" s="155" t="s">
        <v>76</v>
      </c>
      <c r="AC21" s="156" t="s">
        <v>76</v>
      </c>
      <c r="AD21" s="144"/>
      <c r="AE21" s="141">
        <v>2.1</v>
      </c>
      <c r="AF21" s="154"/>
      <c r="AG21" s="96">
        <f t="shared" si="2"/>
        <v>10.380952380952381</v>
      </c>
      <c r="AH21" s="95"/>
      <c r="AJ21" s="95"/>
      <c r="AK21" s="130">
        <f>(X21-S21)/S21</f>
        <v>0.43478260869565222</v>
      </c>
      <c r="AL21" s="131"/>
      <c r="AM21" s="100">
        <f t="shared" si="4"/>
        <v>-0.15503875968992248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25.8</v>
      </c>
      <c r="AZ21" s="151"/>
      <c r="BA21" s="161">
        <v>24.7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32.86</v>
      </c>
      <c r="F22" s="18"/>
      <c r="G22" s="128">
        <v>2.08</v>
      </c>
      <c r="H22" s="153" t="s">
        <v>50</v>
      </c>
      <c r="I22" s="96">
        <f>E22/G22</f>
        <v>15.798076923076922</v>
      </c>
      <c r="J22" s="18"/>
      <c r="K22" s="128">
        <v>1.04</v>
      </c>
      <c r="L22" s="26"/>
      <c r="M22" s="96">
        <f>E22/K22</f>
        <v>31.596153846153843</v>
      </c>
      <c r="N22" s="18"/>
      <c r="O22" s="128">
        <v>2.08</v>
      </c>
      <c r="P22" s="153" t="s">
        <v>50</v>
      </c>
      <c r="Q22" s="96">
        <f>M22/O22</f>
        <v>15.190458579881655</v>
      </c>
      <c r="R22" s="18"/>
      <c r="S22" s="129">
        <v>0.82</v>
      </c>
      <c r="T22" s="96">
        <f>E22/S22</f>
        <v>40.073170731707322</v>
      </c>
      <c r="U22" s="95"/>
      <c r="V22" s="130">
        <f>(S22-K22)/K22</f>
        <v>-0.21153846153846162</v>
      </c>
      <c r="W22" s="131"/>
      <c r="X22" s="129">
        <v>2.3199999999999998</v>
      </c>
      <c r="Y22" s="132"/>
      <c r="Z22" s="96">
        <f t="shared" si="1"/>
        <v>14.163793103448276</v>
      </c>
      <c r="AA22" s="95"/>
      <c r="AB22" s="133">
        <f>+(+X22-AS85)/AS85</f>
        <v>0.34883720930232553</v>
      </c>
      <c r="AC22" s="134">
        <v>0.14749999999999999</v>
      </c>
      <c r="AD22" s="95"/>
      <c r="AE22" s="129">
        <v>2.61</v>
      </c>
      <c r="AF22" s="132"/>
      <c r="AG22" s="96">
        <f t="shared" si="2"/>
        <v>12.590038314176246</v>
      </c>
      <c r="AH22" s="95"/>
      <c r="AJ22" s="95"/>
      <c r="AK22" s="130">
        <f t="shared" si="3"/>
        <v>1.8292682926829269</v>
      </c>
      <c r="AL22" s="131"/>
      <c r="AM22" s="100">
        <f t="shared" si="4"/>
        <v>2.4405125076265495E-3</v>
      </c>
      <c r="AN22" s="131"/>
      <c r="AO22" s="131">
        <f t="shared" si="5"/>
        <v>-2.7314112291351566E-3</v>
      </c>
      <c r="AP22" s="131"/>
      <c r="AQ22" s="135">
        <f t="shared" si="6"/>
        <v>-0.16970266040688584</v>
      </c>
      <c r="AS22" s="158">
        <f t="shared" si="7"/>
        <v>1.8259281801582469E-2</v>
      </c>
      <c r="AT22" s="159"/>
      <c r="AU22" s="3">
        <f>[1]!'WMB,DIVIDEND'</f>
        <v>0.6</v>
      </c>
      <c r="AV22" s="160">
        <v>37140</v>
      </c>
      <c r="AW22" s="102">
        <v>0.15</v>
      </c>
      <c r="AX22" s="151"/>
      <c r="AY22" s="140">
        <v>32.78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13.920788253772196</v>
      </c>
      <c r="J24" s="26"/>
      <c r="K24" s="177"/>
      <c r="L24" s="178"/>
      <c r="M24" s="179">
        <f>AVERAGE(M14:M22)</f>
        <v>25.968383828253952</v>
      </c>
      <c r="N24" s="18"/>
      <c r="O24" s="177"/>
      <c r="P24" s="178"/>
      <c r="Q24" s="179">
        <f>AVERAGE(Q14:Q22)</f>
        <v>7.5024871160441551</v>
      </c>
      <c r="R24" s="26"/>
      <c r="S24" s="177"/>
      <c r="T24" s="179">
        <f>AVERAGE(T14:T22)</f>
        <v>33.384916507613255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18.18521716031589</v>
      </c>
      <c r="AA24" s="95"/>
      <c r="AB24" s="183"/>
      <c r="AC24" s="179"/>
      <c r="AD24" s="95"/>
      <c r="AE24" s="184"/>
      <c r="AF24" s="185"/>
      <c r="AG24" s="179">
        <f>AVERAGE(AG14:AG22)</f>
        <v>14.786102966631862</v>
      </c>
      <c r="AH24" s="95"/>
      <c r="AJ24" s="95"/>
      <c r="AK24" s="180" t="e">
        <f>AVERAGE(AK14:AK22)</f>
        <v>#DIV/0!</v>
      </c>
      <c r="AL24" s="131"/>
      <c r="AM24" s="186">
        <f>AVERAGE(AM14:AM22)</f>
        <v>-5.216790452184189E-2</v>
      </c>
      <c r="AN24" s="187"/>
      <c r="AO24" s="188">
        <f>AVERAGE(AO14:AO22)</f>
        <v>-1.3509092952788982E-2</v>
      </c>
      <c r="AP24" s="187"/>
      <c r="AQ24" s="189">
        <f>AVERAGE(AQ14:AQ22)</f>
        <v>-0.1251855167334332</v>
      </c>
      <c r="AS24" s="180">
        <f>AVERAGE(AS14:AS22)</f>
        <v>8.0184033159650323E-3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1.818888888888889</v>
      </c>
      <c r="Y29" s="18"/>
      <c r="Z29" s="18"/>
      <c r="AA29" s="18"/>
      <c r="AB29" s="18"/>
      <c r="AC29" s="18"/>
      <c r="AD29" s="18"/>
      <c r="AE29" s="213">
        <f>AVERAGE(AE68:AE85)</f>
        <v>2.1605882352941177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7">
        <v>2000</v>
      </c>
      <c r="Y33" s="398"/>
      <c r="Z33" s="399"/>
      <c r="AA33" s="202"/>
      <c r="AB33" s="202"/>
      <c r="AC33" s="202"/>
      <c r="AD33" s="202"/>
      <c r="AE33" s="397">
        <v>2001</v>
      </c>
      <c r="AF33" s="398"/>
      <c r="AG33" s="399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37085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8.1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9.8408685968819594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4.665839493136219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-4.1420118343195228E-2</v>
      </c>
      <c r="AN36" s="241"/>
      <c r="AO36" s="131">
        <f t="shared" ref="AO36:AO42" si="9">((+AZ36+E36-BA36)/BA36)</f>
        <v>-9.1928251121076263E-2</v>
      </c>
      <c r="AP36" s="112"/>
      <c r="AQ36" s="135">
        <f t="shared" ref="AQ36:AQ42" si="10">((+BB36+E36-BC36)/BC36)</f>
        <v>-0.61543026706231452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8.4499999999999993</v>
      </c>
      <c r="BA36" s="140">
        <v>8.92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3.37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4.6872081218274113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1.56152198421646</v>
      </c>
      <c r="AH37" s="239"/>
      <c r="AI37" s="240">
        <v>82.2</v>
      </c>
      <c r="AJ37" s="18"/>
      <c r="AK37" s="167"/>
      <c r="AL37" s="112"/>
      <c r="AM37" s="100">
        <f t="shared" si="8"/>
        <v>-8.8235294117646485E-3</v>
      </c>
      <c r="AN37" s="241"/>
      <c r="AO37" s="131">
        <f t="shared" si="9"/>
        <v>-1.4619883040935621E-2</v>
      </c>
      <c r="AP37" s="112"/>
      <c r="AQ37" s="135">
        <f t="shared" si="10"/>
        <v>-0.17046153846153844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3.4</v>
      </c>
      <c r="BA37" s="140">
        <v>3.42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2.4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5.1758620689655173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1.7641527913809989</v>
      </c>
      <c r="AH38" s="239"/>
      <c r="AI38" s="240">
        <v>150.1</v>
      </c>
      <c r="AJ38" s="18"/>
      <c r="AK38" s="167"/>
      <c r="AL38" s="112"/>
      <c r="AM38" s="100">
        <f t="shared" si="8"/>
        <v>-0.1044776119402986</v>
      </c>
      <c r="AN38" s="241"/>
      <c r="AO38" s="131">
        <f t="shared" si="9"/>
        <v>-0.21311475409836064</v>
      </c>
      <c r="AP38" s="112"/>
      <c r="AQ38" s="135">
        <f t="shared" si="10"/>
        <v>-0.66896551724137931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2.68</v>
      </c>
      <c r="BA38" s="140">
        <v>3.05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2.2000000000000002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1.2818257657013465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-0.19708029197080293</v>
      </c>
      <c r="AN39" s="241"/>
      <c r="AO39" s="131">
        <f t="shared" si="9"/>
        <v>-0.25925925925925924</v>
      </c>
      <c r="AP39" s="112"/>
      <c r="AQ39" s="135">
        <f t="shared" si="10"/>
        <v>-0.81276595744680857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2.74</v>
      </c>
      <c r="BA39" s="140">
        <v>2.97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4.4400000000000004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1.3795848101265822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0.80859036502126824</v>
      </c>
      <c r="AH40" s="245"/>
      <c r="AI40" s="240">
        <v>368.2</v>
      </c>
      <c r="AJ40" s="18"/>
      <c r="AK40" s="167"/>
      <c r="AL40" s="112"/>
      <c r="AM40" s="100">
        <f t="shared" si="8"/>
        <v>0.2164383561643837</v>
      </c>
      <c r="AN40" s="241"/>
      <c r="AO40" s="131">
        <f t="shared" si="9"/>
        <v>-0.17625231910946185</v>
      </c>
      <c r="AP40" s="112"/>
      <c r="AQ40" s="135">
        <f t="shared" si="10"/>
        <v>-0.86468571428571428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3.65</v>
      </c>
      <c r="BA40" s="140">
        <v>5.39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7.97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1.8647149643705463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1.10396953125</v>
      </c>
      <c r="AH41" s="245"/>
      <c r="AI41" s="240">
        <v>886.5</v>
      </c>
      <c r="AJ41" s="18"/>
      <c r="AK41" s="167"/>
      <c r="AL41" s="112"/>
      <c r="AM41" s="100">
        <f t="shared" si="8"/>
        <v>-9.4318181818181926E-2</v>
      </c>
      <c r="AN41" s="241"/>
      <c r="AO41" s="131">
        <f t="shared" si="9"/>
        <v>-7.8612716763005852E-2</v>
      </c>
      <c r="AP41" s="112"/>
      <c r="AQ41" s="135">
        <f t="shared" si="10"/>
        <v>-0.44314410480349348</v>
      </c>
      <c r="AS41" s="158">
        <f t="shared" si="11"/>
        <v>0</v>
      </c>
      <c r="AU41" s="198">
        <v>0</v>
      </c>
      <c r="AV41" s="199"/>
      <c r="AW41" s="200"/>
      <c r="AX41" s="36"/>
      <c r="AY41" s="140">
        <v>8.8000000000000007</v>
      </c>
      <c r="BA41" s="140">
        <v>8.65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30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3.0005418422636967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2.3234640074963986</v>
      </c>
      <c r="AH42" s="245"/>
      <c r="AI42" s="240">
        <v>1661.3</v>
      </c>
      <c r="AJ42" s="18"/>
      <c r="AK42" s="167"/>
      <c r="AL42" s="112"/>
      <c r="AM42" s="100">
        <f t="shared" si="8"/>
        <v>1.6260162601626032E-2</v>
      </c>
      <c r="AN42" s="241"/>
      <c r="AO42" s="131">
        <f t="shared" si="9"/>
        <v>-5.8675870724819612E-2</v>
      </c>
      <c r="AP42" s="112"/>
      <c r="AQ42" s="135">
        <f t="shared" si="10"/>
        <v>-0.26605504587155965</v>
      </c>
      <c r="AS42" s="158">
        <f t="shared" si="11"/>
        <v>0</v>
      </c>
      <c r="AU42" s="198">
        <v>0</v>
      </c>
      <c r="AV42" s="199"/>
      <c r="AW42" s="200"/>
      <c r="AX42" s="36"/>
      <c r="AY42" s="140">
        <v>29.52</v>
      </c>
      <c r="BA42" s="140">
        <v>31.87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-3.0488744959747661E-2</v>
      </c>
      <c r="AN44" s="188" t="e">
        <f>AVERAGE(AN36:AN42)</f>
        <v>#DIV/0!</v>
      </c>
      <c r="AO44" s="188">
        <f>AVERAGE(AO36:AO42)</f>
        <v>-0.12749472201670273</v>
      </c>
      <c r="AP44" s="258"/>
      <c r="AQ44" s="189">
        <f>AVERAGE(AQ36:AQ42)</f>
        <v>-0.54878687788182978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4">
        <v>2001</v>
      </c>
      <c r="Y46" s="395"/>
      <c r="Z46" s="396"/>
      <c r="AA46" s="264"/>
      <c r="AB46" s="264"/>
      <c r="AC46" s="264"/>
      <c r="AD46" s="264"/>
      <c r="AE46" s="394">
        <v>2002</v>
      </c>
      <c r="AF46" s="395"/>
      <c r="AG46" s="396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8.3800000000000008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-4.7505938242279272E-3</v>
      </c>
      <c r="AN49" s="187"/>
      <c r="AO49" s="187">
        <f>((+AZ49+E49-BA49)/BA49)</f>
        <v>-6.8888888888888805E-2</v>
      </c>
      <c r="AP49" s="187"/>
      <c r="AQ49" s="286">
        <f>((+BB49+E49-BC49)/BC49)</f>
        <v>-0.14598726114649674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8.42</v>
      </c>
      <c r="AZ49" s="291"/>
      <c r="BA49" s="292">
        <v>9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1">
        <v>2000</v>
      </c>
      <c r="AT66" s="392"/>
      <c r="AU66" s="393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1.84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1.81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 t="s">
        <v>130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1.8178947368421052</v>
      </c>
      <c r="Y88" s="341"/>
      <c r="Z88" s="339"/>
      <c r="AA88" s="339"/>
      <c r="AB88" s="339"/>
      <c r="AC88" s="339"/>
      <c r="AD88" s="339"/>
      <c r="AE88" s="342">
        <f>AVERAGE(AE68:AE86)</f>
        <v>2.16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4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2001-06-29T21:21:46Z</cp:lastPrinted>
  <dcterms:created xsi:type="dcterms:W3CDTF">1997-07-25T21:14:12Z</dcterms:created>
  <dcterms:modified xsi:type="dcterms:W3CDTF">2023-09-10T15:44:47Z</dcterms:modified>
</cp:coreProperties>
</file>