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9456" windowHeight="6468" tabRatio="273" activeTab="1"/>
  </bookViews>
  <sheets>
    <sheet name="sum" sheetId="1" r:id="rId1"/>
    <sheet name="ENRON" sheetId="2" r:id="rId2"/>
  </sheets>
  <externalReferences>
    <externalReference r:id="rId3"/>
    <externalReference r:id="rId4"/>
  </externalReferences>
  <definedNames>
    <definedName name="dividend">ENRON!$AU$7:$BC$24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ENRON!$AY$5</definedName>
    <definedName name="_xlnm.Print_Area" localSheetId="1">ENRON!$A$1:$AS$61</definedName>
    <definedName name="Print_Area_MI">#REF!</definedName>
    <definedName name="_xlnm.Print_Titles" localSheetId="1">ENRON!$A:$C,ENRON!$1:$6</definedName>
    <definedName name="weekly">ENRON!$E$7:$AS$89</definedName>
  </definedNames>
  <calcPr calcId="92512" fullCalcOnLoad="1"/>
</workbook>
</file>

<file path=xl/calcChain.xml><?xml version="1.0" encoding="utf-8"?>
<calcChain xmlns="http://schemas.openxmlformats.org/spreadsheetml/2006/main">
  <c r="E7" i="2" l="1"/>
  <c r="I7" i="2"/>
  <c r="M7" i="2"/>
  <c r="Q7" i="2"/>
  <c r="S7" i="2"/>
  <c r="T7" i="2"/>
  <c r="V7" i="2"/>
  <c r="Z7" i="2"/>
  <c r="AB7" i="2"/>
  <c r="AG7" i="2"/>
  <c r="AK7" i="2"/>
  <c r="AM7" i="2"/>
  <c r="AO7" i="2"/>
  <c r="AQ7" i="2"/>
  <c r="AS7" i="2"/>
  <c r="E9" i="2"/>
  <c r="I9" i="2"/>
  <c r="M9" i="2"/>
  <c r="Q9" i="2"/>
  <c r="T9" i="2"/>
  <c r="V9" i="2"/>
  <c r="Z9" i="2"/>
  <c r="AB9" i="2"/>
  <c r="AG9" i="2"/>
  <c r="AK9" i="2"/>
  <c r="AM9" i="2"/>
  <c r="AO9" i="2"/>
  <c r="AQ9" i="2"/>
  <c r="AU9" i="2"/>
  <c r="E10" i="2"/>
  <c r="I10" i="2"/>
  <c r="M10" i="2"/>
  <c r="Q10" i="2"/>
  <c r="T10" i="2"/>
  <c r="V10" i="2"/>
  <c r="AK10" i="2"/>
  <c r="AM10" i="2"/>
  <c r="AO10" i="2"/>
  <c r="AQ10" i="2"/>
  <c r="AU10" i="2"/>
  <c r="E13" i="2"/>
  <c r="T13" i="2"/>
  <c r="Z13" i="2"/>
  <c r="AG13" i="2"/>
  <c r="AK13" i="2"/>
  <c r="AM13" i="2"/>
  <c r="AS13" i="2"/>
  <c r="E14" i="2"/>
  <c r="I14" i="2"/>
  <c r="M14" i="2"/>
  <c r="Q14" i="2"/>
  <c r="T14" i="2"/>
  <c r="V14" i="2"/>
  <c r="Z14" i="2"/>
  <c r="AB14" i="2"/>
  <c r="AG14" i="2"/>
  <c r="AK14" i="2"/>
  <c r="AM14" i="2"/>
  <c r="AO14" i="2"/>
  <c r="AQ14" i="2"/>
  <c r="AS14" i="2"/>
  <c r="AU14" i="2"/>
  <c r="E15" i="2"/>
  <c r="M15" i="2"/>
  <c r="T15" i="2"/>
  <c r="V15" i="2"/>
  <c r="Z15" i="2"/>
  <c r="AB15" i="2"/>
  <c r="AG15" i="2"/>
  <c r="AK15" i="2"/>
  <c r="AM15" i="2"/>
  <c r="AO15" i="2"/>
  <c r="AQ15" i="2"/>
  <c r="AS15" i="2"/>
  <c r="AU15" i="2"/>
  <c r="BB15" i="2"/>
  <c r="E16" i="2"/>
  <c r="M16" i="2"/>
  <c r="T16" i="2"/>
  <c r="V16" i="2"/>
  <c r="Z16" i="2"/>
  <c r="AB16" i="2"/>
  <c r="AG16" i="2"/>
  <c r="AK16" i="2"/>
  <c r="AM16" i="2"/>
  <c r="AO16" i="2"/>
  <c r="AQ16" i="2"/>
  <c r="AS16" i="2"/>
  <c r="AU16" i="2"/>
  <c r="BB16" i="2"/>
  <c r="E17" i="2"/>
  <c r="I17" i="2"/>
  <c r="M17" i="2"/>
  <c r="Q17" i="2"/>
  <c r="T17" i="2"/>
  <c r="V17" i="2"/>
  <c r="Z17" i="2"/>
  <c r="AB17" i="2"/>
  <c r="AG17" i="2"/>
  <c r="AK17" i="2"/>
  <c r="AM17" i="2"/>
  <c r="AO17" i="2"/>
  <c r="AQ17" i="2"/>
  <c r="AS17" i="2"/>
  <c r="AU17" i="2"/>
  <c r="BB17" i="2"/>
  <c r="E18" i="2"/>
  <c r="M18" i="2"/>
  <c r="T18" i="2"/>
  <c r="Z18" i="2"/>
  <c r="AB18" i="2"/>
  <c r="AG18" i="2"/>
  <c r="AK18" i="2"/>
  <c r="AM18" i="2"/>
  <c r="AO18" i="2"/>
  <c r="AQ18" i="2"/>
  <c r="AS18" i="2"/>
  <c r="AU18" i="2"/>
  <c r="BB18" i="2"/>
  <c r="E19" i="2"/>
  <c r="Z19" i="2"/>
  <c r="AB19" i="2"/>
  <c r="AG19" i="2"/>
  <c r="AK19" i="2"/>
  <c r="AM19" i="2"/>
  <c r="AO19" i="2"/>
  <c r="AQ19" i="2"/>
  <c r="AS19" i="2"/>
  <c r="E20" i="2"/>
  <c r="Z20" i="2"/>
  <c r="AB20" i="2"/>
  <c r="AG20" i="2"/>
  <c r="AK20" i="2"/>
  <c r="AM20" i="2"/>
  <c r="AO20" i="2"/>
  <c r="AQ20" i="2"/>
  <c r="AS20" i="2"/>
  <c r="E21" i="2"/>
  <c r="T21" i="2"/>
  <c r="Z21" i="2"/>
  <c r="AG21" i="2"/>
  <c r="AK21" i="2"/>
  <c r="AM21" i="2"/>
  <c r="AS21" i="2"/>
  <c r="E22" i="2"/>
  <c r="I22" i="2"/>
  <c r="M22" i="2"/>
  <c r="Q22" i="2"/>
  <c r="T22" i="2"/>
  <c r="V22" i="2"/>
  <c r="Z22" i="2"/>
  <c r="AB22" i="2"/>
  <c r="AG22" i="2"/>
  <c r="AK22" i="2"/>
  <c r="AM22" i="2"/>
  <c r="AO22" i="2"/>
  <c r="AQ22" i="2"/>
  <c r="AS22" i="2"/>
  <c r="AU22" i="2"/>
  <c r="I24" i="2"/>
  <c r="M24" i="2"/>
  <c r="Q24" i="2"/>
  <c r="T24" i="2"/>
  <c r="V24" i="2"/>
  <c r="Z24" i="2"/>
  <c r="AG24" i="2"/>
  <c r="AK24" i="2"/>
  <c r="AM24" i="2"/>
  <c r="AO24" i="2"/>
  <c r="AQ24" i="2"/>
  <c r="AS24" i="2"/>
  <c r="X29" i="2"/>
  <c r="AE29" i="2"/>
  <c r="X30" i="2"/>
  <c r="AE30" i="2"/>
  <c r="X31" i="2"/>
  <c r="AE31" i="2"/>
  <c r="AY34" i="2"/>
  <c r="BA34" i="2"/>
  <c r="BC34" i="2"/>
  <c r="A36" i="2"/>
  <c r="C36" i="2"/>
  <c r="E36" i="2"/>
  <c r="Z36" i="2"/>
  <c r="AG36" i="2"/>
  <c r="AM36" i="2"/>
  <c r="AO36" i="2"/>
  <c r="AQ36" i="2"/>
  <c r="AS36" i="2"/>
  <c r="A37" i="2"/>
  <c r="C37" i="2"/>
  <c r="E37" i="2"/>
  <c r="Z37" i="2"/>
  <c r="AG37" i="2"/>
  <c r="AM37" i="2"/>
  <c r="AO37" i="2"/>
  <c r="AQ37" i="2"/>
  <c r="AS37" i="2"/>
  <c r="A38" i="2"/>
  <c r="C38" i="2"/>
  <c r="E38" i="2"/>
  <c r="Z38" i="2"/>
  <c r="AG38" i="2"/>
  <c r="AM38" i="2"/>
  <c r="AO38" i="2"/>
  <c r="AQ38" i="2"/>
  <c r="AS38" i="2"/>
  <c r="A39" i="2"/>
  <c r="C39" i="2"/>
  <c r="E39" i="2"/>
  <c r="Z39" i="2"/>
  <c r="AM39" i="2"/>
  <c r="AO39" i="2"/>
  <c r="AQ39" i="2"/>
  <c r="AS39" i="2"/>
  <c r="C40" i="2"/>
  <c r="E40" i="2"/>
  <c r="Z40" i="2"/>
  <c r="AG40" i="2"/>
  <c r="AM40" i="2"/>
  <c r="AO40" i="2"/>
  <c r="AQ40" i="2"/>
  <c r="AS40" i="2"/>
  <c r="E41" i="2"/>
  <c r="Z41" i="2"/>
  <c r="AG41" i="2"/>
  <c r="AM41" i="2"/>
  <c r="AO41" i="2"/>
  <c r="AQ41" i="2"/>
  <c r="AS41" i="2"/>
  <c r="A42" i="2"/>
  <c r="C42" i="2"/>
  <c r="E42" i="2"/>
  <c r="Z42" i="2"/>
  <c r="AG42" i="2"/>
  <c r="AM42" i="2"/>
  <c r="AO42" i="2"/>
  <c r="AQ42" i="2"/>
  <c r="AS42" i="2"/>
  <c r="AM44" i="2"/>
  <c r="AN44" i="2"/>
  <c r="AO44" i="2"/>
  <c r="AQ44" i="2"/>
  <c r="AS44" i="2"/>
  <c r="BA47" i="2"/>
  <c r="E49" i="2"/>
  <c r="AK49" i="2"/>
  <c r="AM49" i="2"/>
  <c r="AO49" i="2"/>
  <c r="AQ49" i="2"/>
  <c r="AS49" i="2"/>
  <c r="AU69" i="2"/>
  <c r="AU71" i="2"/>
  <c r="AU75" i="2"/>
  <c r="AU76" i="2"/>
  <c r="AU77" i="2"/>
  <c r="AU78" i="2"/>
  <c r="AU79" i="2"/>
  <c r="AU80" i="2"/>
  <c r="AU81" i="2"/>
  <c r="AU82" i="2"/>
  <c r="AU83" i="2"/>
  <c r="AU84" i="2"/>
  <c r="AU85" i="2"/>
  <c r="AU87" i="2"/>
  <c r="S88" i="2"/>
  <c r="X88" i="2"/>
  <c r="AE88" i="2"/>
  <c r="H1" i="1"/>
  <c r="H2" i="1"/>
  <c r="B6" i="1"/>
  <c r="D6" i="1"/>
  <c r="F6" i="1"/>
  <c r="H6" i="1"/>
  <c r="B7" i="1"/>
  <c r="D7" i="1"/>
  <c r="F7" i="1"/>
  <c r="H7" i="1"/>
  <c r="B8" i="1"/>
  <c r="D8" i="1"/>
  <c r="F8" i="1"/>
  <c r="H8" i="1"/>
  <c r="B9" i="1"/>
  <c r="D9" i="1"/>
  <c r="F9" i="1"/>
  <c r="H9" i="1"/>
  <c r="D10" i="1"/>
  <c r="F10" i="1"/>
  <c r="H10" i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13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  <comment ref="S21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<sst xmlns="http://schemas.openxmlformats.org/spreadsheetml/2006/main" count="283" uniqueCount="134">
  <si>
    <t>ENE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</si>
  <si>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</si>
  <si>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</si>
  <si>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</si>
  <si>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</si>
  <si>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</si>
  <si>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</si>
  <si>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</si>
  <si>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</si>
  <si>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</si>
  <si>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</si>
  <si>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</si>
  <si>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</si>
  <si>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</si>
  <si>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</si>
  <si>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</si>
  <si>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</si>
  <si>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</si>
  <si>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</si>
  <si>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</si>
  <si>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</si>
  <si>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</si>
  <si>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</si>
  <si>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</si>
  <si>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</si>
  <si>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</si>
  <si>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</si>
  <si>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</si>
  <si>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</si>
  <si>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</si>
  <si>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</si>
  <si>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</si>
  <si>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</si>
  <si>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</si>
  <si>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</si>
  <si>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</si>
  <si>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</si>
  <si>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</si>
  <si>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</si>
  <si>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</si>
  <si>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</si>
  <si>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</si>
  <si>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</si>
  <si>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</si>
  <si>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</si>
  <si>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</si>
  <si>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</si>
  <si>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</si>
  <si>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Ex-Dividends to YTD</t>
  </si>
  <si>
    <t>Enron - (Recurring Diluted EPS)</t>
  </si>
  <si>
    <t>A</t>
  </si>
  <si>
    <t>*</t>
  </si>
  <si>
    <t>S &amp; P 500 Index</t>
  </si>
  <si>
    <t>Duke Energy</t>
  </si>
  <si>
    <t>DYN</t>
  </si>
  <si>
    <t>El Paso</t>
  </si>
  <si>
    <t>Transcanada Pipeline</t>
  </si>
  <si>
    <t>PG&amp;E</t>
  </si>
  <si>
    <t>PCG</t>
  </si>
  <si>
    <t>First Albany</t>
  </si>
  <si>
    <t>SPX</t>
  </si>
  <si>
    <t>J P Morgan</t>
  </si>
  <si>
    <t>BofA Montgomery</t>
  </si>
  <si>
    <t>CSFB</t>
  </si>
  <si>
    <t>Kinder Morgan</t>
  </si>
  <si>
    <t>KMI</t>
  </si>
  <si>
    <t>DRW</t>
  </si>
  <si>
    <t>AES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</si>
  <si>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</si>
  <si>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</si>
  <si>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</si>
  <si>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</si>
  <si>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</si>
  <si>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</si>
  <si>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</si>
  <si>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</si>
  <si>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</si>
  <si>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</si>
  <si>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</si>
  <si>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</si>
  <si>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</si>
  <si>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</si>
  <si>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Rev (MM)</t>
  </si>
  <si>
    <t>Mult</t>
  </si>
  <si>
    <t>Energy Peer Group</t>
  </si>
  <si>
    <t>EPS</t>
  </si>
  <si>
    <t>Williams Company</t>
  </si>
  <si>
    <t>Communications Peer Average</t>
  </si>
  <si>
    <t>* Revenue estimates based on fiscal year rather than calendar year</t>
  </si>
  <si>
    <t>2001</t>
  </si>
  <si>
    <t>Consensus EPS</t>
  </si>
  <si>
    <t>Salomon Smith Barney</t>
  </si>
  <si>
    <t>Energy Peers</t>
  </si>
  <si>
    <t>Energy Peer Group Average</t>
  </si>
  <si>
    <t xml:space="preserve">12/31/99 Closing </t>
  </si>
  <si>
    <t>Howard Weil</t>
  </si>
  <si>
    <t>** Consensus information is not available for 2001</t>
  </si>
  <si>
    <t>NPW</t>
  </si>
  <si>
    <t>NRG</t>
  </si>
  <si>
    <t>NRG Energy Inc</t>
  </si>
  <si>
    <t>The New Power Company</t>
  </si>
  <si>
    <t xml:space="preserve">Total Return </t>
  </si>
  <si>
    <t>UBS Warburg / PaineWebber</t>
  </si>
  <si>
    <t>Communications Peers</t>
  </si>
  <si>
    <t>Level3</t>
  </si>
  <si>
    <t>Global Crossing</t>
  </si>
  <si>
    <t>GX</t>
  </si>
  <si>
    <t xml:space="preserve">AES Corp. </t>
  </si>
  <si>
    <t>Dynegy</t>
  </si>
  <si>
    <t>Friday</t>
  </si>
  <si>
    <t>Bear, Stearns</t>
  </si>
  <si>
    <t xml:space="preserve">12/29/00 Closing </t>
  </si>
  <si>
    <t xml:space="preserve">  EPS</t>
  </si>
  <si>
    <t>ROE</t>
  </si>
  <si>
    <t>Latest</t>
  </si>
  <si>
    <t>12 mos</t>
  </si>
  <si>
    <t>.</t>
  </si>
  <si>
    <t>Shares</t>
  </si>
  <si>
    <t>(MM)</t>
  </si>
  <si>
    <t>MIR</t>
  </si>
  <si>
    <t>Mirant Corp</t>
  </si>
  <si>
    <t>Low Estimate</t>
  </si>
  <si>
    <t>Bernstein</t>
  </si>
  <si>
    <t>2002</t>
  </si>
  <si>
    <t>2002 EPS</t>
  </si>
  <si>
    <t>00/01</t>
  </si>
  <si>
    <t>Last Week's Price</t>
  </si>
  <si>
    <t>ILA</t>
  </si>
  <si>
    <t>RRI</t>
  </si>
  <si>
    <t>Reliant Resources**</t>
  </si>
  <si>
    <t>Aquila Inc.*</t>
  </si>
  <si>
    <t>* Reliant Resources IPO on 4/30/01 for $30.00, EPS estimate from Simmons 5/3/01</t>
  </si>
  <si>
    <t>split</t>
  </si>
  <si>
    <t>Sanders Morris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</si>
</sst>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5" formatCode="_(* #,##0.000_);_(* \(#,##0.000\);_(* &quot;-&quot;??_);_(@_)"/>
    <numFmt numFmtId="186" formatCode="_(* #,##0.0_);_(* \(#,##0.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8" formatCode="0.0&quot;%&quot;"/>
    <numFmt numFmtId="199" formatCode="_(&quot;$&quot;* #,##0_);_(&quot;$&quot;* \(#,##0\);_(&quot;$&quot;* &quot;-&quot;??_);_(@_)"/>
    <numFmt numFmtId="200" formatCode="_(&quot;$&quot;* #,##0.0_);_(&quot;$&quot;* \(#,##0.0\);_(&quot;$&quot;* &quot;-&quot;?_);_(@_)"/>
  </numFmts>
  <fonts count="44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b/>
      <vertAlign val="superscript"/>
      <sz val="10"/>
      <name val="Arial"/>
      <family val="2"/>
    </font>
    <font>
      <sz val="12"/>
      <name val="Times"/>
    </font>
    <font>
      <b/>
      <sz val="12"/>
      <name val="Times"/>
    </font>
    <font>
      <b/>
      <sz val="10"/>
      <color indexed="48"/>
      <name val="Arial"/>
      <family val="2"/>
    </font>
    <font>
      <b/>
      <u/>
      <sz val="8"/>
      <name val="Arial"/>
      <family val="2"/>
    </font>
    <font>
      <b/>
      <sz val="8"/>
      <name val="Arial"/>
    </font>
    <font>
      <sz val="8"/>
      <name val="Helv"/>
    </font>
    <font>
      <sz val="8"/>
      <color indexed="39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99">
    <xf numFmtId="164" fontId="0" fillId="0" borderId="0" xfId="0"/>
    <xf numFmtId="169" fontId="5" fillId="2" borderId="1" xfId="0" applyNumberFormat="1" applyFont="1" applyFill="1" applyBorder="1" applyProtection="1"/>
    <xf numFmtId="10" fontId="16" fillId="2" borderId="2" xfId="0" applyNumberFormat="1" applyFont="1" applyFill="1" applyBorder="1" applyProtection="1"/>
    <xf numFmtId="7" fontId="15" fillId="2" borderId="3" xfId="0" applyNumberFormat="1" applyFont="1" applyFill="1" applyBorder="1" applyAlignment="1" applyProtection="1"/>
    <xf numFmtId="164" fontId="19" fillId="2" borderId="0" xfId="0" applyFont="1" applyFill="1"/>
    <xf numFmtId="164" fontId="6" fillId="2" borderId="0" xfId="0" applyFont="1" applyFill="1"/>
    <xf numFmtId="164" fontId="6" fillId="2" borderId="0" xfId="0" applyFont="1" applyFill="1" applyAlignment="1">
      <alignment horizontal="center"/>
    </xf>
    <xf numFmtId="164" fontId="6" fillId="2" borderId="0" xfId="0" applyFont="1" applyFill="1" applyBorder="1"/>
    <xf numFmtId="164" fontId="3" fillId="2" borderId="0" xfId="0" applyFont="1" applyFill="1"/>
    <xf numFmtId="164" fontId="5" fillId="2" borderId="0" xfId="0" applyFont="1" applyFill="1" applyAlignment="1" applyProtection="1">
      <alignment horizontal="right"/>
    </xf>
    <xf numFmtId="164" fontId="4" fillId="2" borderId="0" xfId="0" applyFont="1" applyFill="1"/>
    <xf numFmtId="164" fontId="4" fillId="2" borderId="0" xfId="0" applyFont="1" applyFill="1" applyAlignment="1">
      <alignment horizontal="center"/>
    </xf>
    <xf numFmtId="187" fontId="4" fillId="2" borderId="0" xfId="1" applyNumberFormat="1" applyFont="1" applyFill="1" applyAlignment="1">
      <alignment horizontal="center"/>
    </xf>
    <xf numFmtId="164" fontId="2" fillId="2" borderId="0" xfId="0" applyFont="1" applyFill="1" applyAlignment="1">
      <alignment horizontal="right"/>
    </xf>
    <xf numFmtId="164" fontId="2" fillId="2" borderId="0" xfId="0" applyFont="1" applyFill="1" applyBorder="1" applyAlignment="1">
      <alignment horizontal="right"/>
    </xf>
    <xf numFmtId="164" fontId="30" fillId="2" borderId="0" xfId="0" applyFont="1" applyFill="1" applyAlignment="1">
      <alignment horizontal="right"/>
    </xf>
    <xf numFmtId="170" fontId="20" fillId="2" borderId="0" xfId="0" applyNumberFormat="1" applyFont="1" applyFill="1" applyAlignment="1" applyProtection="1">
      <alignment horizontal="right"/>
    </xf>
    <xf numFmtId="164" fontId="5" fillId="2" borderId="0" xfId="0" applyFont="1" applyFill="1" applyAlignment="1" applyProtection="1">
      <alignment horizontal="left"/>
    </xf>
    <xf numFmtId="164" fontId="5" fillId="2" borderId="0" xfId="0" applyFont="1" applyFill="1"/>
    <xf numFmtId="164" fontId="5" fillId="2" borderId="0" xfId="0" applyFont="1" applyFill="1" applyAlignment="1">
      <alignment horizontal="center"/>
    </xf>
    <xf numFmtId="164" fontId="14" fillId="2" borderId="0" xfId="0" applyFont="1" applyFill="1"/>
    <xf numFmtId="164" fontId="14" fillId="2" borderId="0" xfId="0" applyFont="1" applyFill="1" applyBorder="1"/>
    <xf numFmtId="164" fontId="5" fillId="2" borderId="0" xfId="0" applyFont="1" applyFill="1" applyAlignment="1" applyProtection="1">
      <alignment horizontal="centerContinuous"/>
    </xf>
    <xf numFmtId="164" fontId="1" fillId="2" borderId="4" xfId="0" applyFont="1" applyFill="1" applyBorder="1" applyAlignment="1">
      <alignment horizontal="centerContinuous"/>
    </xf>
    <xf numFmtId="164" fontId="6" fillId="2" borderId="5" xfId="0" applyFont="1" applyFill="1" applyBorder="1" applyAlignment="1">
      <alignment horizontal="centerContinuous"/>
    </xf>
    <xf numFmtId="164" fontId="6" fillId="2" borderId="6" xfId="0" applyFont="1" applyFill="1" applyBorder="1" applyAlignment="1">
      <alignment horizontal="centerContinuous"/>
    </xf>
    <xf numFmtId="164" fontId="5" fillId="2" borderId="0" xfId="0" applyFont="1" applyFill="1" applyBorder="1"/>
    <xf numFmtId="164" fontId="1" fillId="2" borderId="7" xfId="0" applyFont="1" applyFill="1" applyBorder="1" applyAlignment="1">
      <alignment horizontal="center"/>
    </xf>
    <xf numFmtId="164" fontId="6" fillId="2" borderId="0" xfId="0" applyFont="1" applyFill="1" applyBorder="1" applyAlignment="1">
      <alignment horizontal="centerContinuous"/>
    </xf>
    <xf numFmtId="164" fontId="1" fillId="2" borderId="8" xfId="0" applyFont="1" applyFill="1" applyBorder="1" applyAlignment="1">
      <alignment horizontal="center"/>
    </xf>
    <xf numFmtId="164" fontId="1" fillId="2" borderId="0" xfId="0" applyFont="1" applyFill="1" applyBorder="1" applyAlignment="1">
      <alignment horizontal="center"/>
    </xf>
    <xf numFmtId="164" fontId="5" fillId="2" borderId="9" xfId="0" applyFont="1" applyFill="1" applyBorder="1" applyAlignment="1">
      <alignment horizontal="center"/>
    </xf>
    <xf numFmtId="164" fontId="5" fillId="2" borderId="10" xfId="0" applyFont="1" applyFill="1" applyBorder="1" applyAlignment="1">
      <alignment horizontal="centerContinuous"/>
    </xf>
    <xf numFmtId="164" fontId="5" fillId="2" borderId="11" xfId="0" applyFont="1" applyFill="1" applyBorder="1" applyAlignment="1">
      <alignment horizontal="centerContinuous"/>
    </xf>
    <xf numFmtId="164" fontId="5" fillId="2" borderId="7" xfId="0" applyFont="1" applyFill="1" applyBorder="1" applyAlignment="1">
      <alignment horizontal="centerContinuous"/>
    </xf>
    <xf numFmtId="164" fontId="3" fillId="2" borderId="9" xfId="0" applyFont="1" applyFill="1" applyBorder="1"/>
    <xf numFmtId="164" fontId="3" fillId="2" borderId="0" xfId="0" applyFont="1" applyFill="1" applyBorder="1"/>
    <xf numFmtId="164" fontId="3" fillId="2" borderId="0" xfId="0" applyFont="1" applyFill="1" applyAlignment="1">
      <alignment horizontal="centerContinuous"/>
    </xf>
    <xf numFmtId="187" fontId="3" fillId="2" borderId="0" xfId="1" applyNumberFormat="1" applyFont="1" applyFill="1" applyAlignment="1">
      <alignment horizontal="centerContinuous"/>
    </xf>
    <xf numFmtId="164" fontId="14" fillId="2" borderId="0" xfId="0" applyFont="1" applyFill="1" applyAlignment="1">
      <alignment horizontal="centerContinuous"/>
    </xf>
    <xf numFmtId="164" fontId="3" fillId="2" borderId="12" xfId="0" applyFont="1" applyFill="1" applyBorder="1" applyAlignment="1">
      <alignment horizontal="centerContinuous"/>
    </xf>
    <xf numFmtId="164" fontId="5" fillId="2" borderId="0" xfId="0" applyFont="1" applyFill="1" applyAlignment="1" applyProtection="1">
      <alignment horizontal="center"/>
    </xf>
    <xf numFmtId="164" fontId="5" fillId="2" borderId="4" xfId="0" applyFont="1" applyFill="1" applyBorder="1" applyAlignment="1" applyProtection="1">
      <alignment horizontal="center"/>
    </xf>
    <xf numFmtId="164" fontId="5" fillId="2" borderId="5" xfId="0" applyFont="1" applyFill="1" applyBorder="1"/>
    <xf numFmtId="164" fontId="5" fillId="2" borderId="6" xfId="0" applyFont="1" applyFill="1" applyBorder="1"/>
    <xf numFmtId="164" fontId="5" fillId="2" borderId="0" xfId="0" applyFont="1" applyFill="1" applyBorder="1" applyAlignment="1">
      <alignment horizontal="center"/>
    </xf>
    <xf numFmtId="164" fontId="5" fillId="2" borderId="5" xfId="0" applyFont="1" applyFill="1" applyBorder="1" applyAlignment="1" applyProtection="1">
      <alignment horizontal="center"/>
    </xf>
    <xf numFmtId="164" fontId="5" fillId="2" borderId="13" xfId="0" applyFont="1" applyFill="1" applyBorder="1" applyAlignment="1">
      <alignment horizontal="center"/>
    </xf>
    <xf numFmtId="164" fontId="5" fillId="2" borderId="2" xfId="0" applyFont="1" applyFill="1" applyBorder="1" applyAlignment="1">
      <alignment horizontal="center"/>
    </xf>
    <xf numFmtId="164" fontId="5" fillId="2" borderId="3" xfId="0" applyFont="1" applyFill="1" applyBorder="1" applyAlignment="1">
      <alignment horizontal="center"/>
    </xf>
    <xf numFmtId="164" fontId="5" fillId="2" borderId="2" xfId="0" applyFont="1" applyFill="1" applyBorder="1" applyAlignment="1" applyProtection="1">
      <alignment horizontal="center"/>
    </xf>
    <xf numFmtId="164" fontId="5" fillId="2" borderId="3" xfId="0" applyFont="1" applyFill="1" applyBorder="1" applyAlignment="1" applyProtection="1">
      <alignment horizontal="center"/>
    </xf>
    <xf numFmtId="164" fontId="4" fillId="2" borderId="4" xfId="0" applyFont="1" applyFill="1" applyBorder="1"/>
    <xf numFmtId="164" fontId="4" fillId="2" borderId="5" xfId="0" applyFont="1" applyFill="1" applyBorder="1" applyAlignment="1">
      <alignment horizontal="center"/>
    </xf>
    <xf numFmtId="187" fontId="4" fillId="2" borderId="5" xfId="0" applyNumberFormat="1" applyFont="1" applyFill="1" applyBorder="1" applyAlignment="1">
      <alignment horizontal="center"/>
    </xf>
    <xf numFmtId="164" fontId="3" fillId="2" borderId="4" xfId="0" applyFont="1" applyFill="1" applyBorder="1"/>
    <xf numFmtId="170" fontId="16" fillId="2" borderId="5" xfId="0" applyNumberFormat="1" applyFont="1" applyFill="1" applyBorder="1" applyAlignment="1" applyProtection="1">
      <alignment horizontal="center"/>
    </xf>
    <xf numFmtId="170" fontId="16" fillId="2" borderId="13" xfId="0" applyNumberFormat="1" applyFont="1" applyFill="1" applyBorder="1" applyAlignment="1" applyProtection="1">
      <alignment horizontal="center"/>
    </xf>
    <xf numFmtId="14" fontId="8" fillId="2" borderId="5" xfId="0" applyNumberFormat="1" applyFont="1" applyFill="1" applyBorder="1" applyAlignment="1">
      <alignment horizontal="center"/>
    </xf>
    <xf numFmtId="164" fontId="3" fillId="2" borderId="3" xfId="0" applyFont="1" applyFill="1" applyBorder="1"/>
    <xf numFmtId="164" fontId="5" fillId="2" borderId="14" xfId="0" applyFont="1" applyFill="1" applyBorder="1" applyAlignment="1" applyProtection="1">
      <alignment horizontal="center"/>
    </xf>
    <xf numFmtId="164" fontId="5" fillId="2" borderId="15" xfId="0" applyFont="1" applyFill="1" applyBorder="1" applyAlignment="1" applyProtection="1">
      <alignment horizontal="center"/>
    </xf>
    <xf numFmtId="164" fontId="5" fillId="2" borderId="0" xfId="0" quotePrefix="1" applyFont="1" applyFill="1" applyBorder="1"/>
    <xf numFmtId="164" fontId="5" fillId="2" borderId="16" xfId="0" applyFont="1" applyFill="1" applyBorder="1" applyAlignment="1" applyProtection="1">
      <alignment horizontal="center"/>
    </xf>
    <xf numFmtId="164" fontId="5" fillId="2" borderId="0" xfId="0" applyFont="1" applyFill="1" applyBorder="1" applyAlignment="1" applyProtection="1">
      <alignment horizontal="center"/>
    </xf>
    <xf numFmtId="164" fontId="5" fillId="2" borderId="17" xfId="0" applyFont="1" applyFill="1" applyBorder="1" applyAlignment="1" applyProtection="1">
      <alignment horizontal="center"/>
    </xf>
    <xf numFmtId="164" fontId="5" fillId="2" borderId="18" xfId="0" applyFont="1" applyFill="1" applyBorder="1" applyAlignment="1" applyProtection="1">
      <alignment horizontal="center"/>
    </xf>
    <xf numFmtId="164" fontId="5" fillId="2" borderId="13" xfId="0" applyFont="1" applyFill="1" applyBorder="1" applyAlignment="1" applyProtection="1">
      <alignment horizontal="center"/>
    </xf>
    <xf numFmtId="164" fontId="5" fillId="2" borderId="19" xfId="0" applyFont="1" applyFill="1" applyBorder="1" applyAlignment="1" applyProtection="1">
      <alignment horizontal="center"/>
    </xf>
    <xf numFmtId="164" fontId="5" fillId="2" borderId="12" xfId="0" applyFont="1" applyFill="1" applyBorder="1" applyAlignment="1" applyProtection="1">
      <alignment horizontal="center"/>
    </xf>
    <xf numFmtId="164" fontId="5" fillId="2" borderId="20" xfId="0" applyFont="1" applyFill="1" applyBorder="1" applyAlignment="1" applyProtection="1">
      <alignment horizontal="center"/>
    </xf>
    <xf numFmtId="164" fontId="4" fillId="2" borderId="3" xfId="0" applyFont="1" applyFill="1" applyBorder="1" applyAlignment="1" applyProtection="1">
      <alignment horizontal="center"/>
    </xf>
    <xf numFmtId="164" fontId="10" fillId="2" borderId="0" xfId="0" applyFont="1" applyFill="1" applyBorder="1" applyAlignment="1" applyProtection="1">
      <alignment horizontal="center" wrapText="1"/>
    </xf>
    <xf numFmtId="187" fontId="10" fillId="2" borderId="13" xfId="1" applyNumberFormat="1" applyFont="1" applyFill="1" applyBorder="1" applyAlignment="1" applyProtection="1">
      <alignment horizontal="center" wrapText="1"/>
    </xf>
    <xf numFmtId="164" fontId="21" fillId="2" borderId="0" xfId="0" applyFont="1" applyFill="1" applyBorder="1" applyAlignment="1" applyProtection="1">
      <alignment horizontal="center"/>
    </xf>
    <xf numFmtId="164" fontId="4" fillId="2" borderId="13" xfId="0" applyFont="1" applyFill="1" applyBorder="1" applyAlignment="1" applyProtection="1">
      <alignment horizontal="center"/>
    </xf>
    <xf numFmtId="164" fontId="4" fillId="2" borderId="0" xfId="0" applyFont="1" applyFill="1" applyBorder="1" applyAlignment="1" applyProtection="1">
      <alignment horizontal="center"/>
    </xf>
    <xf numFmtId="164" fontId="4" fillId="2" borderId="13" xfId="0" quotePrefix="1" applyFont="1" applyFill="1" applyBorder="1" applyAlignment="1" applyProtection="1">
      <alignment horizontal="center"/>
    </xf>
    <xf numFmtId="164" fontId="5" fillId="2" borderId="21" xfId="0" applyFont="1" applyFill="1" applyBorder="1" applyAlignment="1" applyProtection="1">
      <alignment horizontal="left"/>
    </xf>
    <xf numFmtId="164" fontId="5" fillId="2" borderId="22" xfId="0" applyFont="1" applyFill="1" applyBorder="1"/>
    <xf numFmtId="164" fontId="5" fillId="2" borderId="22" xfId="0" applyFont="1" applyFill="1" applyBorder="1" applyAlignment="1" applyProtection="1">
      <alignment horizontal="center"/>
    </xf>
    <xf numFmtId="44" fontId="22" fillId="2" borderId="22" xfId="0" applyNumberFormat="1" applyFont="1" applyFill="1" applyBorder="1" applyProtection="1"/>
    <xf numFmtId="7" fontId="20" fillId="2" borderId="23" xfId="0" applyNumberFormat="1" applyFont="1" applyFill="1" applyBorder="1" applyProtection="1"/>
    <xf numFmtId="49" fontId="20" fillId="2" borderId="22" xfId="0" applyNumberFormat="1" applyFont="1" applyFill="1" applyBorder="1" applyAlignment="1">
      <alignment horizontal="left"/>
    </xf>
    <xf numFmtId="167" fontId="5" fillId="2" borderId="24" xfId="0" applyNumberFormat="1" applyFont="1" applyFill="1" applyBorder="1" applyProtection="1"/>
    <xf numFmtId="164" fontId="5" fillId="2" borderId="22" xfId="0" applyFont="1" applyFill="1" applyBorder="1" applyAlignment="1">
      <alignment horizontal="center"/>
    </xf>
    <xf numFmtId="44" fontId="20" fillId="2" borderId="23" xfId="0" applyNumberFormat="1" applyFont="1" applyFill="1" applyBorder="1" applyProtection="1"/>
    <xf numFmtId="167" fontId="5" fillId="2" borderId="22" xfId="0" applyNumberFormat="1" applyFont="1" applyFill="1" applyBorder="1" applyProtection="1"/>
    <xf numFmtId="169" fontId="5" fillId="2" borderId="25" xfId="0" applyNumberFormat="1" applyFont="1" applyFill="1" applyBorder="1" applyProtection="1"/>
    <xf numFmtId="169" fontId="5" fillId="2" borderId="22" xfId="0" applyNumberFormat="1" applyFont="1" applyFill="1" applyBorder="1" applyProtection="1"/>
    <xf numFmtId="44" fontId="5" fillId="2" borderId="23" xfId="2" applyFont="1" applyFill="1" applyBorder="1" applyProtection="1"/>
    <xf numFmtId="44" fontId="5" fillId="2" borderId="18" xfId="2" applyFont="1" applyFill="1" applyBorder="1" applyProtection="1"/>
    <xf numFmtId="169" fontId="5" fillId="2" borderId="25" xfId="3" applyNumberFormat="1" applyFont="1" applyFill="1" applyBorder="1" applyProtection="1"/>
    <xf numFmtId="169" fontId="5" fillId="2" borderId="26" xfId="3" applyNumberFormat="1" applyFont="1" applyFill="1" applyBorder="1" applyProtection="1"/>
    <xf numFmtId="44" fontId="5" fillId="2" borderId="22" xfId="2" applyFont="1" applyFill="1" applyBorder="1" applyProtection="1"/>
    <xf numFmtId="167" fontId="5" fillId="2" borderId="0" xfId="0" applyNumberFormat="1" applyFont="1" applyFill="1" applyBorder="1" applyProtection="1"/>
    <xf numFmtId="167" fontId="5" fillId="2" borderId="13" xfId="0" applyNumberFormat="1" applyFont="1" applyFill="1" applyBorder="1" applyProtection="1"/>
    <xf numFmtId="169" fontId="5" fillId="2" borderId="24" xfId="0" applyNumberFormat="1" applyFont="1" applyFill="1" applyBorder="1" applyProtection="1"/>
    <xf numFmtId="169" fontId="5" fillId="2" borderId="23" xfId="0" applyNumberFormat="1" applyFont="1" applyFill="1" applyBorder="1" applyProtection="1"/>
    <xf numFmtId="164" fontId="3" fillId="2" borderId="22" xfId="0" applyFont="1" applyFill="1" applyBorder="1"/>
    <xf numFmtId="169" fontId="5" fillId="2" borderId="3" xfId="0" applyNumberFormat="1" applyFont="1" applyFill="1" applyBorder="1" applyProtection="1"/>
    <xf numFmtId="14" fontId="11" fillId="2" borderId="0" xfId="0" applyNumberFormat="1" applyFont="1" applyFill="1" applyBorder="1" applyAlignment="1" applyProtection="1">
      <alignment horizontal="center"/>
    </xf>
    <xf numFmtId="187" fontId="11" fillId="2" borderId="13" xfId="1" applyNumberFormat="1" applyFont="1" applyFill="1" applyBorder="1" applyAlignment="1" applyProtection="1">
      <alignment horizontal="center"/>
    </xf>
    <xf numFmtId="189" fontId="12" fillId="2" borderId="0" xfId="2" applyNumberFormat="1" applyFont="1" applyFill="1" applyBorder="1"/>
    <xf numFmtId="44" fontId="22" fillId="2" borderId="24" xfId="0" applyNumberFormat="1" applyFont="1" applyFill="1" applyBorder="1" applyProtection="1"/>
    <xf numFmtId="189" fontId="12" fillId="2" borderId="3" xfId="2" applyNumberFormat="1" applyFont="1" applyFill="1" applyBorder="1"/>
    <xf numFmtId="189" fontId="8" fillId="2" borderId="0" xfId="2" applyNumberFormat="1" applyFont="1" applyFill="1" applyBorder="1"/>
    <xf numFmtId="44" fontId="22" fillId="2" borderId="0" xfId="0" applyNumberFormat="1" applyFont="1" applyFill="1"/>
    <xf numFmtId="164" fontId="20" fillId="2" borderId="3" xfId="0" applyFont="1" applyFill="1" applyBorder="1"/>
    <xf numFmtId="49" fontId="5" fillId="2" borderId="0" xfId="0" applyNumberFormat="1" applyFont="1" applyFill="1" applyBorder="1"/>
    <xf numFmtId="164" fontId="5" fillId="2" borderId="13" xfId="0" applyFont="1" applyFill="1" applyBorder="1"/>
    <xf numFmtId="10" fontId="5" fillId="2" borderId="2" xfId="0" applyNumberFormat="1" applyFont="1" applyFill="1" applyBorder="1" applyProtection="1"/>
    <xf numFmtId="10" fontId="5" fillId="2" borderId="0" xfId="0" applyNumberFormat="1" applyFont="1" applyFill="1" applyBorder="1" applyProtection="1"/>
    <xf numFmtId="164" fontId="20" fillId="2" borderId="0" xfId="0" applyFont="1" applyFill="1" applyBorder="1"/>
    <xf numFmtId="167" fontId="5" fillId="2" borderId="27" xfId="0" applyNumberFormat="1" applyFont="1" applyFill="1" applyBorder="1"/>
    <xf numFmtId="167" fontId="5" fillId="2" borderId="13" xfId="0" applyNumberFormat="1" applyFont="1" applyFill="1" applyBorder="1"/>
    <xf numFmtId="164" fontId="5" fillId="2" borderId="3" xfId="0" applyFont="1" applyFill="1" applyBorder="1"/>
    <xf numFmtId="167" fontId="5" fillId="2" borderId="0" xfId="0" applyNumberFormat="1" applyFont="1" applyFill="1" applyBorder="1"/>
    <xf numFmtId="10" fontId="5" fillId="2" borderId="3" xfId="0" applyNumberFormat="1" applyFont="1" applyFill="1" applyBorder="1" applyProtection="1"/>
    <xf numFmtId="10" fontId="5" fillId="2" borderId="13" xfId="0" applyNumberFormat="1" applyFont="1" applyFill="1" applyBorder="1" applyProtection="1"/>
    <xf numFmtId="168" fontId="15" fillId="2" borderId="3" xfId="0" applyNumberFormat="1" applyFont="1" applyFill="1" applyBorder="1" applyProtection="1"/>
    <xf numFmtId="168" fontId="11" fillId="2" borderId="0" xfId="0" applyNumberFormat="1" applyFont="1" applyFill="1" applyBorder="1" applyAlignment="1" applyProtection="1">
      <alignment horizontal="center"/>
    </xf>
    <xf numFmtId="188" fontId="13" fillId="2" borderId="3" xfId="1" applyNumberFormat="1" applyFont="1" applyFill="1" applyBorder="1"/>
    <xf numFmtId="44" fontId="22" fillId="2" borderId="13" xfId="0" applyNumberFormat="1" applyFont="1" applyFill="1" applyBorder="1"/>
    <xf numFmtId="188" fontId="13" fillId="2" borderId="0" xfId="1" applyNumberFormat="1" applyFont="1" applyFill="1" applyBorder="1"/>
    <xf numFmtId="188" fontId="8" fillId="2" borderId="0" xfId="1" applyNumberFormat="1" applyFont="1" applyFill="1" applyBorder="1"/>
    <xf numFmtId="199" fontId="22" fillId="2" borderId="0" xfId="0" applyNumberFormat="1" applyFont="1" applyFill="1" applyProtection="1"/>
    <xf numFmtId="39" fontId="5" fillId="2" borderId="0" xfId="0" applyNumberFormat="1" applyFont="1" applyFill="1" applyProtection="1"/>
    <xf numFmtId="7" fontId="20" fillId="2" borderId="3" xfId="0" applyNumberFormat="1" applyFont="1" applyFill="1" applyBorder="1" applyProtection="1"/>
    <xf numFmtId="44" fontId="20" fillId="2" borderId="3" xfId="0" applyNumberFormat="1" applyFont="1" applyFill="1" applyBorder="1" applyProtection="1"/>
    <xf numFmtId="169" fontId="5" fillId="2" borderId="2" xfId="0" applyNumberFormat="1" applyFont="1" applyFill="1" applyBorder="1" applyProtection="1"/>
    <xf numFmtId="169" fontId="5" fillId="2" borderId="0" xfId="0" applyNumberFormat="1" applyFont="1" applyFill="1" applyBorder="1" applyProtection="1"/>
    <xf numFmtId="44" fontId="20" fillId="2" borderId="0" xfId="0" applyNumberFormat="1" applyFont="1" applyFill="1" applyBorder="1" applyProtection="1"/>
    <xf numFmtId="169" fontId="5" fillId="2" borderId="2" xfId="3" applyNumberFormat="1" applyFont="1" applyFill="1" applyBorder="1" applyProtection="1"/>
    <xf numFmtId="169" fontId="5" fillId="2" borderId="13" xfId="3" applyNumberFormat="1" applyFont="1" applyFill="1" applyBorder="1" applyProtection="1"/>
    <xf numFmtId="169" fontId="5" fillId="2" borderId="13" xfId="0" applyNumberFormat="1" applyFont="1" applyFill="1" applyBorder="1" applyProtection="1"/>
    <xf numFmtId="7" fontId="17" fillId="2" borderId="3" xfId="0" applyNumberFormat="1" applyFont="1" applyFill="1" applyBorder="1" applyAlignment="1" applyProtection="1"/>
    <xf numFmtId="13" fontId="11" fillId="2" borderId="0" xfId="0" applyNumberFormat="1" applyFont="1" applyFill="1" applyBorder="1" applyAlignment="1" applyProtection="1">
      <alignment horizontal="center"/>
    </xf>
    <xf numFmtId="185" fontId="31" fillId="2" borderId="0" xfId="1" applyNumberFormat="1" applyFont="1" applyFill="1" applyBorder="1"/>
    <xf numFmtId="199" fontId="22" fillId="2" borderId="13" xfId="0" applyNumberFormat="1" applyFont="1" applyFill="1" applyBorder="1" applyProtection="1"/>
    <xf numFmtId="44" fontId="22" fillId="2" borderId="13" xfId="0" applyNumberFormat="1" applyFont="1" applyFill="1" applyBorder="1" applyProtection="1"/>
    <xf numFmtId="44" fontId="20" fillId="2" borderId="3" xfId="0" applyNumberFormat="1" applyFont="1" applyFill="1" applyBorder="1" applyAlignment="1" applyProtection="1">
      <alignment horizontal="right"/>
    </xf>
    <xf numFmtId="167" fontId="5" fillId="2" borderId="13" xfId="0" applyNumberFormat="1" applyFont="1" applyFill="1" applyBorder="1" applyAlignment="1" applyProtection="1">
      <alignment horizontal="right"/>
    </xf>
    <xf numFmtId="167" fontId="5" fillId="2" borderId="2" xfId="0" applyNumberFormat="1" applyFont="1" applyFill="1" applyBorder="1" applyAlignment="1" applyProtection="1">
      <alignment horizontal="right"/>
    </xf>
    <xf numFmtId="167" fontId="5" fillId="2" borderId="0" xfId="0" applyNumberFormat="1" applyFont="1" applyFill="1" applyBorder="1" applyAlignment="1" applyProtection="1">
      <alignment horizontal="right"/>
    </xf>
    <xf numFmtId="44" fontId="22" fillId="2" borderId="0" xfId="0" applyNumberFormat="1" applyFont="1" applyFill="1" applyProtection="1"/>
    <xf numFmtId="164" fontId="6" fillId="2" borderId="13" xfId="0" applyFont="1" applyFill="1" applyBorder="1"/>
    <xf numFmtId="167" fontId="6" fillId="2" borderId="2" xfId="0" applyNumberFormat="1" applyFont="1" applyFill="1" applyBorder="1"/>
    <xf numFmtId="167" fontId="6" fillId="2" borderId="13" xfId="0" applyNumberFormat="1" applyFont="1" applyFill="1" applyBorder="1"/>
    <xf numFmtId="167" fontId="6" fillId="2" borderId="0" xfId="0" applyNumberFormat="1" applyFont="1" applyFill="1" applyBorder="1"/>
    <xf numFmtId="164" fontId="3" fillId="2" borderId="2" xfId="0" applyFont="1" applyFill="1" applyBorder="1"/>
    <xf numFmtId="188" fontId="12" fillId="2" borderId="0" xfId="1" applyNumberFormat="1" applyFont="1" applyFill="1" applyBorder="1"/>
    <xf numFmtId="164" fontId="26" fillId="2" borderId="0" xfId="0" applyFont="1" applyFill="1"/>
    <xf numFmtId="49" fontId="20" fillId="2" borderId="0" xfId="0" applyNumberFormat="1" applyFont="1" applyFill="1" applyBorder="1"/>
    <xf numFmtId="44" fontId="20" fillId="2" borderId="0" xfId="0" applyNumberFormat="1" applyFont="1" applyFill="1" applyBorder="1" applyAlignment="1" applyProtection="1">
      <alignment horizontal="right"/>
    </xf>
    <xf numFmtId="169" fontId="5" fillId="2" borderId="2" xfId="3" applyNumberFormat="1" applyFont="1" applyFill="1" applyBorder="1" applyAlignment="1" applyProtection="1">
      <alignment horizontal="right"/>
    </xf>
    <xf numFmtId="169" fontId="5" fillId="2" borderId="13" xfId="3" applyNumberFormat="1" applyFont="1" applyFill="1" applyBorder="1" applyAlignment="1" applyProtection="1">
      <alignment horizontal="right"/>
    </xf>
    <xf numFmtId="169" fontId="5" fillId="2" borderId="13" xfId="0" applyNumberFormat="1" applyFont="1" applyFill="1" applyBorder="1" applyAlignment="1" applyProtection="1">
      <alignment horizontal="right"/>
    </xf>
    <xf numFmtId="169" fontId="1" fillId="2" borderId="2" xfId="0" applyNumberFormat="1" applyFont="1" applyFill="1" applyBorder="1"/>
    <xf numFmtId="169" fontId="1" fillId="2" borderId="3" xfId="0" applyNumberFormat="1" applyFont="1" applyFill="1" applyBorder="1"/>
    <xf numFmtId="170" fontId="11" fillId="2" borderId="0" xfId="0" applyNumberFormat="1" applyFont="1" applyFill="1" applyBorder="1" applyAlignment="1" applyProtection="1">
      <alignment horizontal="center"/>
    </xf>
    <xf numFmtId="44" fontId="22" fillId="2" borderId="13" xfId="0" applyNumberFormat="1" applyFont="1" applyFill="1" applyBorder="1" applyAlignment="1" applyProtection="1">
      <alignment horizontal="right"/>
    </xf>
    <xf numFmtId="164" fontId="4" fillId="2" borderId="0" xfId="0" applyFont="1" applyFill="1" applyAlignment="1">
      <alignment horizontal="left"/>
    </xf>
    <xf numFmtId="170" fontId="11" fillId="2" borderId="0" xfId="0" quotePrefix="1" applyNumberFormat="1" applyFont="1" applyFill="1" applyBorder="1" applyAlignment="1" applyProtection="1">
      <alignment horizontal="center"/>
    </xf>
    <xf numFmtId="44" fontId="32" fillId="2" borderId="0" xfId="0" applyNumberFormat="1" applyFont="1" applyFill="1" applyBorder="1" applyProtection="1"/>
    <xf numFmtId="164" fontId="5" fillId="2" borderId="0" xfId="0" applyFont="1" applyFill="1" applyBorder="1" applyAlignment="1" applyProtection="1">
      <alignment horizontal="left"/>
    </xf>
    <xf numFmtId="164" fontId="4" fillId="2" borderId="0" xfId="0" quotePrefix="1" applyFont="1" applyFill="1" applyAlignment="1">
      <alignment horizontal="center"/>
    </xf>
    <xf numFmtId="10" fontId="5" fillId="2" borderId="0" xfId="0" applyNumberFormat="1" applyFont="1" applyFill="1" applyProtection="1"/>
    <xf numFmtId="164" fontId="6" fillId="2" borderId="3" xfId="0" applyFont="1" applyFill="1" applyBorder="1"/>
    <xf numFmtId="49" fontId="6" fillId="2" borderId="0" xfId="0" applyNumberFormat="1" applyFont="1" applyFill="1" applyBorder="1"/>
    <xf numFmtId="168" fontId="4" fillId="2" borderId="3" xfId="0" applyNumberFormat="1" applyFont="1" applyFill="1" applyBorder="1" applyProtection="1"/>
    <xf numFmtId="168" fontId="4" fillId="2" borderId="0" xfId="0" applyNumberFormat="1" applyFont="1" applyFill="1" applyBorder="1" applyAlignment="1" applyProtection="1">
      <alignment horizontal="center"/>
    </xf>
    <xf numFmtId="187" fontId="4" fillId="2" borderId="13" xfId="1" applyNumberFormat="1" applyFont="1" applyFill="1" applyBorder="1" applyAlignment="1" applyProtection="1">
      <alignment horizontal="center"/>
    </xf>
    <xf numFmtId="188" fontId="3" fillId="2" borderId="3" xfId="1" applyNumberFormat="1" applyFont="1" applyFill="1" applyBorder="1"/>
    <xf numFmtId="188" fontId="13" fillId="2" borderId="13" xfId="1" applyNumberFormat="1" applyFont="1" applyFill="1" applyBorder="1"/>
    <xf numFmtId="188" fontId="3" fillId="2" borderId="13" xfId="1" applyNumberFormat="1" applyFont="1" applyFill="1" applyBorder="1"/>
    <xf numFmtId="188" fontId="3" fillId="2" borderId="0" xfId="1" applyNumberFormat="1" applyFont="1" applyFill="1" applyBorder="1"/>
    <xf numFmtId="7" fontId="5" fillId="2" borderId="19" xfId="0" applyNumberFormat="1" applyFont="1" applyFill="1" applyBorder="1" applyProtection="1"/>
    <xf numFmtId="164" fontId="5" fillId="2" borderId="12" xfId="0" applyFont="1" applyFill="1" applyBorder="1"/>
    <xf numFmtId="167" fontId="5" fillId="2" borderId="20" xfId="0" applyNumberFormat="1" applyFont="1" applyFill="1" applyBorder="1" applyProtection="1"/>
    <xf numFmtId="169" fontId="5" fillId="2" borderId="28" xfId="0" applyNumberFormat="1" applyFont="1" applyFill="1" applyBorder="1" applyProtection="1"/>
    <xf numFmtId="44" fontId="5" fillId="2" borderId="19" xfId="2" applyFont="1" applyFill="1" applyBorder="1" applyProtection="1"/>
    <xf numFmtId="44" fontId="5" fillId="2" borderId="12" xfId="2" applyFont="1" applyFill="1" applyBorder="1" applyProtection="1"/>
    <xf numFmtId="167" fontId="5" fillId="2" borderId="28" xfId="0" applyNumberFormat="1" applyFont="1" applyFill="1" applyBorder="1" applyProtection="1"/>
    <xf numFmtId="167" fontId="5" fillId="2" borderId="19" xfId="0" applyNumberFormat="1" applyFont="1" applyFill="1" applyBorder="1" applyProtection="1"/>
    <xf numFmtId="167" fontId="5" fillId="2" borderId="12" xfId="0" applyNumberFormat="1" applyFont="1" applyFill="1" applyBorder="1" applyProtection="1"/>
    <xf numFmtId="169" fontId="5" fillId="2" borderId="19" xfId="0" applyNumberFormat="1" applyFont="1" applyFill="1" applyBorder="1" applyProtection="1"/>
    <xf numFmtId="169" fontId="5" fillId="2" borderId="12" xfId="0" applyNumberFormat="1" applyFont="1" applyFill="1" applyBorder="1" applyProtection="1"/>
    <xf numFmtId="169" fontId="5" fillId="2" borderId="12" xfId="3" applyNumberFormat="1" applyFont="1" applyFill="1" applyBorder="1" applyProtection="1"/>
    <xf numFmtId="169" fontId="5" fillId="2" borderId="20" xfId="3" applyNumberFormat="1" applyFont="1" applyFill="1" applyBorder="1" applyProtection="1"/>
    <xf numFmtId="0" fontId="5" fillId="2" borderId="19" xfId="2" applyNumberFormat="1" applyFont="1" applyFill="1" applyBorder="1" applyProtection="1"/>
    <xf numFmtId="0" fontId="5" fillId="2" borderId="12" xfId="2" applyNumberFormat="1" applyFont="1" applyFill="1" applyBorder="1" applyAlignment="1" applyProtection="1">
      <alignment horizontal="center"/>
    </xf>
    <xf numFmtId="187" fontId="5" fillId="2" borderId="20" xfId="1" applyNumberFormat="1" applyFont="1" applyFill="1" applyBorder="1" applyAlignment="1" applyProtection="1">
      <alignment horizontal="center"/>
    </xf>
    <xf numFmtId="189" fontId="1" fillId="2" borderId="19" xfId="2" applyNumberFormat="1" applyFont="1" applyFill="1" applyBorder="1" applyProtection="1"/>
    <xf numFmtId="189" fontId="1" fillId="2" borderId="12" xfId="2" applyNumberFormat="1" applyFont="1" applyFill="1" applyBorder="1" applyProtection="1"/>
    <xf numFmtId="189" fontId="1" fillId="2" borderId="20" xfId="2" applyNumberFormat="1" applyFont="1" applyFill="1" applyBorder="1" applyProtection="1"/>
    <xf numFmtId="164" fontId="6" fillId="2" borderId="0" xfId="0" applyFont="1" applyFill="1" applyAlignment="1" applyProtection="1">
      <alignment horizontal="left"/>
    </xf>
    <xf numFmtId="193" fontId="5" fillId="2" borderId="0" xfId="0" applyNumberFormat="1" applyFont="1" applyFill="1"/>
    <xf numFmtId="168" fontId="4" fillId="2" borderId="0" xfId="0" applyNumberFormat="1" applyFont="1" applyFill="1" applyProtection="1"/>
    <xf numFmtId="168" fontId="4" fillId="2" borderId="0" xfId="0" applyNumberFormat="1" applyFont="1" applyFill="1" applyAlignment="1" applyProtection="1">
      <alignment horizontal="center"/>
    </xf>
    <xf numFmtId="187" fontId="4" fillId="2" borderId="0" xfId="1" applyNumberFormat="1" applyFont="1" applyFill="1" applyAlignment="1" applyProtection="1">
      <alignment horizontal="center"/>
    </xf>
    <xf numFmtId="164" fontId="4" fillId="2" borderId="0" xfId="0" applyFont="1" applyFill="1" applyBorder="1" applyAlignment="1" applyProtection="1">
      <alignment horizontal="left"/>
    </xf>
    <xf numFmtId="164" fontId="17" fillId="2" borderId="0" xfId="0" applyFont="1" applyFill="1"/>
    <xf numFmtId="164" fontId="17" fillId="2" borderId="9" xfId="0" applyFont="1" applyFill="1" applyBorder="1" applyAlignment="1"/>
    <xf numFmtId="164" fontId="17" fillId="2" borderId="0" xfId="0" applyFont="1" applyFill="1" applyBorder="1" applyAlignment="1">
      <alignment horizontal="center"/>
    </xf>
    <xf numFmtId="164" fontId="17" fillId="2" borderId="8" xfId="0" applyFont="1" applyFill="1" applyBorder="1" applyAlignment="1">
      <alignment horizontal="left"/>
    </xf>
    <xf numFmtId="164" fontId="39" fillId="2" borderId="0" xfId="0" quotePrefix="1" applyFont="1" applyFill="1" applyBorder="1" applyAlignment="1" applyProtection="1">
      <alignment horizontal="left"/>
    </xf>
    <xf numFmtId="164" fontId="17" fillId="2" borderId="0" xfId="0" applyFont="1" applyFill="1" applyBorder="1"/>
    <xf numFmtId="10" fontId="17" fillId="2" borderId="0" xfId="0" applyNumberFormat="1" applyFont="1" applyFill="1" applyProtection="1"/>
    <xf numFmtId="10" fontId="17" fillId="2" borderId="0" xfId="0" applyNumberFormat="1" applyFont="1" applyFill="1" applyBorder="1" applyProtection="1"/>
    <xf numFmtId="164" fontId="17" fillId="2" borderId="8" xfId="0" quotePrefix="1" applyFont="1" applyFill="1" applyBorder="1" applyAlignment="1">
      <alignment horizontal="center"/>
    </xf>
    <xf numFmtId="164" fontId="39" fillId="2" borderId="0" xfId="0" applyFont="1" applyFill="1" applyBorder="1" applyAlignment="1">
      <alignment horizontal="center"/>
    </xf>
    <xf numFmtId="164" fontId="17" fillId="2" borderId="0" xfId="0" applyFont="1" applyFill="1" applyBorder="1" applyProtection="1">
      <protection locked="0"/>
    </xf>
    <xf numFmtId="44" fontId="5" fillId="2" borderId="2" xfId="2" applyFont="1" applyFill="1" applyBorder="1"/>
    <xf numFmtId="44" fontId="5" fillId="2" borderId="28" xfId="2" applyFont="1" applyFill="1" applyBorder="1"/>
    <xf numFmtId="164" fontId="17" fillId="2" borderId="10" xfId="0" applyFont="1" applyFill="1" applyBorder="1" applyAlignment="1">
      <alignment horizontal="centerContinuous"/>
    </xf>
    <xf numFmtId="164" fontId="17" fillId="2" borderId="11" xfId="0" applyFont="1" applyFill="1" applyBorder="1" applyAlignment="1">
      <alignment horizontal="centerContinuous"/>
    </xf>
    <xf numFmtId="164" fontId="17" fillId="2" borderId="7" xfId="0" applyFont="1" applyFill="1" applyBorder="1" applyAlignment="1">
      <alignment horizontal="centerContinuous"/>
    </xf>
    <xf numFmtId="164" fontId="4" fillId="2" borderId="9" xfId="0" applyFont="1" applyFill="1" applyBorder="1"/>
    <xf numFmtId="164" fontId="4" fillId="2" borderId="0" xfId="0" applyFont="1" applyFill="1" applyBorder="1"/>
    <xf numFmtId="164" fontId="17" fillId="2" borderId="4" xfId="0" applyFont="1" applyFill="1" applyBorder="1" applyAlignment="1" applyProtection="1">
      <alignment horizontal="center"/>
    </xf>
    <xf numFmtId="164" fontId="17" fillId="2" borderId="5" xfId="0" applyFont="1" applyFill="1" applyBorder="1"/>
    <xf numFmtId="164" fontId="17" fillId="2" borderId="6" xfId="0" applyFont="1" applyFill="1" applyBorder="1"/>
    <xf numFmtId="164" fontId="17" fillId="2" borderId="3" xfId="0" applyFont="1" applyFill="1" applyBorder="1" applyAlignment="1">
      <alignment horizontal="center"/>
    </xf>
    <xf numFmtId="164" fontId="17" fillId="2" borderId="13" xfId="0" applyFont="1" applyFill="1" applyBorder="1" applyAlignment="1">
      <alignment horizontal="center"/>
    </xf>
    <xf numFmtId="164" fontId="17" fillId="2" borderId="2" xfId="0" applyFont="1" applyFill="1" applyBorder="1" applyAlignment="1" applyProtection="1">
      <alignment horizontal="center"/>
    </xf>
    <xf numFmtId="170" fontId="21" fillId="2" borderId="8" xfId="0" applyNumberFormat="1" applyFont="1" applyFill="1" applyBorder="1" applyAlignment="1" applyProtection="1">
      <alignment horizontal="center"/>
    </xf>
    <xf numFmtId="164" fontId="17" fillId="2" borderId="19" xfId="0" applyFont="1" applyFill="1" applyBorder="1" applyAlignment="1" applyProtection="1">
      <alignment horizontal="center"/>
    </xf>
    <xf numFmtId="164" fontId="17" fillId="2" borderId="12" xfId="0" applyFont="1" applyFill="1" applyBorder="1"/>
    <xf numFmtId="164" fontId="17" fillId="2" borderId="20" xfId="0" applyFont="1" applyFill="1" applyBorder="1" applyAlignment="1">
      <alignment horizontal="center"/>
    </xf>
    <xf numFmtId="164" fontId="4" fillId="2" borderId="18" xfId="0" applyFont="1" applyFill="1" applyBorder="1" applyAlignment="1">
      <alignment horizontal="center"/>
    </xf>
    <xf numFmtId="10" fontId="17" fillId="2" borderId="18" xfId="0" applyNumberFormat="1" applyFont="1" applyFill="1" applyBorder="1" applyProtection="1"/>
    <xf numFmtId="164" fontId="17" fillId="2" borderId="29" xfId="0" applyFont="1" applyFill="1" applyBorder="1" applyAlignment="1" applyProtection="1">
      <alignment horizontal="center"/>
    </xf>
    <xf numFmtId="164" fontId="17" fillId="2" borderId="18" xfId="0" applyFont="1" applyFill="1" applyBorder="1" applyAlignment="1" applyProtection="1">
      <alignment horizontal="center"/>
    </xf>
    <xf numFmtId="164" fontId="17" fillId="2" borderId="30" xfId="0" applyFont="1" applyFill="1" applyBorder="1" applyAlignment="1" applyProtection="1">
      <alignment horizontal="center"/>
    </xf>
    <xf numFmtId="164" fontId="4" fillId="2" borderId="30" xfId="0" applyFont="1" applyFill="1" applyBorder="1"/>
    <xf numFmtId="164" fontId="17" fillId="2" borderId="31" xfId="0" applyFont="1" applyFill="1" applyBorder="1" applyAlignment="1" applyProtection="1">
      <alignment horizontal="center"/>
    </xf>
    <xf numFmtId="200" fontId="38" fillId="2" borderId="3" xfId="2" applyNumberFormat="1" applyFont="1" applyFill="1" applyBorder="1"/>
    <xf numFmtId="186" fontId="5" fillId="2" borderId="13" xfId="1" applyNumberFormat="1" applyFont="1" applyFill="1" applyBorder="1"/>
    <xf numFmtId="186" fontId="5" fillId="2" borderId="0" xfId="1" applyNumberFormat="1" applyFont="1" applyFill="1" applyBorder="1"/>
    <xf numFmtId="3" fontId="5" fillId="2" borderId="0" xfId="1" applyNumberFormat="1" applyFont="1" applyFill="1" applyBorder="1" applyAlignment="1">
      <alignment horizontal="right"/>
    </xf>
    <xf numFmtId="169" fontId="5" fillId="2" borderId="0" xfId="3" applyNumberFormat="1" applyFont="1" applyFill="1" applyBorder="1" applyProtection="1"/>
    <xf numFmtId="164" fontId="35" fillId="2" borderId="0" xfId="0" applyFont="1" applyFill="1" applyBorder="1"/>
    <xf numFmtId="200" fontId="38" fillId="2" borderId="3" xfId="2" applyNumberFormat="1" applyFont="1" applyFill="1" applyBorder="1" applyAlignment="1">
      <alignment horizontal="center"/>
    </xf>
    <xf numFmtId="200" fontId="5" fillId="2" borderId="13" xfId="2" applyNumberFormat="1" applyFont="1" applyFill="1" applyBorder="1" applyAlignment="1">
      <alignment horizontal="center"/>
    </xf>
    <xf numFmtId="186" fontId="5" fillId="2" borderId="0" xfId="1" applyNumberFormat="1" applyFont="1" applyFill="1" applyBorder="1" applyAlignment="1">
      <alignment horizontal="center"/>
    </xf>
    <xf numFmtId="44" fontId="5" fillId="2" borderId="0" xfId="2" applyFont="1" applyFill="1"/>
    <xf numFmtId="199" fontId="5" fillId="2" borderId="3" xfId="2" applyNumberFormat="1" applyFont="1" applyFill="1" applyBorder="1"/>
    <xf numFmtId="44" fontId="5" fillId="2" borderId="3" xfId="2" applyFont="1" applyFill="1" applyBorder="1"/>
    <xf numFmtId="169" fontId="5" fillId="2" borderId="3" xfId="3" applyNumberFormat="1" applyFont="1" applyFill="1" applyBorder="1" applyProtection="1"/>
    <xf numFmtId="198" fontId="5" fillId="2" borderId="0" xfId="0" applyNumberFormat="1" applyFont="1" applyFill="1" applyBorder="1" applyProtection="1"/>
    <xf numFmtId="198" fontId="5" fillId="2" borderId="13" xfId="0" applyNumberFormat="1" applyFont="1" applyFill="1" applyBorder="1" applyProtection="1"/>
    <xf numFmtId="199" fontId="5" fillId="2" borderId="19" xfId="2" applyNumberFormat="1" applyFont="1" applyFill="1" applyBorder="1"/>
    <xf numFmtId="186" fontId="5" fillId="2" borderId="20" xfId="1" applyNumberFormat="1" applyFont="1" applyFill="1" applyBorder="1"/>
    <xf numFmtId="44" fontId="5" fillId="2" borderId="19" xfId="2" applyFont="1" applyFill="1" applyBorder="1"/>
    <xf numFmtId="44" fontId="5" fillId="2" borderId="20" xfId="2" applyFont="1" applyFill="1" applyBorder="1"/>
    <xf numFmtId="44" fontId="5" fillId="2" borderId="0" xfId="2" applyFont="1" applyFill="1" applyBorder="1"/>
    <xf numFmtId="169" fontId="5" fillId="2" borderId="19" xfId="3" applyNumberFormat="1" applyFont="1" applyFill="1" applyBorder="1" applyProtection="1"/>
    <xf numFmtId="10" fontId="5" fillId="2" borderId="12" xfId="0" applyNumberFormat="1" applyFont="1" applyFill="1" applyBorder="1" applyProtection="1"/>
    <xf numFmtId="169" fontId="1" fillId="2" borderId="28" xfId="0" applyNumberFormat="1" applyFont="1" applyFill="1" applyBorder="1"/>
    <xf numFmtId="164" fontId="17" fillId="2" borderId="0" xfId="0" applyFont="1" applyFill="1" applyAlignment="1">
      <alignment horizontal="center"/>
    </xf>
    <xf numFmtId="164" fontId="40" fillId="2" borderId="4" xfId="0" applyFont="1" applyFill="1" applyBorder="1" applyAlignment="1">
      <alignment horizontal="centerContinuous"/>
    </xf>
    <xf numFmtId="164" fontId="4" fillId="2" borderId="5" xfId="0" applyFont="1" applyFill="1" applyBorder="1" applyAlignment="1">
      <alignment horizontal="centerContinuous"/>
    </xf>
    <xf numFmtId="164" fontId="4" fillId="2" borderId="6" xfId="0" applyFont="1" applyFill="1" applyBorder="1" applyAlignment="1">
      <alignment horizontal="centerContinuous"/>
    </xf>
    <xf numFmtId="164" fontId="4" fillId="2" borderId="0" xfId="0" applyFont="1" applyFill="1" applyBorder="1" applyAlignment="1">
      <alignment horizontal="centerContinuous"/>
    </xf>
    <xf numFmtId="164" fontId="40" fillId="2" borderId="0" xfId="0" applyFont="1" applyFill="1" applyBorder="1" applyAlignment="1">
      <alignment horizontal="center"/>
    </xf>
    <xf numFmtId="164" fontId="17" fillId="2" borderId="9" xfId="0" applyFont="1" applyFill="1" applyBorder="1" applyAlignment="1">
      <alignment horizontal="center"/>
    </xf>
    <xf numFmtId="164" fontId="4" fillId="2" borderId="0" xfId="0" applyFont="1" applyFill="1" applyAlignment="1">
      <alignment horizontal="centerContinuous"/>
    </xf>
    <xf numFmtId="187" fontId="4" fillId="2" borderId="0" xfId="1" applyNumberFormat="1" applyFont="1" applyFill="1" applyAlignment="1">
      <alignment horizontal="centerContinuous"/>
    </xf>
    <xf numFmtId="164" fontId="41" fillId="2" borderId="0" xfId="0" applyFont="1" applyFill="1" applyAlignment="1">
      <alignment horizontal="centerContinuous"/>
    </xf>
    <xf numFmtId="164" fontId="17" fillId="2" borderId="0" xfId="0" applyFont="1" applyFill="1" applyBorder="1" applyAlignment="1" applyProtection="1">
      <alignment horizontal="center"/>
    </xf>
    <xf numFmtId="164" fontId="17" fillId="2" borderId="5" xfId="0" applyFont="1" applyFill="1" applyBorder="1" applyAlignment="1" applyProtection="1">
      <alignment horizontal="center"/>
    </xf>
    <xf numFmtId="164" fontId="17" fillId="2" borderId="2" xfId="0" applyFont="1" applyFill="1" applyBorder="1" applyAlignment="1">
      <alignment horizontal="center"/>
    </xf>
    <xf numFmtId="164" fontId="17" fillId="2" borderId="3" xfId="0" applyFont="1" applyFill="1" applyBorder="1" applyAlignment="1" applyProtection="1">
      <alignment horizontal="center"/>
    </xf>
    <xf numFmtId="170" fontId="21" fillId="2" borderId="5" xfId="0" applyNumberFormat="1" applyFont="1" applyFill="1" applyBorder="1" applyAlignment="1" applyProtection="1">
      <alignment horizontal="center"/>
    </xf>
    <xf numFmtId="14" fontId="42" fillId="2" borderId="5" xfId="0" applyNumberFormat="1" applyFont="1" applyFill="1" applyBorder="1" applyAlignment="1">
      <alignment horizontal="center"/>
    </xf>
    <xf numFmtId="170" fontId="11" fillId="2" borderId="6" xfId="0" quotePrefix="1" applyNumberFormat="1" applyFont="1" applyFill="1" applyBorder="1" applyAlignment="1">
      <alignment horizontal="center"/>
    </xf>
    <xf numFmtId="164" fontId="17" fillId="2" borderId="14" xfId="0" applyFont="1" applyFill="1" applyBorder="1" applyAlignment="1" applyProtection="1">
      <alignment horizontal="left"/>
    </xf>
    <xf numFmtId="164" fontId="17" fillId="2" borderId="15" xfId="0" applyFont="1" applyFill="1" applyBorder="1" applyAlignment="1" applyProtection="1">
      <alignment horizontal="center"/>
    </xf>
    <xf numFmtId="164" fontId="17" fillId="2" borderId="0" xfId="0" quotePrefix="1" applyFont="1" applyFill="1" applyBorder="1"/>
    <xf numFmtId="164" fontId="17" fillId="2" borderId="16" xfId="0" applyFont="1" applyFill="1" applyBorder="1" applyAlignment="1" applyProtection="1">
      <alignment horizontal="center"/>
    </xf>
    <xf numFmtId="164" fontId="17" fillId="2" borderId="17" xfId="0" applyFont="1" applyFill="1" applyBorder="1" applyAlignment="1" applyProtection="1">
      <alignment horizontal="center"/>
    </xf>
    <xf numFmtId="44" fontId="20" fillId="2" borderId="32" xfId="0" applyNumberFormat="1" applyFont="1" applyFill="1" applyBorder="1" applyProtection="1"/>
    <xf numFmtId="44" fontId="20" fillId="2" borderId="33" xfId="0" applyNumberFormat="1" applyFont="1" applyFill="1" applyBorder="1" applyProtection="1"/>
    <xf numFmtId="167" fontId="5" fillId="2" borderId="34" xfId="0" applyNumberFormat="1" applyFont="1" applyFill="1" applyBorder="1" applyAlignment="1" applyProtection="1">
      <alignment horizontal="center"/>
    </xf>
    <xf numFmtId="167" fontId="5" fillId="2" borderId="0" xfId="0" applyNumberFormat="1" applyFont="1" applyFill="1" applyBorder="1" applyAlignment="1" applyProtection="1">
      <alignment horizontal="center"/>
    </xf>
    <xf numFmtId="169" fontId="5" fillId="2" borderId="20" xfId="0" applyNumberFormat="1" applyFont="1" applyFill="1" applyBorder="1" applyProtection="1"/>
    <xf numFmtId="164" fontId="3" fillId="2" borderId="12" xfId="0" applyFont="1" applyFill="1" applyBorder="1"/>
    <xf numFmtId="168" fontId="4" fillId="2" borderId="19" xfId="0" applyNumberFormat="1" applyFont="1" applyFill="1" applyBorder="1" applyProtection="1"/>
    <xf numFmtId="170" fontId="11" fillId="2" borderId="12" xfId="0" applyNumberFormat="1" applyFont="1" applyFill="1" applyBorder="1" applyAlignment="1" applyProtection="1">
      <alignment horizontal="center"/>
    </xf>
    <xf numFmtId="187" fontId="11" fillId="2" borderId="20" xfId="1" applyNumberFormat="1" applyFont="1" applyFill="1" applyBorder="1" applyAlignment="1" applyProtection="1">
      <alignment horizontal="center"/>
    </xf>
    <xf numFmtId="188" fontId="12" fillId="2" borderId="12" xfId="1" applyNumberFormat="1" applyFont="1" applyFill="1" applyBorder="1"/>
    <xf numFmtId="44" fontId="22" fillId="2" borderId="12" xfId="0" applyNumberFormat="1" applyFont="1" applyFill="1" applyBorder="1" applyProtection="1"/>
    <xf numFmtId="168" fontId="4" fillId="2" borderId="0" xfId="0" applyNumberFormat="1" applyFont="1" applyFill="1" applyBorder="1" applyProtection="1"/>
    <xf numFmtId="187" fontId="4" fillId="2" borderId="0" xfId="1" applyNumberFormat="1" applyFont="1" applyFill="1" applyBorder="1" applyAlignment="1" applyProtection="1">
      <alignment horizontal="center"/>
    </xf>
    <xf numFmtId="164" fontId="4" fillId="2" borderId="0" xfId="0" applyFont="1" applyFill="1" applyAlignment="1" applyProtection="1">
      <alignment horizontal="left"/>
    </xf>
    <xf numFmtId="186" fontId="5" fillId="2" borderId="0" xfId="1" applyNumberFormat="1" applyFont="1" applyFill="1"/>
    <xf numFmtId="164" fontId="23" fillId="2" borderId="4" xfId="0" quotePrefix="1" applyFont="1" applyFill="1" applyBorder="1" applyAlignment="1" applyProtection="1">
      <alignment horizontal="left"/>
    </xf>
    <xf numFmtId="164" fontId="24" fillId="2" borderId="5" xfId="0" applyFont="1" applyFill="1" applyBorder="1"/>
    <xf numFmtId="164" fontId="5" fillId="2" borderId="5" xfId="0" applyFont="1" applyFill="1" applyBorder="1" applyAlignment="1">
      <alignment horizontal="center"/>
    </xf>
    <xf numFmtId="164" fontId="14" fillId="2" borderId="5" xfId="0" applyFont="1" applyFill="1" applyBorder="1"/>
    <xf numFmtId="164" fontId="25" fillId="2" borderId="5" xfId="0" applyFont="1" applyFill="1" applyBorder="1" applyAlignment="1">
      <alignment horizontal="center"/>
    </xf>
    <xf numFmtId="164" fontId="5" fillId="2" borderId="5" xfId="0" applyFont="1" applyFill="1" applyBorder="1" applyProtection="1">
      <protection locked="0"/>
    </xf>
    <xf numFmtId="164" fontId="25" fillId="2" borderId="6" xfId="0" applyFont="1" applyFill="1" applyBorder="1" applyAlignment="1">
      <alignment horizontal="center"/>
    </xf>
    <xf numFmtId="164" fontId="25" fillId="2" borderId="0" xfId="0" applyFont="1" applyFill="1" applyBorder="1" applyAlignment="1">
      <alignment horizontal="center"/>
    </xf>
    <xf numFmtId="164" fontId="5" fillId="2" borderId="0" xfId="0" applyFont="1" applyFill="1" applyProtection="1">
      <protection locked="0"/>
    </xf>
    <xf numFmtId="164" fontId="5" fillId="2" borderId="0" xfId="0" applyFont="1" applyFill="1" applyBorder="1" applyProtection="1">
      <protection locked="0"/>
    </xf>
    <xf numFmtId="187" fontId="9" fillId="2" borderId="0" xfId="1" applyNumberFormat="1" applyFont="1" applyFill="1" applyAlignment="1">
      <alignment horizontal="center"/>
    </xf>
    <xf numFmtId="164" fontId="26" fillId="2" borderId="3" xfId="0" applyFont="1" applyFill="1" applyBorder="1" applyAlignment="1" applyProtection="1">
      <alignment horizontal="left"/>
    </xf>
    <xf numFmtId="164" fontId="27" fillId="2" borderId="0" xfId="0" applyFont="1" applyFill="1" applyBorder="1"/>
    <xf numFmtId="164" fontId="26" fillId="2" borderId="0" xfId="0" applyFont="1" applyFill="1" applyBorder="1" applyAlignment="1">
      <alignment horizontal="center"/>
    </xf>
    <xf numFmtId="164" fontId="26" fillId="2" borderId="13" xfId="0" applyFont="1" applyFill="1" applyBorder="1" applyAlignment="1">
      <alignment horizontal="center"/>
    </xf>
    <xf numFmtId="164" fontId="3" fillId="2" borderId="0" xfId="0" applyFont="1" applyFill="1" applyProtection="1">
      <protection locked="0"/>
    </xf>
    <xf numFmtId="164" fontId="5" fillId="2" borderId="3" xfId="0" applyFont="1" applyFill="1" applyBorder="1" applyAlignment="1" applyProtection="1">
      <alignment horizontal="left"/>
    </xf>
    <xf numFmtId="44" fontId="5" fillId="2" borderId="0" xfId="0" applyNumberFormat="1" applyFont="1" applyFill="1" applyBorder="1" applyAlignment="1">
      <alignment horizontal="left"/>
    </xf>
    <xf numFmtId="44" fontId="5" fillId="2" borderId="0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Alignment="1" applyProtection="1">
      <alignment horizontal="centerContinuous"/>
      <protection locked="0"/>
    </xf>
    <xf numFmtId="44" fontId="5" fillId="2" borderId="13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Protection="1">
      <protection locked="0"/>
    </xf>
    <xf numFmtId="44" fontId="5" fillId="2" borderId="13" xfId="2" applyFont="1" applyFill="1" applyBorder="1" applyProtection="1">
      <protection locked="0"/>
    </xf>
    <xf numFmtId="44" fontId="5" fillId="2" borderId="0" xfId="2" applyFont="1" applyFill="1" applyBorder="1" applyAlignment="1" applyProtection="1">
      <alignment horizontal="right"/>
      <protection locked="0"/>
    </xf>
    <xf numFmtId="44" fontId="5" fillId="2" borderId="13" xfId="2" applyFont="1" applyFill="1" applyBorder="1" applyAlignment="1" applyProtection="1">
      <alignment horizontal="right"/>
      <protection locked="0"/>
    </xf>
    <xf numFmtId="43" fontId="5" fillId="2" borderId="0" xfId="0" applyNumberFormat="1" applyFont="1" applyFill="1" applyBorder="1" applyProtection="1">
      <protection locked="0"/>
    </xf>
    <xf numFmtId="164" fontId="5" fillId="2" borderId="3" xfId="0" applyFont="1" applyFill="1" applyBorder="1" applyAlignment="1">
      <alignment horizontal="left"/>
    </xf>
    <xf numFmtId="43" fontId="28" fillId="2" borderId="0" xfId="0" applyNumberFormat="1" applyFont="1" applyFill="1" applyBorder="1" applyProtection="1">
      <protection locked="0"/>
    </xf>
    <xf numFmtId="164" fontId="29" fillId="2" borderId="0" xfId="0" applyFont="1" applyFill="1" applyBorder="1" applyProtection="1">
      <protection locked="0"/>
    </xf>
    <xf numFmtId="164" fontId="7" fillId="2" borderId="0" xfId="0" applyFont="1" applyFill="1"/>
    <xf numFmtId="164" fontId="29" fillId="2" borderId="0" xfId="0" applyFont="1" applyFill="1" applyProtection="1">
      <protection locked="0"/>
    </xf>
    <xf numFmtId="164" fontId="7" fillId="2" borderId="0" xfId="0" applyFont="1" applyFill="1" applyProtection="1">
      <protection locked="0"/>
    </xf>
    <xf numFmtId="164" fontId="7" fillId="2" borderId="0" xfId="0" applyFont="1" applyFill="1" applyAlignment="1">
      <alignment horizontal="center"/>
    </xf>
    <xf numFmtId="187" fontId="7" fillId="2" borderId="0" xfId="1" applyNumberFormat="1" applyFont="1" applyFill="1" applyAlignment="1">
      <alignment horizontal="center"/>
    </xf>
    <xf numFmtId="164" fontId="30" fillId="2" borderId="0" xfId="0" applyFont="1" applyFill="1" applyBorder="1" applyProtection="1">
      <protection locked="0"/>
    </xf>
    <xf numFmtId="164" fontId="30" fillId="2" borderId="0" xfId="0" applyFont="1" applyFill="1" applyProtection="1">
      <protection locked="0"/>
    </xf>
    <xf numFmtId="164" fontId="3" fillId="2" borderId="0" xfId="0" applyFont="1" applyFill="1" applyAlignment="1">
      <alignment horizontal="center"/>
    </xf>
    <xf numFmtId="187" fontId="3" fillId="2" borderId="0" xfId="1" applyNumberFormat="1" applyFont="1" applyFill="1" applyAlignment="1">
      <alignment horizontal="center"/>
    </xf>
    <xf numFmtId="164" fontId="5" fillId="2" borderId="3" xfId="0" quotePrefix="1" applyFont="1" applyFill="1" applyBorder="1" applyAlignment="1">
      <alignment horizontal="left"/>
    </xf>
    <xf numFmtId="164" fontId="5" fillId="2" borderId="19" xfId="0" applyFont="1" applyFill="1" applyBorder="1" applyAlignment="1">
      <alignment horizontal="centerContinuous"/>
    </xf>
    <xf numFmtId="164" fontId="14" fillId="2" borderId="12" xfId="0" applyFont="1" applyFill="1" applyBorder="1"/>
    <xf numFmtId="44" fontId="31" fillId="2" borderId="12" xfId="0" applyNumberFormat="1" applyFont="1" applyFill="1" applyBorder="1" applyAlignment="1" applyProtection="1">
      <alignment horizontal="left"/>
    </xf>
    <xf numFmtId="43" fontId="5" fillId="2" borderId="12" xfId="0" applyNumberFormat="1" applyFont="1" applyFill="1" applyBorder="1" applyProtection="1">
      <protection locked="0"/>
    </xf>
    <xf numFmtId="164" fontId="30" fillId="2" borderId="12" xfId="0" applyFont="1" applyFill="1" applyBorder="1" applyProtection="1">
      <protection locked="0"/>
    </xf>
    <xf numFmtId="44" fontId="5" fillId="2" borderId="12" xfId="2" applyFont="1" applyFill="1" applyBorder="1" applyProtection="1">
      <protection locked="0"/>
    </xf>
    <xf numFmtId="44" fontId="5" fillId="2" borderId="20" xfId="2" applyNumberFormat="1" applyFont="1" applyFill="1" applyBorder="1" applyProtection="1">
      <protection locked="0"/>
    </xf>
    <xf numFmtId="43" fontId="5" fillId="2" borderId="0" xfId="0" applyNumberFormat="1" applyFont="1" applyFill="1" applyProtection="1">
      <protection locked="0"/>
    </xf>
    <xf numFmtId="164" fontId="3" fillId="2" borderId="0" xfId="0" applyFont="1" applyFill="1" applyBorder="1" applyProtection="1">
      <protection locked="0"/>
    </xf>
    <xf numFmtId="2" fontId="5" fillId="2" borderId="0" xfId="0" applyNumberFormat="1" applyFont="1" applyFill="1" applyAlignment="1">
      <alignment horizontal="center"/>
    </xf>
    <xf numFmtId="43" fontId="5" fillId="2" borderId="0" xfId="0" applyNumberFormat="1" applyFont="1" applyFill="1"/>
    <xf numFmtId="164" fontId="30" fillId="2" borderId="0" xfId="0" applyFont="1" applyFill="1" applyBorder="1"/>
    <xf numFmtId="164" fontId="30" fillId="2" borderId="0" xfId="0" applyFont="1" applyFill="1"/>
    <xf numFmtId="2" fontId="6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164" fontId="43" fillId="2" borderId="0" xfId="0" applyFont="1" applyFill="1" applyAlignment="1" applyProtection="1">
      <alignment horizontal="left"/>
    </xf>
    <xf numFmtId="164" fontId="33" fillId="2" borderId="0" xfId="0" applyFont="1" applyFill="1"/>
    <xf numFmtId="164" fontId="33" fillId="2" borderId="0" xfId="0" applyFont="1" applyFill="1" applyAlignment="1">
      <alignment horizontal="center"/>
    </xf>
    <xf numFmtId="164" fontId="33" fillId="2" borderId="0" xfId="0" applyFont="1" applyFill="1" applyAlignment="1">
      <alignment horizontal="right"/>
    </xf>
    <xf numFmtId="164" fontId="37" fillId="2" borderId="0" xfId="0" applyFont="1" applyFill="1"/>
    <xf numFmtId="170" fontId="33" fillId="2" borderId="0" xfId="0" applyNumberFormat="1" applyFont="1" applyFill="1" applyAlignment="1">
      <alignment horizontal="right"/>
    </xf>
    <xf numFmtId="164" fontId="33" fillId="2" borderId="35" xfId="0" applyFont="1" applyFill="1" applyBorder="1" applyAlignment="1">
      <alignment horizontal="center"/>
    </xf>
    <xf numFmtId="164" fontId="34" fillId="2" borderId="36" xfId="0" applyFont="1" applyFill="1" applyBorder="1" applyAlignment="1">
      <alignment horizontal="center"/>
    </xf>
    <xf numFmtId="164" fontId="34" fillId="2" borderId="37" xfId="0" applyFont="1" applyFill="1" applyBorder="1" applyAlignment="1">
      <alignment horizontal="center" wrapText="1"/>
    </xf>
    <xf numFmtId="164" fontId="34" fillId="2" borderId="38" xfId="0" applyFont="1" applyFill="1" applyBorder="1"/>
    <xf numFmtId="164" fontId="34" fillId="2" borderId="38" xfId="0" applyFont="1" applyFill="1" applyBorder="1" applyAlignment="1">
      <alignment horizontal="center" wrapText="1"/>
    </xf>
    <xf numFmtId="164" fontId="33" fillId="2" borderId="38" xfId="0" applyFont="1" applyFill="1" applyBorder="1"/>
    <xf numFmtId="164" fontId="34" fillId="2" borderId="39" xfId="0" applyFont="1" applyFill="1" applyBorder="1" applyAlignment="1">
      <alignment horizontal="center" wrapText="1"/>
    </xf>
    <xf numFmtId="196" fontId="34" fillId="2" borderId="36" xfId="0" applyNumberFormat="1" applyFont="1" applyFill="1" applyBorder="1" applyAlignment="1">
      <alignment horizontal="center"/>
    </xf>
    <xf numFmtId="169" fontId="34" fillId="2" borderId="37" xfId="3" quotePrefix="1" applyNumberFormat="1" applyFont="1" applyFill="1" applyBorder="1" applyAlignment="1">
      <alignment horizontal="center"/>
    </xf>
    <xf numFmtId="164" fontId="34" fillId="2" borderId="38" xfId="0" applyFont="1" applyFill="1" applyBorder="1" applyAlignment="1">
      <alignment horizontal="center"/>
    </xf>
    <xf numFmtId="169" fontId="34" fillId="2" borderId="38" xfId="0" quotePrefix="1" applyNumberFormat="1" applyFont="1" applyFill="1" applyBorder="1" applyAlignment="1">
      <alignment horizontal="center"/>
    </xf>
    <xf numFmtId="169" fontId="34" fillId="2" borderId="39" xfId="0" quotePrefix="1" applyNumberFormat="1" applyFont="1" applyFill="1" applyBorder="1" applyAlignment="1">
      <alignment horizontal="center"/>
    </xf>
    <xf numFmtId="196" fontId="34" fillId="2" borderId="40" xfId="0" quotePrefix="1" applyNumberFormat="1" applyFont="1" applyFill="1" applyBorder="1" applyAlignment="1">
      <alignment horizontal="center"/>
    </xf>
    <xf numFmtId="169" fontId="34" fillId="2" borderId="41" xfId="3" quotePrefix="1" applyNumberFormat="1" applyFont="1" applyFill="1" applyBorder="1" applyAlignment="1">
      <alignment horizontal="center"/>
    </xf>
    <xf numFmtId="164" fontId="34" fillId="2" borderId="0" xfId="0" applyFont="1" applyFill="1" applyBorder="1" applyAlignment="1">
      <alignment horizontal="center"/>
    </xf>
    <xf numFmtId="169" fontId="34" fillId="2" borderId="0" xfId="3" quotePrefix="1" applyNumberFormat="1" applyFont="1" applyFill="1" applyBorder="1" applyAlignment="1">
      <alignment horizontal="center"/>
    </xf>
    <xf numFmtId="169" fontId="34" fillId="2" borderId="42" xfId="3" quotePrefix="1" applyNumberFormat="1" applyFont="1" applyFill="1" applyBorder="1" applyAlignment="1">
      <alignment horizontal="center"/>
    </xf>
    <xf numFmtId="164" fontId="33" fillId="2" borderId="0" xfId="0" applyFont="1" applyFill="1" applyBorder="1"/>
    <xf numFmtId="169" fontId="34" fillId="2" borderId="0" xfId="3" applyNumberFormat="1" applyFont="1" applyFill="1" applyBorder="1" applyAlignment="1">
      <alignment horizontal="center"/>
    </xf>
    <xf numFmtId="164" fontId="33" fillId="2" borderId="0" xfId="0" quotePrefix="1" applyFont="1" applyFill="1" applyAlignment="1">
      <alignment horizontal="left"/>
    </xf>
    <xf numFmtId="164" fontId="36" fillId="2" borderId="43" xfId="0" applyFont="1" applyFill="1" applyBorder="1" applyAlignment="1">
      <alignment horizontal="center"/>
    </xf>
    <xf numFmtId="169" fontId="36" fillId="2" borderId="44" xfId="3" applyNumberFormat="1" applyFont="1" applyFill="1" applyBorder="1" applyAlignment="1">
      <alignment horizontal="center"/>
    </xf>
    <xf numFmtId="164" fontId="33" fillId="2" borderId="18" xfId="0" applyFont="1" applyFill="1" applyBorder="1"/>
    <xf numFmtId="169" fontId="7" fillId="2" borderId="18" xfId="3" applyNumberFormat="1" applyFont="1" applyFill="1" applyBorder="1" applyAlignment="1" applyProtection="1">
      <alignment horizontal="center"/>
    </xf>
    <xf numFmtId="9" fontId="36" fillId="2" borderId="18" xfId="3" applyFont="1" applyFill="1" applyBorder="1"/>
    <xf numFmtId="169" fontId="34" fillId="2" borderId="45" xfId="3" quotePrefix="1" applyNumberFormat="1" applyFont="1" applyFill="1" applyBorder="1" applyAlignment="1">
      <alignment horizontal="center"/>
    </xf>
    <xf numFmtId="9" fontId="36" fillId="2" borderId="0" xfId="3" applyFont="1" applyFill="1"/>
    <xf numFmtId="196" fontId="34" fillId="2" borderId="0" xfId="0" applyNumberFormat="1" applyFont="1" applyFill="1" applyBorder="1" applyAlignment="1">
      <alignment horizontal="center"/>
    </xf>
    <xf numFmtId="169" fontId="5" fillId="2" borderId="0" xfId="0" applyNumberFormat="1" applyFont="1" applyFill="1" applyBorder="1" applyAlignment="1" applyProtection="1">
      <alignment horizontal="right"/>
    </xf>
    <xf numFmtId="187" fontId="11" fillId="2" borderId="13" xfId="1" applyNumberFormat="1" applyFont="1" applyFill="1" applyBorder="1" applyAlignment="1" applyProtection="1">
      <alignment horizontal="right"/>
    </xf>
    <xf numFmtId="164" fontId="33" fillId="2" borderId="21" xfId="0" applyFont="1" applyFill="1" applyBorder="1" applyAlignment="1">
      <alignment horizontal="center"/>
    </xf>
    <xf numFmtId="164" fontId="33" fillId="2" borderId="22" xfId="0" applyFont="1" applyFill="1" applyBorder="1" applyAlignment="1">
      <alignment horizontal="center"/>
    </xf>
    <xf numFmtId="164" fontId="33" fillId="2" borderId="26" xfId="0" applyFont="1" applyFill="1" applyBorder="1" applyAlignment="1">
      <alignment horizontal="center"/>
    </xf>
    <xf numFmtId="164" fontId="1" fillId="2" borderId="10" xfId="0" applyFont="1" applyFill="1" applyBorder="1" applyAlignment="1">
      <alignment horizontal="center"/>
    </xf>
    <xf numFmtId="164" fontId="1" fillId="2" borderId="11" xfId="0" applyFont="1" applyFill="1" applyBorder="1" applyAlignment="1">
      <alignment horizontal="center"/>
    </xf>
    <xf numFmtId="164" fontId="1" fillId="2" borderId="7" xfId="0" applyFont="1" applyFill="1" applyBorder="1" applyAlignment="1">
      <alignment horizontal="center"/>
    </xf>
    <xf numFmtId="164" fontId="40" fillId="2" borderId="10" xfId="0" applyFont="1" applyFill="1" applyBorder="1" applyAlignment="1">
      <alignment horizontal="center"/>
    </xf>
    <xf numFmtId="164" fontId="40" fillId="2" borderId="11" xfId="0" applyFont="1" applyFill="1" applyBorder="1" applyAlignment="1">
      <alignment horizontal="center"/>
    </xf>
    <xf numFmtId="164" fontId="40" fillId="2" borderId="7" xfId="0" applyFont="1" applyFill="1" applyBorder="1" applyAlignment="1">
      <alignment horizontal="center"/>
    </xf>
    <xf numFmtId="164" fontId="17" fillId="2" borderId="10" xfId="0" applyFont="1" applyFill="1" applyBorder="1" applyAlignment="1">
      <alignment horizontal="center"/>
    </xf>
    <xf numFmtId="164" fontId="17" fillId="2" borderId="11" xfId="0" applyFont="1" applyFill="1" applyBorder="1" applyAlignment="1">
      <alignment horizontal="center"/>
    </xf>
    <xf numFmtId="164" fontId="17" fillId="2" borderId="7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orate/Investor%20Relations/REPORTS/CURRENT/EBS/EBS_07_07_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.IXIC" advise="1">
        <values>
          <value>
            <val>2028.43</val>
          </value>
        </values>
      </ddeItem>
      <ddeItem name=".SPX" advise="1">
        <values>
          <value>
            <val>1214.3599999999999</val>
          </value>
        </values>
      </ddeItem>
      <ddeItem name="AES" advise="1">
        <values>
          <value>
            <val>42.93</val>
          </value>
        </values>
      </ddeItem>
      <ddeItem name="AES,DIVIDEND" advise="1">
        <values>
          <value>
            <val>0</val>
          </value>
        </values>
      </ddeItem>
      <ddeItem name="AKAM.O" advise="1">
        <values>
          <value>
            <val>7.51</val>
          </value>
        </values>
      </ddeItem>
      <ddeItem name="DUK">
        <values>
          <value>
            <val>40.82</val>
          </value>
        </values>
      </ddeItem>
      <ddeItem name="DUK,DIVIDEND">
        <values>
          <value>
            <val>1.1000000000000001</val>
          </value>
        </values>
      </ddeItem>
      <ddeItem name="DYN">
        <values>
          <value>
            <val>45.39</val>
          </value>
        </values>
      </ddeItem>
      <ddeItem name="DYN,DIVIDEND">
        <values>
          <value>
            <val>0.3</val>
          </value>
        </values>
      </ddeItem>
      <ddeItem name="ENE">
        <values>
          <value>
            <val>47.26</val>
          </value>
        </values>
      </ddeItem>
      <ddeItem name="EPG">
        <values>
          <value>
            <val>55.17</val>
          </value>
        </values>
      </ddeItem>
      <ddeItem name="EPG,DIVIDEND">
        <values>
          <value>
            <val>0.85</val>
          </value>
        </values>
      </ddeItem>
      <ddeItem name="GX" advise="1">
        <values>
          <value>
            <val>8.66</val>
          </value>
        </values>
      </ddeItem>
      <ddeItem name="ILA" advise="1">
        <values>
          <value>
            <val>28.99</val>
          </value>
        </values>
      </ddeItem>
      <ddeItem name="INAP.O" advise="1">
        <values>
          <value>
            <val>2</val>
          </value>
        </values>
      </ddeItem>
      <ddeItem name="ISLD.O" advise="1">
        <values>
          <value>
            <val>3.38</val>
          </value>
        </values>
      </ddeItem>
      <ddeItem name="KMI" advise="1">
        <values>
          <value>
            <val>55</val>
          </value>
        </values>
      </ddeItem>
      <ddeItem name="KMI,DIVIDEND" advise="1">
        <values>
          <value>
            <val>0.2</val>
          </value>
        </values>
      </ddeItem>
      <ddeItem name="LVLT.O" advise="1">
        <values>
          <value>
            <val>7.62</val>
          </value>
        </values>
      </ddeItem>
      <ddeItem name="MIR" advise="1">
        <values>
          <value>
            <val>35.25</val>
          </value>
        </values>
      </ddeItem>
      <ddeItem name="NPW" advise="1">
        <values>
          <value>
            <val>8.8000000000000007</val>
          </value>
        </values>
      </ddeItem>
      <ddeItem name="NRG" advise="1">
        <values>
          <value>
            <val>23.05</val>
          </value>
        </values>
      </ddeItem>
      <ddeItem name="Q" advise="1">
        <values>
          <value>
            <val>33</val>
          </value>
        </values>
      </ddeItem>
      <ddeItem name="RRI" advise="1">
        <values>
          <value>
            <val>29.2</val>
          </value>
        </values>
      </ddeItem>
      <ddeItem name="WCG" advise="1">
        <values>
          <value>
            <val>3.14</val>
          </value>
        </values>
      </ddeItem>
      <ddeItem name="WMB">
        <values>
          <value>
            <val>35.83</val>
          </value>
        </values>
      </ddeItem>
      <ddeItem name="WMB,DIVIDEND">
        <values>
          <value>
            <val>0.6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07-00"/>
      <sheetName val="download"/>
      <sheetName val="Sheet2"/>
      <sheetName val="Sheet3"/>
    </sheetNames>
    <sheetDataSet>
      <sheetData sheetId="0">
        <row r="17">
          <cell r="A17" t="str">
            <v>Akamai*</v>
          </cell>
          <cell r="B17" t="str">
            <v>AKAM</v>
          </cell>
        </row>
        <row r="19">
          <cell r="A19" t="str">
            <v>Digital Island*</v>
          </cell>
          <cell r="B19" t="str">
            <v>ISLD</v>
          </cell>
        </row>
        <row r="22">
          <cell r="A22" t="str">
            <v>InterNap</v>
          </cell>
          <cell r="B22" t="str">
            <v>INAP</v>
          </cell>
        </row>
        <row r="33">
          <cell r="A33" t="str">
            <v>Williams Communications**</v>
          </cell>
          <cell r="B33" t="str">
            <v>WCG</v>
          </cell>
        </row>
        <row r="34">
          <cell r="B34" t="str">
            <v>LVLT</v>
          </cell>
        </row>
        <row r="36">
          <cell r="A36" t="str">
            <v>Qwest</v>
          </cell>
          <cell r="B36" t="str">
            <v>Q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ColWidth="8.90625" defaultRowHeight="15.6" x14ac:dyDescent="0.3"/>
  <cols>
    <col min="1" max="1" width="23.6328125" style="352" bestFit="1" customWidth="1"/>
    <col min="2" max="2" width="8.90625" style="353"/>
    <col min="3" max="3" width="2" style="352" customWidth="1"/>
    <col min="4" max="4" width="7.81640625" style="352" customWidth="1"/>
    <col min="5" max="5" width="1.453125" style="352" customWidth="1"/>
    <col min="6" max="6" width="7.1796875" style="352" customWidth="1"/>
    <col min="7" max="7" width="1.453125" style="352" customWidth="1"/>
    <col min="8" max="16384" width="8.90625" style="352"/>
  </cols>
  <sheetData>
    <row r="1" spans="1:8" ht="18.75" customHeight="1" x14ac:dyDescent="0.3">
      <c r="A1" s="352" t="s">
        <v>71</v>
      </c>
      <c r="H1" s="354" t="str">
        <f>+ENRON!AS1</f>
        <v>Friday</v>
      </c>
    </row>
    <row r="2" spans="1:8" ht="18" customHeight="1" x14ac:dyDescent="0.3">
      <c r="A2" s="355" t="s">
        <v>18</v>
      </c>
      <c r="H2" s="356">
        <f>+ENRON!AS2</f>
        <v>37057</v>
      </c>
    </row>
    <row r="3" spans="1:8" ht="16.2" thickBot="1" x14ac:dyDescent="0.35"/>
    <row r="4" spans="1:8" ht="16.2" thickBot="1" x14ac:dyDescent="0.35">
      <c r="B4" s="357">
        <v>2001</v>
      </c>
      <c r="D4" s="387" t="s">
        <v>72</v>
      </c>
      <c r="E4" s="388"/>
      <c r="F4" s="388"/>
      <c r="G4" s="388"/>
      <c r="H4" s="389"/>
    </row>
    <row r="5" spans="1:8" ht="31.8" thickBot="1" x14ac:dyDescent="0.35">
      <c r="B5" s="358" t="s">
        <v>36</v>
      </c>
      <c r="D5" s="359" t="s">
        <v>22</v>
      </c>
      <c r="E5" s="360"/>
      <c r="F5" s="361" t="s">
        <v>23</v>
      </c>
      <c r="G5" s="362"/>
      <c r="H5" s="363" t="s">
        <v>24</v>
      </c>
    </row>
    <row r="6" spans="1:8" x14ac:dyDescent="0.3">
      <c r="A6" s="352" t="s">
        <v>73</v>
      </c>
      <c r="B6" s="364">
        <f>ENRON!Z7</f>
        <v>26.402234636871508</v>
      </c>
      <c r="D6" s="365">
        <f>ENRON!AM7</f>
        <v>-7.568941912771375E-2</v>
      </c>
      <c r="E6" s="366"/>
      <c r="F6" s="367">
        <f>ENRON!AO7</f>
        <v>-0.18657487091222036</v>
      </c>
      <c r="G6" s="366"/>
      <c r="H6" s="368">
        <f>ENRON!AQ7</f>
        <v>-0.42995488721804515</v>
      </c>
    </row>
    <row r="7" spans="1:8" x14ac:dyDescent="0.3">
      <c r="A7" s="352" t="s">
        <v>74</v>
      </c>
      <c r="B7" s="369">
        <f>ENRON!Z9</f>
        <v>22.335111274599964</v>
      </c>
      <c r="D7" s="370">
        <f>ENRON!AM9</f>
        <v>-3.9739596508980707E-2</v>
      </c>
      <c r="E7" s="371"/>
      <c r="F7" s="372">
        <f>ENRON!AO9</f>
        <v>4.9633293976713434E-2</v>
      </c>
      <c r="G7" s="371"/>
      <c r="H7" s="373">
        <f>ENRON!AQ9</f>
        <v>-7.4666737358742186E-2</v>
      </c>
    </row>
    <row r="8" spans="1:8" x14ac:dyDescent="0.3">
      <c r="A8" s="352" t="s">
        <v>78</v>
      </c>
      <c r="B8" s="369" t="str">
        <f>ENRON!Z10</f>
        <v xml:space="preserve">N/A </v>
      </c>
      <c r="D8" s="370">
        <f>ENRON!AM10</f>
        <v>-8.4170917791521777E-2</v>
      </c>
      <c r="E8" s="371"/>
      <c r="F8" s="372">
        <f>ENRON!AO10</f>
        <v>0.10295882103615793</v>
      </c>
      <c r="G8" s="371"/>
      <c r="H8" s="373">
        <f>ENRON!AQ10</f>
        <v>-0.17775529038421059</v>
      </c>
    </row>
    <row r="9" spans="1:8" x14ac:dyDescent="0.3">
      <c r="A9" s="352" t="s">
        <v>92</v>
      </c>
      <c r="B9" s="369">
        <f>ENRON!Z24</f>
        <v>19.746732159040096</v>
      </c>
      <c r="C9" s="374"/>
      <c r="D9" s="370">
        <f>ENRON!AM24</f>
        <v>-3.4743342182331077E-2</v>
      </c>
      <c r="E9" s="371"/>
      <c r="F9" s="372">
        <f>ENRON!AO24</f>
        <v>-0.11739175230851118</v>
      </c>
      <c r="G9" s="375"/>
      <c r="H9" s="373">
        <f>ENRON!AQ24</f>
        <v>-7.8912140942656833E-2</v>
      </c>
    </row>
    <row r="10" spans="1:8" ht="16.2" thickBot="1" x14ac:dyDescent="0.35">
      <c r="A10" s="376" t="s">
        <v>103</v>
      </c>
      <c r="B10" s="377" t="s">
        <v>77</v>
      </c>
      <c r="D10" s="378">
        <f>ENRON!AM44</f>
        <v>-0.15839359259752014</v>
      </c>
      <c r="E10" s="379"/>
      <c r="F10" s="380">
        <f>ENRON!AO44</f>
        <v>-0.12213069808773813</v>
      </c>
      <c r="G10" s="381"/>
      <c r="H10" s="382">
        <f>ENRON!AQ44</f>
        <v>-0.51767321454664939</v>
      </c>
    </row>
    <row r="11" spans="1:8" x14ac:dyDescent="0.3">
      <c r="D11" s="383"/>
    </row>
    <row r="12" spans="1:8" x14ac:dyDescent="0.3">
      <c r="A12" s="384"/>
    </row>
  </sheetData>
  <mergeCells count="1">
    <mergeCell ref="D4:H4"/>
  </mergeCells>
  <phoneticPr fontId="41" type="noConversion"/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D134"/>
  <sheetViews>
    <sheetView tabSelected="1" zoomScale="90" workbookViewId="0">
      <pane xSplit="3" topLeftCell="D1" activePane="topRight" state="frozen"/>
      <selection pane="topRight"/>
    </sheetView>
  </sheetViews>
  <sheetFormatPr defaultColWidth="9.81640625" defaultRowHeight="15" x14ac:dyDescent="0.25"/>
  <cols>
    <col min="1" max="1" width="18.54296875" style="8" customWidth="1"/>
    <col min="2" max="2" width="7.36328125" style="8" customWidth="1"/>
    <col min="3" max="3" width="12" style="333" customWidth="1"/>
    <col min="4" max="4" width="1.81640625" style="8" customWidth="1"/>
    <col min="5" max="5" width="10.54296875" style="8" customWidth="1"/>
    <col min="6" max="6" width="1.453125" style="8" customWidth="1"/>
    <col min="7" max="7" width="10.81640625" style="8" hidden="1" customWidth="1"/>
    <col min="8" max="8" width="2.54296875" style="8" hidden="1" customWidth="1"/>
    <col min="9" max="9" width="6.81640625" style="8" hidden="1" customWidth="1"/>
    <col min="10" max="10" width="0.453125" style="8" hidden="1" customWidth="1"/>
    <col min="11" max="11" width="9.36328125" style="8" hidden="1" customWidth="1"/>
    <col min="12" max="12" width="1.90625" style="8" hidden="1" customWidth="1"/>
    <col min="13" max="13" width="6.81640625" style="8" hidden="1" customWidth="1"/>
    <col min="14" max="14" width="1.08984375" style="8" hidden="1" customWidth="1"/>
    <col min="15" max="15" width="10.81640625" style="8" hidden="1" customWidth="1"/>
    <col min="16" max="16" width="2.54296875" style="8" hidden="1" customWidth="1"/>
    <col min="17" max="17" width="6.81640625" style="8" hidden="1" customWidth="1"/>
    <col min="18" max="18" width="1" style="8" hidden="1" customWidth="1"/>
    <col min="19" max="19" width="9.453125" style="8" hidden="1" customWidth="1"/>
    <col min="20" max="20" width="5.90625" style="8" hidden="1" customWidth="1"/>
    <col min="21" max="21" width="1.1796875" style="36" hidden="1" customWidth="1"/>
    <col min="22" max="22" width="10.1796875" style="8" hidden="1" customWidth="1"/>
    <col min="23" max="23" width="1.81640625" style="36" customWidth="1"/>
    <col min="24" max="24" width="10.54296875" style="8" customWidth="1"/>
    <col min="25" max="25" width="1.81640625" style="8" customWidth="1"/>
    <col min="26" max="26" width="6.1796875" style="8" customWidth="1"/>
    <col min="27" max="27" width="1.453125" style="8" customWidth="1"/>
    <col min="28" max="29" width="6" style="8" customWidth="1"/>
    <col min="30" max="30" width="1.453125" style="8" customWidth="1"/>
    <col min="31" max="31" width="10.54296875" style="8" customWidth="1"/>
    <col min="32" max="32" width="1.81640625" style="8" customWidth="1"/>
    <col min="33" max="33" width="6" style="8" customWidth="1"/>
    <col min="34" max="34" width="1.81640625" style="8" customWidth="1"/>
    <col min="35" max="35" width="6" style="8" customWidth="1"/>
    <col min="36" max="36" width="1" style="8" customWidth="1"/>
    <col min="37" max="37" width="8" style="8" hidden="1" customWidth="1"/>
    <col min="38" max="38" width="0.90625" style="36" hidden="1" customWidth="1"/>
    <col min="39" max="39" width="7" style="36" customWidth="1"/>
    <col min="40" max="40" width="1.1796875" style="36" customWidth="1"/>
    <col min="41" max="41" width="8.54296875" style="36" customWidth="1"/>
    <col min="42" max="42" width="0.90625" style="36" customWidth="1"/>
    <col min="43" max="43" width="7.6328125" style="8" customWidth="1"/>
    <col min="44" max="44" width="1" style="8" customWidth="1"/>
    <col min="45" max="45" width="8.453125" style="8" customWidth="1"/>
    <col min="46" max="46" width="4.90625" style="8" customWidth="1"/>
    <col min="47" max="47" width="12.81640625" style="10" customWidth="1"/>
    <col min="48" max="48" width="8.54296875" style="11" customWidth="1"/>
    <col min="49" max="49" width="8.54296875" style="12" customWidth="1"/>
    <col min="50" max="50" width="11.08984375" style="8" customWidth="1"/>
    <col min="51" max="51" width="12.36328125" style="8" customWidth="1"/>
    <col min="52" max="52" width="14.54296875" style="8" customWidth="1"/>
    <col min="53" max="53" width="12.90625" style="8" customWidth="1"/>
    <col min="54" max="54" width="13.36328125" style="8" customWidth="1"/>
    <col min="55" max="55" width="13.6328125" style="8" customWidth="1"/>
    <col min="56" max="16384" width="9.81640625" style="8"/>
  </cols>
  <sheetData>
    <row r="1" spans="1:56" ht="17.399999999999999" x14ac:dyDescent="0.3">
      <c r="A1" s="4" t="s">
        <v>17</v>
      </c>
      <c r="B1" s="5"/>
      <c r="C1" s="6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7"/>
      <c r="V1" s="5"/>
      <c r="W1" s="7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7"/>
      <c r="AM1" s="7"/>
      <c r="AN1" s="7"/>
      <c r="AO1" s="7"/>
      <c r="AP1" s="7"/>
      <c r="AQ1" s="5"/>
      <c r="AS1" s="9" t="s">
        <v>109</v>
      </c>
    </row>
    <row r="2" spans="1:56" ht="17.399999999999999" x14ac:dyDescent="0.3">
      <c r="A2" s="4" t="s">
        <v>18</v>
      </c>
      <c r="B2" s="5"/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7"/>
      <c r="V2" s="13"/>
      <c r="W2" s="14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13"/>
      <c r="AL2" s="14"/>
      <c r="AM2" s="14"/>
      <c r="AN2" s="14"/>
      <c r="AO2" s="14"/>
      <c r="AP2" s="14"/>
      <c r="AQ2" s="13"/>
      <c r="AR2" s="15"/>
      <c r="AS2" s="16">
        <v>37057</v>
      </c>
    </row>
    <row r="3" spans="1:56" ht="15.6" x14ac:dyDescent="0.3">
      <c r="A3" s="17"/>
      <c r="B3" s="18"/>
      <c r="C3" s="19"/>
      <c r="D3" s="18"/>
      <c r="E3" s="18"/>
      <c r="F3" s="18"/>
      <c r="G3" s="5"/>
      <c r="H3" s="5"/>
      <c r="I3" s="5"/>
      <c r="J3" s="5"/>
      <c r="K3" s="5"/>
      <c r="L3" s="5"/>
      <c r="M3" s="5"/>
      <c r="N3" s="18"/>
      <c r="O3" s="5"/>
      <c r="P3" s="5"/>
      <c r="Q3" s="5"/>
      <c r="R3" s="5"/>
      <c r="S3" s="5"/>
      <c r="T3" s="5"/>
      <c r="U3" s="7"/>
      <c r="V3" s="20"/>
      <c r="W3" s="21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20"/>
      <c r="AL3" s="21"/>
      <c r="AM3" s="21"/>
      <c r="AN3" s="21"/>
      <c r="AO3" s="21"/>
      <c r="AP3" s="21"/>
      <c r="AQ3" s="20"/>
      <c r="AS3" s="20"/>
      <c r="AT3" s="22"/>
    </row>
    <row r="4" spans="1:56" ht="15.6" x14ac:dyDescent="0.3">
      <c r="A4" s="18"/>
      <c r="B4" s="18"/>
      <c r="C4" s="19"/>
      <c r="D4" s="18"/>
      <c r="E4" s="18"/>
      <c r="F4" s="18"/>
      <c r="G4" s="5"/>
      <c r="H4" s="5"/>
      <c r="I4" s="5"/>
      <c r="J4" s="5"/>
      <c r="K4" s="23">
        <v>1997</v>
      </c>
      <c r="L4" s="24"/>
      <c r="M4" s="25"/>
      <c r="N4" s="18"/>
      <c r="O4" s="5"/>
      <c r="P4" s="5"/>
      <c r="Q4" s="5"/>
      <c r="R4" s="5"/>
      <c r="S4" s="23">
        <v>1998</v>
      </c>
      <c r="T4" s="25"/>
      <c r="U4" s="7"/>
      <c r="V4" s="18"/>
      <c r="W4" s="26"/>
      <c r="X4" s="390">
        <v>2001</v>
      </c>
      <c r="Y4" s="391"/>
      <c r="Z4" s="392"/>
      <c r="AA4" s="28"/>
      <c r="AB4" s="29" t="s">
        <v>125</v>
      </c>
      <c r="AC4" s="27" t="s">
        <v>113</v>
      </c>
      <c r="AD4" s="28"/>
      <c r="AE4" s="390">
        <v>2002</v>
      </c>
      <c r="AF4" s="391"/>
      <c r="AG4" s="392"/>
      <c r="AH4" s="30"/>
      <c r="AJ4" s="18"/>
      <c r="AK4" s="31" t="s">
        <v>19</v>
      </c>
      <c r="AL4" s="26"/>
      <c r="AM4" s="32" t="s">
        <v>20</v>
      </c>
      <c r="AN4" s="33"/>
      <c r="AO4" s="33"/>
      <c r="AP4" s="33"/>
      <c r="AQ4" s="34"/>
      <c r="AS4" s="35"/>
      <c r="AT4" s="36"/>
      <c r="AU4" s="37" t="s">
        <v>21</v>
      </c>
      <c r="AV4" s="37"/>
      <c r="AW4" s="38"/>
      <c r="AX4" s="37" t="s">
        <v>22</v>
      </c>
      <c r="AY4" s="39"/>
      <c r="AZ4" s="37" t="s">
        <v>23</v>
      </c>
      <c r="BA4" s="40"/>
      <c r="BB4" s="37" t="s">
        <v>24</v>
      </c>
      <c r="BC4" s="37"/>
    </row>
    <row r="5" spans="1:56" x14ac:dyDescent="0.25">
      <c r="A5" s="18"/>
      <c r="B5" s="18"/>
      <c r="C5" s="19"/>
      <c r="D5" s="18"/>
      <c r="E5" s="41" t="s">
        <v>25</v>
      </c>
      <c r="F5" s="18"/>
      <c r="G5" s="42" t="s">
        <v>26</v>
      </c>
      <c r="H5" s="43"/>
      <c r="I5" s="44"/>
      <c r="J5" s="18"/>
      <c r="K5" s="42" t="s">
        <v>26</v>
      </c>
      <c r="L5" s="43"/>
      <c r="M5" s="44"/>
      <c r="N5" s="18"/>
      <c r="O5" s="42" t="s">
        <v>26</v>
      </c>
      <c r="P5" s="43"/>
      <c r="Q5" s="44"/>
      <c r="R5" s="18"/>
      <c r="S5" s="42" t="s">
        <v>26</v>
      </c>
      <c r="T5" s="44"/>
      <c r="U5" s="26"/>
      <c r="V5" s="31" t="s">
        <v>27</v>
      </c>
      <c r="W5" s="45"/>
      <c r="X5" s="42" t="s">
        <v>26</v>
      </c>
      <c r="Y5" s="46"/>
      <c r="Z5" s="44"/>
      <c r="AA5" s="26"/>
      <c r="AB5" s="31" t="s">
        <v>112</v>
      </c>
      <c r="AC5" s="47" t="s">
        <v>114</v>
      </c>
      <c r="AD5" s="26"/>
      <c r="AE5" s="42" t="s">
        <v>26</v>
      </c>
      <c r="AF5" s="46"/>
      <c r="AG5" s="44"/>
      <c r="AH5" s="26"/>
      <c r="AJ5" s="26"/>
      <c r="AK5" s="48" t="s">
        <v>27</v>
      </c>
      <c r="AL5" s="45"/>
      <c r="AM5" s="49" t="s">
        <v>28</v>
      </c>
      <c r="AN5" s="45"/>
      <c r="AO5" s="45" t="s">
        <v>29</v>
      </c>
      <c r="AP5" s="45"/>
      <c r="AQ5" s="47" t="s">
        <v>30</v>
      </c>
      <c r="AS5" s="50" t="s">
        <v>31</v>
      </c>
      <c r="AT5" s="51"/>
      <c r="AU5" s="52"/>
      <c r="AV5" s="53" t="s">
        <v>32</v>
      </c>
      <c r="AW5" s="54" t="s">
        <v>32</v>
      </c>
      <c r="AX5" s="55"/>
      <c r="AY5" s="56">
        <v>37050</v>
      </c>
      <c r="AZ5" s="55"/>
      <c r="BA5" s="57">
        <v>36980</v>
      </c>
      <c r="BB5" s="58"/>
      <c r="BC5" s="56">
        <v>36889</v>
      </c>
      <c r="BD5" s="59"/>
    </row>
    <row r="6" spans="1:56" ht="15.6" thickBot="1" x14ac:dyDescent="0.3">
      <c r="A6" s="60" t="s">
        <v>33</v>
      </c>
      <c r="B6" s="18"/>
      <c r="C6" s="60" t="s">
        <v>34</v>
      </c>
      <c r="D6" s="18"/>
      <c r="E6" s="60" t="s">
        <v>35</v>
      </c>
      <c r="F6" s="18"/>
      <c r="G6" s="61" t="s">
        <v>19</v>
      </c>
      <c r="H6" s="62"/>
      <c r="I6" s="63" t="s">
        <v>36</v>
      </c>
      <c r="J6" s="18"/>
      <c r="K6" s="61" t="s">
        <v>19</v>
      </c>
      <c r="L6" s="62"/>
      <c r="M6" s="63" t="s">
        <v>36</v>
      </c>
      <c r="N6" s="18"/>
      <c r="O6" s="61" t="s">
        <v>19</v>
      </c>
      <c r="P6" s="62"/>
      <c r="Q6" s="63" t="s">
        <v>36</v>
      </c>
      <c r="R6" s="18"/>
      <c r="S6" s="61" t="s">
        <v>19</v>
      </c>
      <c r="T6" s="63" t="s">
        <v>36</v>
      </c>
      <c r="U6" s="64"/>
      <c r="V6" s="65" t="s">
        <v>37</v>
      </c>
      <c r="W6" s="64"/>
      <c r="X6" s="61" t="s">
        <v>85</v>
      </c>
      <c r="Y6" s="66"/>
      <c r="Z6" s="63" t="s">
        <v>36</v>
      </c>
      <c r="AA6" s="64"/>
      <c r="AB6" s="50" t="s">
        <v>27</v>
      </c>
      <c r="AC6" s="67" t="s">
        <v>115</v>
      </c>
      <c r="AD6" s="64"/>
      <c r="AE6" s="61" t="s">
        <v>85</v>
      </c>
      <c r="AF6" s="66"/>
      <c r="AG6" s="63" t="s">
        <v>36</v>
      </c>
      <c r="AH6" s="64"/>
      <c r="AJ6" s="67"/>
      <c r="AK6" s="63" t="s">
        <v>38</v>
      </c>
      <c r="AL6" s="64"/>
      <c r="AM6" s="68" t="s">
        <v>39</v>
      </c>
      <c r="AN6" s="64"/>
      <c r="AO6" s="69" t="s">
        <v>40</v>
      </c>
      <c r="AP6" s="64"/>
      <c r="AQ6" s="70" t="s">
        <v>40</v>
      </c>
      <c r="AS6" s="65" t="s">
        <v>41</v>
      </c>
      <c r="AT6" s="51"/>
      <c r="AU6" s="71" t="s">
        <v>42</v>
      </c>
      <c r="AV6" s="72" t="s">
        <v>43</v>
      </c>
      <c r="AW6" s="73" t="s">
        <v>31</v>
      </c>
      <c r="AX6" s="71" t="s">
        <v>44</v>
      </c>
      <c r="AY6" s="74" t="s">
        <v>45</v>
      </c>
      <c r="AZ6" s="71" t="s">
        <v>46</v>
      </c>
      <c r="BA6" s="75" t="s">
        <v>47</v>
      </c>
      <c r="BB6" s="76" t="s">
        <v>48</v>
      </c>
      <c r="BC6" s="77" t="s">
        <v>111</v>
      </c>
    </row>
    <row r="7" spans="1:56" ht="15.6" thickBot="1" x14ac:dyDescent="0.3">
      <c r="A7" s="78" t="s">
        <v>49</v>
      </c>
      <c r="B7" s="79"/>
      <c r="C7" s="80" t="s">
        <v>0</v>
      </c>
      <c r="D7" s="79"/>
      <c r="E7" s="81">
        <f>[1]!ENE</f>
        <v>47.26</v>
      </c>
      <c r="F7" s="79"/>
      <c r="G7" s="82">
        <v>2.16</v>
      </c>
      <c r="H7" s="83" t="s">
        <v>50</v>
      </c>
      <c r="I7" s="84">
        <f>E7/G7</f>
        <v>21.879629629629626</v>
      </c>
      <c r="J7" s="79"/>
      <c r="K7" s="82">
        <v>2.14</v>
      </c>
      <c r="L7" s="85" t="s">
        <v>51</v>
      </c>
      <c r="M7" s="84">
        <f>E7/K7</f>
        <v>22.084112149532707</v>
      </c>
      <c r="N7" s="79"/>
      <c r="O7" s="82">
        <v>2.16</v>
      </c>
      <c r="P7" s="83" t="s">
        <v>50</v>
      </c>
      <c r="Q7" s="84">
        <f>M7/O7</f>
        <v>10.224125995154031</v>
      </c>
      <c r="R7" s="79"/>
      <c r="S7" s="86">
        <f>+S88</f>
        <v>1.9988888888888892</v>
      </c>
      <c r="T7" s="84">
        <f>E7/S7</f>
        <v>23.643135075041684</v>
      </c>
      <c r="U7" s="87"/>
      <c r="V7" s="88">
        <f>(S7-K7)/K7</f>
        <v>-6.5939771547248116E-2</v>
      </c>
      <c r="W7" s="89"/>
      <c r="X7" s="90">
        <v>1.79</v>
      </c>
      <c r="Y7" s="91"/>
      <c r="Z7" s="84">
        <f>E7/X7</f>
        <v>26.402234636871508</v>
      </c>
      <c r="AA7" s="87"/>
      <c r="AB7" s="92">
        <f>(X7-AS69)/AS69</f>
        <v>0.21768707482993202</v>
      </c>
      <c r="AC7" s="93">
        <v>0.12</v>
      </c>
      <c r="AD7" s="87"/>
      <c r="AE7" s="90">
        <v>2.11</v>
      </c>
      <c r="AF7" s="94"/>
      <c r="AG7" s="84">
        <f>E7/AE7</f>
        <v>22.398104265402843</v>
      </c>
      <c r="AH7" s="95"/>
      <c r="AJ7" s="96"/>
      <c r="AK7" s="97">
        <f>(X7-S7)/S7</f>
        <v>-0.10450250138966102</v>
      </c>
      <c r="AL7" s="89"/>
      <c r="AM7" s="98">
        <f>((+AX7+E7-AY7)/AY7)</f>
        <v>-7.568941912771375E-2</v>
      </c>
      <c r="AN7" s="89"/>
      <c r="AO7" s="89">
        <f>((+AZ7+E7-BA7)/BA7)</f>
        <v>-0.18657487091222036</v>
      </c>
      <c r="AP7" s="89"/>
      <c r="AQ7" s="97">
        <f>((+BB7+E7-BC7)/BC7)</f>
        <v>-0.42995488721804515</v>
      </c>
      <c r="AR7" s="99"/>
      <c r="AS7" s="1">
        <f>AU7/E7</f>
        <v>1.0579771476936098E-2</v>
      </c>
      <c r="AT7" s="100"/>
      <c r="AU7" s="3">
        <v>0.5</v>
      </c>
      <c r="AV7" s="101">
        <v>36949</v>
      </c>
      <c r="AW7" s="102">
        <v>0.125</v>
      </c>
      <c r="AX7" s="103"/>
      <c r="AY7" s="104">
        <v>51.13</v>
      </c>
      <c r="AZ7" s="105"/>
      <c r="BA7" s="104">
        <v>58.1</v>
      </c>
      <c r="BB7" s="106">
        <v>0.125</v>
      </c>
      <c r="BC7" s="104">
        <v>83.125</v>
      </c>
    </row>
    <row r="8" spans="1:56" ht="6" customHeight="1" x14ac:dyDescent="0.25">
      <c r="A8" s="18"/>
      <c r="B8" s="18"/>
      <c r="C8" s="19"/>
      <c r="D8" s="18"/>
      <c r="E8" s="107"/>
      <c r="F8" s="18"/>
      <c r="G8" s="108"/>
      <c r="H8" s="109"/>
      <c r="I8" s="110"/>
      <c r="J8" s="26"/>
      <c r="K8" s="108"/>
      <c r="L8" s="26"/>
      <c r="M8" s="110"/>
      <c r="N8" s="18"/>
      <c r="O8" s="108"/>
      <c r="P8" s="109"/>
      <c r="Q8" s="110"/>
      <c r="R8" s="26"/>
      <c r="S8" s="108"/>
      <c r="T8" s="110"/>
      <c r="U8" s="26"/>
      <c r="V8" s="111"/>
      <c r="W8" s="112"/>
      <c r="X8" s="108"/>
      <c r="Y8" s="113"/>
      <c r="Z8" s="110"/>
      <c r="AA8" s="26"/>
      <c r="AB8" s="114"/>
      <c r="AC8" s="115"/>
      <c r="AD8" s="26"/>
      <c r="AE8" s="116"/>
      <c r="AF8" s="26"/>
      <c r="AG8" s="115"/>
      <c r="AH8" s="117"/>
      <c r="AJ8" s="26"/>
      <c r="AK8" s="111"/>
      <c r="AL8" s="112"/>
      <c r="AM8" s="118"/>
      <c r="AN8" s="112"/>
      <c r="AO8" s="112"/>
      <c r="AP8" s="112"/>
      <c r="AQ8" s="119"/>
      <c r="AS8" s="111"/>
      <c r="AT8" s="118"/>
      <c r="AU8" s="120"/>
      <c r="AV8" s="121"/>
      <c r="AW8" s="102"/>
      <c r="AX8" s="122"/>
      <c r="AY8" s="123"/>
      <c r="AZ8" s="124"/>
      <c r="BA8" s="123"/>
      <c r="BB8" s="125"/>
      <c r="BC8" s="123"/>
    </row>
    <row r="9" spans="1:56" x14ac:dyDescent="0.25">
      <c r="A9" s="17" t="s">
        <v>52</v>
      </c>
      <c r="B9" s="18"/>
      <c r="C9" s="19" t="s">
        <v>60</v>
      </c>
      <c r="D9" s="18"/>
      <c r="E9" s="126">
        <f>[1]!'.SPX'</f>
        <v>1214.3599999999999</v>
      </c>
      <c r="F9" s="127"/>
      <c r="G9" s="128">
        <v>40.53</v>
      </c>
      <c r="H9" s="109"/>
      <c r="I9" s="96">
        <f>E9/G9</f>
        <v>29.962003454231429</v>
      </c>
      <c r="J9" s="26"/>
      <c r="K9" s="128">
        <v>42.08</v>
      </c>
      <c r="L9" s="26"/>
      <c r="M9" s="96">
        <f>E9/K9</f>
        <v>28.858365019011405</v>
      </c>
      <c r="N9" s="127"/>
      <c r="O9" s="128">
        <v>40.53</v>
      </c>
      <c r="P9" s="109"/>
      <c r="Q9" s="96">
        <f>M9/O9</f>
        <v>0.71202479691614617</v>
      </c>
      <c r="R9" s="26"/>
      <c r="S9" s="129">
        <v>40.18</v>
      </c>
      <c r="T9" s="96">
        <f>E9/S9</f>
        <v>30.222996515679441</v>
      </c>
      <c r="U9" s="95"/>
      <c r="V9" s="130">
        <f>(S9-K9)/K9</f>
        <v>-4.5152091254752821E-2</v>
      </c>
      <c r="W9" s="131"/>
      <c r="X9" s="129">
        <v>54.37</v>
      </c>
      <c r="Y9" s="132"/>
      <c r="Z9" s="96">
        <f>E9/X9</f>
        <v>22.335111274599964</v>
      </c>
      <c r="AA9" s="95"/>
      <c r="AB9" s="133">
        <f>+(+X9-AS71)/AS71</f>
        <v>-4.3118620204153517E-2</v>
      </c>
      <c r="AC9" s="134"/>
      <c r="AD9" s="95"/>
      <c r="AE9" s="129">
        <v>60.41</v>
      </c>
      <c r="AF9" s="132"/>
      <c r="AG9" s="96">
        <f>E9/AE9</f>
        <v>20.101969872537659</v>
      </c>
      <c r="AH9" s="95"/>
      <c r="AJ9" s="95"/>
      <c r="AK9" s="130">
        <f>(X9-S9)/S9</f>
        <v>0.35316077650572419</v>
      </c>
      <c r="AL9" s="131"/>
      <c r="AM9" s="100">
        <f>((+AX9+E9-AY9)/AY9)</f>
        <v>-3.9739596508980707E-2</v>
      </c>
      <c r="AN9" s="131"/>
      <c r="AO9" s="131">
        <f>((+AZ9+E9-BA9)/BA9)</f>
        <v>4.9633293976713434E-2</v>
      </c>
      <c r="AP9" s="131"/>
      <c r="AQ9" s="135">
        <f>((+BB9+E9-BC9)/BC9)</f>
        <v>-7.4666737358742186E-2</v>
      </c>
      <c r="AS9" s="2">
        <v>1.29E-2</v>
      </c>
      <c r="AT9" s="100"/>
      <c r="AU9" s="136">
        <f>AS9*E9</f>
        <v>15.665244</v>
      </c>
      <c r="AV9" s="137"/>
      <c r="AW9" s="102"/>
      <c r="AX9" s="138">
        <v>0.33100000000000002</v>
      </c>
      <c r="AY9" s="139">
        <v>1264.96</v>
      </c>
      <c r="AZ9" s="138">
        <v>3.5609999999999999</v>
      </c>
      <c r="BA9" s="140">
        <v>1160.33</v>
      </c>
      <c r="BB9" s="138">
        <v>7.3390000000000004</v>
      </c>
      <c r="BC9" s="140">
        <v>1320.28</v>
      </c>
    </row>
    <row r="10" spans="1:56" x14ac:dyDescent="0.25">
      <c r="A10" s="17" t="s">
        <v>78</v>
      </c>
      <c r="B10" s="18"/>
      <c r="C10" s="19" t="s">
        <v>75</v>
      </c>
      <c r="D10" s="18"/>
      <c r="E10" s="126">
        <f>[1]!'.IXIC'</f>
        <v>2028.43</v>
      </c>
      <c r="F10" s="127"/>
      <c r="G10" s="128">
        <v>40.53</v>
      </c>
      <c r="H10" s="109"/>
      <c r="I10" s="96">
        <f>E10/G10</f>
        <v>50.047619047619051</v>
      </c>
      <c r="J10" s="26"/>
      <c r="K10" s="128">
        <v>42.08</v>
      </c>
      <c r="L10" s="26"/>
      <c r="M10" s="96">
        <f>E10/K10</f>
        <v>48.204134980988599</v>
      </c>
      <c r="N10" s="127"/>
      <c r="O10" s="128">
        <v>40.53</v>
      </c>
      <c r="P10" s="109"/>
      <c r="Q10" s="96">
        <f>M10/O10</f>
        <v>1.1893445591164222</v>
      </c>
      <c r="R10" s="26"/>
      <c r="S10" s="129">
        <v>40.18</v>
      </c>
      <c r="T10" s="96">
        <f>E10/S10</f>
        <v>50.483573917371828</v>
      </c>
      <c r="U10" s="95"/>
      <c r="V10" s="130">
        <f>(S10-K10)/K10</f>
        <v>-4.5152091254752821E-2</v>
      </c>
      <c r="W10" s="131"/>
      <c r="X10" s="141" t="s">
        <v>76</v>
      </c>
      <c r="Y10" s="132"/>
      <c r="Z10" s="142" t="s">
        <v>77</v>
      </c>
      <c r="AA10" s="95"/>
      <c r="AB10" s="143"/>
      <c r="AC10" s="142"/>
      <c r="AD10" s="95"/>
      <c r="AE10" s="141" t="s">
        <v>76</v>
      </c>
      <c r="AF10" s="132"/>
      <c r="AG10" s="142" t="s">
        <v>77</v>
      </c>
      <c r="AH10" s="144"/>
      <c r="AJ10" s="95"/>
      <c r="AK10" s="130" t="e">
        <f>(X10-S10)/S10</f>
        <v>#VALUE!</v>
      </c>
      <c r="AL10" s="131"/>
      <c r="AM10" s="100">
        <f>((+AX10+E10-AY10)/AY10)</f>
        <v>-8.4170917791521777E-2</v>
      </c>
      <c r="AN10" s="131"/>
      <c r="AO10" s="131">
        <f>((+AZ10+E10-BA10)/BA10)</f>
        <v>0.10295882103615793</v>
      </c>
      <c r="AP10" s="131"/>
      <c r="AQ10" s="135">
        <f>((+BB10+E10-BC10)/BC10)</f>
        <v>-0.17775529038421059</v>
      </c>
      <c r="AS10" s="2">
        <v>3.0999999999999999E-3</v>
      </c>
      <c r="AT10" s="100"/>
      <c r="AU10" s="136">
        <f>AS10*E10</f>
        <v>6.2881330000000002</v>
      </c>
      <c r="AV10" s="137"/>
      <c r="AW10" s="102"/>
      <c r="AX10" s="138">
        <v>0.223</v>
      </c>
      <c r="AY10" s="139">
        <v>2215.1</v>
      </c>
      <c r="AZ10" s="138">
        <v>1.3009999999999999</v>
      </c>
      <c r="BA10" s="140">
        <v>1840.26</v>
      </c>
      <c r="BB10" s="138">
        <v>2.9420000000000002</v>
      </c>
      <c r="BC10" s="140">
        <v>2470.52</v>
      </c>
    </row>
    <row r="11" spans="1:56" ht="9.75" customHeight="1" x14ac:dyDescent="0.25">
      <c r="A11" s="18"/>
      <c r="B11" s="18"/>
      <c r="C11" s="19"/>
      <c r="D11" s="18"/>
      <c r="E11" s="145"/>
      <c r="F11" s="18"/>
      <c r="G11" s="128"/>
      <c r="H11" s="109"/>
      <c r="I11" s="146"/>
      <c r="J11" s="18"/>
      <c r="K11" s="128"/>
      <c r="L11" s="26"/>
      <c r="M11" s="146"/>
      <c r="N11" s="18"/>
      <c r="O11" s="128"/>
      <c r="P11" s="109"/>
      <c r="Q11" s="146"/>
      <c r="R11" s="18"/>
      <c r="S11" s="129"/>
      <c r="T11" s="146"/>
      <c r="U11" s="7"/>
      <c r="V11" s="111"/>
      <c r="W11" s="112"/>
      <c r="X11" s="129"/>
      <c r="Y11" s="132"/>
      <c r="Z11" s="146"/>
      <c r="AA11" s="7"/>
      <c r="AB11" s="147"/>
      <c r="AC11" s="148"/>
      <c r="AD11" s="7"/>
      <c r="AE11" s="129"/>
      <c r="AF11" s="132"/>
      <c r="AG11" s="148"/>
      <c r="AH11" s="149"/>
      <c r="AJ11" s="7"/>
      <c r="AK11" s="111"/>
      <c r="AL11" s="112"/>
      <c r="AM11" s="118"/>
      <c r="AN11" s="112"/>
      <c r="AO11" s="112"/>
      <c r="AP11" s="112"/>
      <c r="AQ11" s="119"/>
      <c r="AS11" s="150"/>
      <c r="AT11" s="59"/>
      <c r="AU11" s="120"/>
      <c r="AV11" s="121"/>
      <c r="AW11" s="102"/>
      <c r="AX11" s="122"/>
      <c r="AY11" s="140"/>
      <c r="AZ11" s="151"/>
      <c r="BA11" s="140"/>
      <c r="BB11" s="125"/>
      <c r="BC11" s="140"/>
    </row>
    <row r="12" spans="1:56" x14ac:dyDescent="0.25">
      <c r="A12" s="152" t="s">
        <v>84</v>
      </c>
      <c r="B12" s="18"/>
      <c r="C12" s="19"/>
      <c r="D12" s="18"/>
      <c r="E12" s="145"/>
      <c r="F12" s="18"/>
      <c r="G12" s="128"/>
      <c r="H12" s="109"/>
      <c r="I12" s="146"/>
      <c r="J12" s="18"/>
      <c r="K12" s="128"/>
      <c r="L12" s="26"/>
      <c r="M12" s="146"/>
      <c r="N12" s="18"/>
      <c r="O12" s="128"/>
      <c r="P12" s="109"/>
      <c r="Q12" s="146"/>
      <c r="R12" s="18"/>
      <c r="S12" s="129"/>
      <c r="T12" s="146"/>
      <c r="U12" s="7"/>
      <c r="V12" s="111"/>
      <c r="W12" s="112"/>
      <c r="X12" s="129"/>
      <c r="Y12" s="132"/>
      <c r="Z12" s="146"/>
      <c r="AA12" s="7"/>
      <c r="AB12" s="147"/>
      <c r="AC12" s="148"/>
      <c r="AD12" s="7"/>
      <c r="AE12" s="129"/>
      <c r="AF12" s="132"/>
      <c r="AG12" s="148"/>
      <c r="AH12" s="149"/>
      <c r="AJ12" s="7"/>
      <c r="AK12" s="111"/>
      <c r="AL12" s="112"/>
      <c r="AM12" s="118"/>
      <c r="AN12" s="112"/>
      <c r="AO12" s="112"/>
      <c r="AP12" s="112"/>
      <c r="AQ12" s="119"/>
      <c r="AS12" s="150"/>
      <c r="AT12" s="59"/>
      <c r="AU12" s="3"/>
      <c r="AV12" s="121"/>
      <c r="AW12" s="102"/>
      <c r="AX12" s="124"/>
      <c r="AY12" s="140"/>
      <c r="AZ12" s="151"/>
      <c r="BA12" s="140"/>
      <c r="BB12" s="125"/>
      <c r="BC12" s="140"/>
    </row>
    <row r="13" spans="1:56" x14ac:dyDescent="0.25">
      <c r="A13" s="17" t="s">
        <v>130</v>
      </c>
      <c r="B13" s="18"/>
      <c r="C13" s="41" t="s">
        <v>127</v>
      </c>
      <c r="D13" s="18"/>
      <c r="E13" s="145">
        <f>[1]!ILA</f>
        <v>28.99</v>
      </c>
      <c r="F13" s="18"/>
      <c r="G13" s="128"/>
      <c r="H13" s="153"/>
      <c r="I13" s="96"/>
      <c r="J13" s="18"/>
      <c r="K13" s="128"/>
      <c r="L13" s="26"/>
      <c r="M13" s="96"/>
      <c r="N13" s="18"/>
      <c r="O13" s="128"/>
      <c r="P13" s="153"/>
      <c r="Q13" s="96"/>
      <c r="R13" s="18"/>
      <c r="S13" s="129">
        <v>1.1499999999999999</v>
      </c>
      <c r="T13" s="96">
        <f t="shared" ref="T13:T18" si="0">E13/S13</f>
        <v>25.208695652173915</v>
      </c>
      <c r="U13" s="95"/>
      <c r="V13" s="130"/>
      <c r="W13" s="131"/>
      <c r="X13" s="141">
        <v>1.58</v>
      </c>
      <c r="Y13" s="154"/>
      <c r="Z13" s="96">
        <f t="shared" ref="Z13:Z22" si="1">E13/X13</f>
        <v>18.348101265822784</v>
      </c>
      <c r="AA13" s="143"/>
      <c r="AB13" s="155" t="s">
        <v>76</v>
      </c>
      <c r="AC13" s="156" t="s">
        <v>76</v>
      </c>
      <c r="AD13" s="144"/>
      <c r="AE13" s="141">
        <v>1.91</v>
      </c>
      <c r="AF13" s="154"/>
      <c r="AG13" s="96">
        <f t="shared" ref="AG13:AG22" si="2">E13/AE13</f>
        <v>15.178010471204189</v>
      </c>
      <c r="AH13" s="95"/>
      <c r="AJ13" s="95"/>
      <c r="AK13" s="130">
        <f>(X13-S13)/S13</f>
        <v>0.37391304347826104</v>
      </c>
      <c r="AL13" s="131"/>
      <c r="AM13" s="100">
        <f>((+AX13+E13-AY13)/AY13)</f>
        <v>-2.7519779841761903E-3</v>
      </c>
      <c r="AN13" s="131"/>
      <c r="AO13" s="385" t="s">
        <v>76</v>
      </c>
      <c r="AP13" s="131"/>
      <c r="AQ13" s="157" t="s">
        <v>76</v>
      </c>
      <c r="AS13" s="158">
        <f>AU13/E13</f>
        <v>0</v>
      </c>
      <c r="AT13" s="159"/>
      <c r="AU13" s="3">
        <v>0</v>
      </c>
      <c r="AV13" s="160" t="s">
        <v>68</v>
      </c>
      <c r="AW13" s="102">
        <v>0</v>
      </c>
      <c r="AX13" s="151"/>
      <c r="AY13" s="140">
        <v>29.07</v>
      </c>
      <c r="AZ13" s="151"/>
      <c r="BA13" s="161" t="s">
        <v>76</v>
      </c>
      <c r="BB13" s="151">
        <v>0</v>
      </c>
      <c r="BC13" s="161" t="s">
        <v>76</v>
      </c>
    </row>
    <row r="14" spans="1:56" x14ac:dyDescent="0.25">
      <c r="A14" s="18" t="s">
        <v>107</v>
      </c>
      <c r="B14" s="162"/>
      <c r="C14" s="41" t="s">
        <v>67</v>
      </c>
      <c r="D14" s="18"/>
      <c r="E14" s="145">
        <f>[1]!AES</f>
        <v>42.93</v>
      </c>
      <c r="F14" s="18"/>
      <c r="G14" s="128">
        <v>4.72</v>
      </c>
      <c r="H14" s="153" t="s">
        <v>50</v>
      </c>
      <c r="I14" s="96">
        <f>E14/G14</f>
        <v>9.0953389830508478</v>
      </c>
      <c r="J14" s="18"/>
      <c r="K14" s="128">
        <v>4.9400000000000004</v>
      </c>
      <c r="L14" s="26"/>
      <c r="M14" s="96">
        <f>E14/K14</f>
        <v>8.6902834008097152</v>
      </c>
      <c r="N14" s="18"/>
      <c r="O14" s="128">
        <v>4.72</v>
      </c>
      <c r="P14" s="153" t="s">
        <v>50</v>
      </c>
      <c r="Q14" s="96">
        <f>M14/O14</f>
        <v>1.8411617374596856</v>
      </c>
      <c r="R14" s="18"/>
      <c r="S14" s="129">
        <v>3.43</v>
      </c>
      <c r="T14" s="96">
        <f t="shared" si="0"/>
        <v>12.51603498542274</v>
      </c>
      <c r="U14" s="95"/>
      <c r="V14" s="130">
        <f>(S14-K14)/K14</f>
        <v>-0.30566801619433198</v>
      </c>
      <c r="W14" s="131"/>
      <c r="X14" s="129">
        <v>1.84</v>
      </c>
      <c r="Y14" s="132"/>
      <c r="Z14" s="96">
        <f t="shared" si="1"/>
        <v>23.331521739130434</v>
      </c>
      <c r="AA14" s="95"/>
      <c r="AB14" s="133">
        <f>+(+X14-AS75)/AS75</f>
        <v>0.26027397260273982</v>
      </c>
      <c r="AC14" s="134">
        <v>0.17399999999999999</v>
      </c>
      <c r="AD14" s="95"/>
      <c r="AE14" s="129">
        <v>2.41</v>
      </c>
      <c r="AF14" s="132"/>
      <c r="AG14" s="96">
        <f t="shared" si="2"/>
        <v>17.813278008298752</v>
      </c>
      <c r="AH14" s="95"/>
      <c r="AJ14" s="95"/>
      <c r="AK14" s="130">
        <f t="shared" ref="AK14:AK22" si="3">(X14-S14)/S14</f>
        <v>-0.46355685131195334</v>
      </c>
      <c r="AL14" s="131"/>
      <c r="AM14" s="100">
        <f t="shared" ref="AM14:AM22" si="4">((+AX14+E14-AY14)/AY14)</f>
        <v>3.7708484408992084E-2</v>
      </c>
      <c r="AN14" s="131"/>
      <c r="AO14" s="131">
        <f t="shared" ref="AO14:AO22" si="5">((+AZ14+E14-BA14)/BA14)</f>
        <v>-0.14071257005604484</v>
      </c>
      <c r="AP14" s="131"/>
      <c r="AQ14" s="135">
        <f t="shared" ref="AQ14:AQ22" si="6">((+BB14+E14-BC14)/BC14)</f>
        <v>-0.22474040632054176</v>
      </c>
      <c r="AS14" s="158">
        <f t="shared" ref="AS14:AS22" si="7">AU14/E14</f>
        <v>0</v>
      </c>
      <c r="AT14" s="159"/>
      <c r="AU14" s="3">
        <f>[1]!'AES,DIVIDEND'</f>
        <v>0</v>
      </c>
      <c r="AV14" s="160">
        <v>37044</v>
      </c>
      <c r="AW14" s="386" t="s">
        <v>132</v>
      </c>
      <c r="AX14" s="151"/>
      <c r="AY14" s="140">
        <v>41.37</v>
      </c>
      <c r="AZ14" s="151"/>
      <c r="BA14" s="140">
        <v>49.96</v>
      </c>
      <c r="BB14" s="151"/>
      <c r="BC14" s="140">
        <v>55.375</v>
      </c>
    </row>
    <row r="15" spans="1:56" x14ac:dyDescent="0.25">
      <c r="A15" s="17" t="s">
        <v>53</v>
      </c>
      <c r="B15" s="162"/>
      <c r="C15" s="41" t="s">
        <v>1</v>
      </c>
      <c r="D15" s="18"/>
      <c r="E15" s="145">
        <f>[1]!DUK</f>
        <v>40.82</v>
      </c>
      <c r="F15" s="18"/>
      <c r="G15" s="128"/>
      <c r="H15" s="153"/>
      <c r="I15" s="96"/>
      <c r="J15" s="18"/>
      <c r="K15" s="128">
        <v>2.95</v>
      </c>
      <c r="L15" s="26"/>
      <c r="M15" s="96">
        <f>E15/K15</f>
        <v>13.837288135593219</v>
      </c>
      <c r="N15" s="18"/>
      <c r="O15" s="128"/>
      <c r="P15" s="153"/>
      <c r="Q15" s="96"/>
      <c r="R15" s="18"/>
      <c r="S15" s="129">
        <v>3.38</v>
      </c>
      <c r="T15" s="96">
        <f t="shared" si="0"/>
        <v>12.076923076923077</v>
      </c>
      <c r="U15" s="95"/>
      <c r="V15" s="130">
        <f>(S15-K15)/K15</f>
        <v>0.14576271186440667</v>
      </c>
      <c r="W15" s="131"/>
      <c r="X15" s="129">
        <v>2.46</v>
      </c>
      <c r="Y15" s="132"/>
      <c r="Z15" s="96">
        <f t="shared" si="1"/>
        <v>16.59349593495935</v>
      </c>
      <c r="AA15" s="95"/>
      <c r="AB15" s="133">
        <f>+(+X15-AS77)/AS77</f>
        <v>0.17142857142857137</v>
      </c>
      <c r="AC15" s="134">
        <v>0.18140000000000001</v>
      </c>
      <c r="AD15" s="95"/>
      <c r="AE15" s="129">
        <v>2.76</v>
      </c>
      <c r="AF15" s="132"/>
      <c r="AG15" s="96">
        <f t="shared" si="2"/>
        <v>14.789855072463769</v>
      </c>
      <c r="AH15" s="95"/>
      <c r="AJ15" s="95"/>
      <c r="AK15" s="130">
        <f t="shared" si="3"/>
        <v>-0.27218934911242604</v>
      </c>
      <c r="AL15" s="131"/>
      <c r="AM15" s="100">
        <f t="shared" si="4"/>
        <v>-2.7400524183940875E-2</v>
      </c>
      <c r="AN15" s="131"/>
      <c r="AO15" s="131">
        <f t="shared" si="5"/>
        <v>-3.8488535329901805E-2</v>
      </c>
      <c r="AP15" s="131"/>
      <c r="AQ15" s="135">
        <f t="shared" si="6"/>
        <v>-2.9328953542937589E-2</v>
      </c>
      <c r="AS15" s="158">
        <f t="shared" si="7"/>
        <v>2.6947574718275358E-2</v>
      </c>
      <c r="AT15" s="159"/>
      <c r="AU15" s="3">
        <f>[1]!'DUK,DIVIDEND'</f>
        <v>1.1000000000000001</v>
      </c>
      <c r="AV15" s="163">
        <v>37020</v>
      </c>
      <c r="AW15" s="102">
        <v>0.27500000000000002</v>
      </c>
      <c r="AX15" s="151"/>
      <c r="AY15" s="140">
        <v>41.97</v>
      </c>
      <c r="AZ15" s="151">
        <v>0.27500000000000002</v>
      </c>
      <c r="BA15" s="140">
        <v>42.74</v>
      </c>
      <c r="BB15" s="151">
        <f>0.275*2</f>
        <v>0.55000000000000004</v>
      </c>
      <c r="BC15" s="140">
        <v>42.62</v>
      </c>
    </row>
    <row r="16" spans="1:56" ht="15.6" x14ac:dyDescent="0.3">
      <c r="A16" s="17" t="s">
        <v>108</v>
      </c>
      <c r="B16" s="162"/>
      <c r="C16" s="41" t="s">
        <v>54</v>
      </c>
      <c r="D16" s="18"/>
      <c r="E16" s="145">
        <f>[1]!DYN</f>
        <v>45.39</v>
      </c>
      <c r="F16" s="18"/>
      <c r="G16" s="128"/>
      <c r="H16" s="153"/>
      <c r="I16" s="96"/>
      <c r="J16" s="18"/>
      <c r="K16" s="128">
        <v>0.7</v>
      </c>
      <c r="L16" s="26"/>
      <c r="M16" s="96">
        <f>E16/K16</f>
        <v>64.842857142857142</v>
      </c>
      <c r="N16" s="18"/>
      <c r="O16" s="128"/>
      <c r="P16" s="153"/>
      <c r="Q16" s="96"/>
      <c r="R16" s="18"/>
      <c r="S16" s="129">
        <v>0.57999999999999996</v>
      </c>
      <c r="T16" s="96">
        <f t="shared" si="0"/>
        <v>78.258620689655174</v>
      </c>
      <c r="U16" s="95"/>
      <c r="V16" s="130">
        <f>(S16-K16)/K16</f>
        <v>-0.17142857142857143</v>
      </c>
      <c r="W16" s="131"/>
      <c r="X16" s="129">
        <v>2.02</v>
      </c>
      <c r="Y16" s="132"/>
      <c r="Z16" s="96">
        <f t="shared" si="1"/>
        <v>22.470297029702969</v>
      </c>
      <c r="AA16" s="95"/>
      <c r="AB16" s="133">
        <f>+(+X16-AS78)/AS78</f>
        <v>0.41258741258741266</v>
      </c>
      <c r="AC16" s="134">
        <v>0.20399999999999999</v>
      </c>
      <c r="AD16" s="95"/>
      <c r="AE16" s="129">
        <v>2.41</v>
      </c>
      <c r="AF16" s="164"/>
      <c r="AG16" s="96">
        <f t="shared" si="2"/>
        <v>18.834024896265561</v>
      </c>
      <c r="AH16" s="95"/>
      <c r="AJ16" s="95"/>
      <c r="AK16" s="130">
        <f t="shared" si="3"/>
        <v>2.4827586206896552</v>
      </c>
      <c r="AL16" s="131"/>
      <c r="AM16" s="100">
        <f t="shared" si="4"/>
        <v>-3.4460753031269886E-2</v>
      </c>
      <c r="AN16" s="131"/>
      <c r="AO16" s="131">
        <f t="shared" si="5"/>
        <v>-0.10870417565183287</v>
      </c>
      <c r="AP16" s="131"/>
      <c r="AQ16" s="135">
        <f t="shared" si="6"/>
        <v>-0.18769230769230771</v>
      </c>
      <c r="AS16" s="158">
        <f t="shared" si="7"/>
        <v>6.6093853271645729E-3</v>
      </c>
      <c r="AT16" s="159"/>
      <c r="AU16" s="3">
        <f>[1]!'DYN,DIVIDEND'</f>
        <v>0.3</v>
      </c>
      <c r="AV16" s="160">
        <v>37040</v>
      </c>
      <c r="AW16" s="102">
        <v>7.4999999999999997E-2</v>
      </c>
      <c r="AX16" s="151"/>
      <c r="AY16" s="140">
        <v>47.01</v>
      </c>
      <c r="AZ16" s="151">
        <v>7.4999999999999997E-2</v>
      </c>
      <c r="BA16" s="140">
        <v>51.01</v>
      </c>
      <c r="BB16" s="151">
        <f>0.075*2</f>
        <v>0.15</v>
      </c>
      <c r="BC16" s="140">
        <v>56.0625</v>
      </c>
    </row>
    <row r="17" spans="1:55" x14ac:dyDescent="0.25">
      <c r="A17" s="17" t="s">
        <v>55</v>
      </c>
      <c r="B17" s="6"/>
      <c r="C17" s="41" t="s">
        <v>2</v>
      </c>
      <c r="D17" s="18"/>
      <c r="E17" s="145">
        <f>[1]!EPG</f>
        <v>55.17</v>
      </c>
      <c r="F17" s="18"/>
      <c r="G17" s="128">
        <v>2.85</v>
      </c>
      <c r="H17" s="153" t="s">
        <v>50</v>
      </c>
      <c r="I17" s="96">
        <f>E17/G17</f>
        <v>19.357894736842105</v>
      </c>
      <c r="J17" s="18"/>
      <c r="K17" s="128">
        <v>3.18</v>
      </c>
      <c r="L17" s="26"/>
      <c r="M17" s="96">
        <f>E17/K17</f>
        <v>17.349056603773583</v>
      </c>
      <c r="N17" s="18"/>
      <c r="O17" s="128">
        <v>2.85</v>
      </c>
      <c r="P17" s="153" t="s">
        <v>50</v>
      </c>
      <c r="Q17" s="96">
        <f>M17/O17</f>
        <v>6.0873882820258185</v>
      </c>
      <c r="R17" s="18"/>
      <c r="S17" s="129">
        <v>1.83</v>
      </c>
      <c r="T17" s="96">
        <f t="shared" si="0"/>
        <v>30.147540983606557</v>
      </c>
      <c r="U17" s="95"/>
      <c r="V17" s="130">
        <f>(S17-K17)/K17</f>
        <v>-0.42452830188679247</v>
      </c>
      <c r="W17" s="131"/>
      <c r="X17" s="129">
        <v>3.34</v>
      </c>
      <c r="Y17" s="132"/>
      <c r="Z17" s="96">
        <f t="shared" si="1"/>
        <v>16.517964071856287</v>
      </c>
      <c r="AA17" s="95"/>
      <c r="AB17" s="133">
        <f>+(+X17-AS79)/AS79</f>
        <v>0.24163568773234198</v>
      </c>
      <c r="AC17" s="134">
        <v>0.18629999999999999</v>
      </c>
      <c r="AD17" s="95"/>
      <c r="AE17" s="129">
        <v>3.92</v>
      </c>
      <c r="AF17" s="132"/>
      <c r="AG17" s="96">
        <f t="shared" si="2"/>
        <v>14.073979591836736</v>
      </c>
      <c r="AH17" s="95"/>
      <c r="AJ17" s="95"/>
      <c r="AK17" s="130">
        <f t="shared" si="3"/>
        <v>0.82513661202185773</v>
      </c>
      <c r="AL17" s="131"/>
      <c r="AM17" s="100">
        <f t="shared" si="4"/>
        <v>-3.2105263157894706E-2</v>
      </c>
      <c r="AN17" s="131"/>
      <c r="AO17" s="131">
        <f t="shared" si="5"/>
        <v>-0.15187595712098004</v>
      </c>
      <c r="AP17" s="131"/>
      <c r="AQ17" s="135">
        <f t="shared" si="6"/>
        <v>-0.22380453752181503</v>
      </c>
      <c r="AS17" s="158">
        <f t="shared" si="7"/>
        <v>1.5406924052927314E-2</v>
      </c>
      <c r="AT17" s="159"/>
      <c r="AU17" s="3">
        <f>[1]!'EPG,DIVIDEND'</f>
        <v>0.85</v>
      </c>
      <c r="AV17" s="160">
        <v>37041</v>
      </c>
      <c r="AW17" s="102">
        <v>0.21249999999999999</v>
      </c>
      <c r="AX17" s="151"/>
      <c r="AY17" s="140">
        <v>57</v>
      </c>
      <c r="AZ17" s="151">
        <v>0.21249999999999999</v>
      </c>
      <c r="BA17" s="140">
        <v>65.3</v>
      </c>
      <c r="BB17" s="151">
        <f>0.2125*2</f>
        <v>0.42499999999999999</v>
      </c>
      <c r="BC17" s="140">
        <v>71.625</v>
      </c>
    </row>
    <row r="18" spans="1:55" x14ac:dyDescent="0.25">
      <c r="A18" s="17" t="s">
        <v>64</v>
      </c>
      <c r="B18" s="6"/>
      <c r="C18" s="41" t="s">
        <v>65</v>
      </c>
      <c r="D18" s="18"/>
      <c r="E18" s="145">
        <f>[1]!KMI</f>
        <v>55</v>
      </c>
      <c r="F18" s="18"/>
      <c r="G18" s="128"/>
      <c r="H18" s="153"/>
      <c r="I18" s="96"/>
      <c r="J18" s="18"/>
      <c r="K18" s="128">
        <v>2.4300000000000002</v>
      </c>
      <c r="L18" s="26"/>
      <c r="M18" s="96">
        <f>E18/K18</f>
        <v>22.633744855967077</v>
      </c>
      <c r="N18" s="18"/>
      <c r="O18" s="128"/>
      <c r="P18" s="153"/>
      <c r="Q18" s="96"/>
      <c r="R18" s="18"/>
      <c r="S18" s="129">
        <v>1.17</v>
      </c>
      <c r="T18" s="96">
        <f t="shared" si="0"/>
        <v>47.008547008547012</v>
      </c>
      <c r="U18" s="95"/>
      <c r="V18" s="130"/>
      <c r="W18" s="131"/>
      <c r="X18" s="129">
        <v>1.81</v>
      </c>
      <c r="Y18" s="132"/>
      <c r="Z18" s="96">
        <f t="shared" si="1"/>
        <v>30.386740331491712</v>
      </c>
      <c r="AA18" s="95"/>
      <c r="AB18" s="133">
        <f>+(+X18-AS80)/AS80</f>
        <v>0.4140625</v>
      </c>
      <c r="AC18" s="134">
        <v>0.1061</v>
      </c>
      <c r="AD18" s="95"/>
      <c r="AE18" s="129">
        <v>2.27</v>
      </c>
      <c r="AF18" s="132"/>
      <c r="AG18" s="96">
        <f t="shared" si="2"/>
        <v>24.229074889867842</v>
      </c>
      <c r="AH18" s="95"/>
      <c r="AJ18" s="95"/>
      <c r="AK18" s="130">
        <f t="shared" si="3"/>
        <v>0.54700854700854717</v>
      </c>
      <c r="AL18" s="131"/>
      <c r="AM18" s="100">
        <f t="shared" si="4"/>
        <v>-4.3446777697321139E-3</v>
      </c>
      <c r="AN18" s="131"/>
      <c r="AO18" s="131">
        <f t="shared" si="5"/>
        <v>3.4774436090225458E-2</v>
      </c>
      <c r="AP18" s="131"/>
      <c r="AQ18" s="135">
        <f t="shared" si="6"/>
        <v>5.580838323353296E-2</v>
      </c>
      <c r="AS18" s="158">
        <f t="shared" si="7"/>
        <v>3.6363636363636364E-3</v>
      </c>
      <c r="AT18" s="159"/>
      <c r="AU18" s="3">
        <f>[1]!'KMI,DIVIDEND'</f>
        <v>0.2</v>
      </c>
      <c r="AV18" s="160">
        <v>37007</v>
      </c>
      <c r="AW18" s="102">
        <v>0.05</v>
      </c>
      <c r="AX18" s="151"/>
      <c r="AY18" s="140">
        <v>55.24</v>
      </c>
      <c r="AZ18" s="151">
        <v>0.05</v>
      </c>
      <c r="BA18" s="140">
        <v>53.2</v>
      </c>
      <c r="BB18" s="151">
        <f>0.05*2</f>
        <v>0.1</v>
      </c>
      <c r="BC18" s="140">
        <v>52.1875</v>
      </c>
    </row>
    <row r="19" spans="1:55" x14ac:dyDescent="0.25">
      <c r="A19" s="165" t="s">
        <v>120</v>
      </c>
      <c r="B19" s="166"/>
      <c r="C19" s="64" t="s">
        <v>119</v>
      </c>
      <c r="D19" s="18"/>
      <c r="E19" s="145">
        <f>[1]!MIR</f>
        <v>35.25</v>
      </c>
      <c r="F19" s="18"/>
      <c r="G19" s="64"/>
      <c r="H19" s="62"/>
      <c r="I19" s="64"/>
      <c r="J19" s="18"/>
      <c r="K19" s="64"/>
      <c r="L19" s="62"/>
      <c r="M19" s="64"/>
      <c r="N19" s="18"/>
      <c r="O19" s="64"/>
      <c r="P19" s="62"/>
      <c r="Q19" s="64"/>
      <c r="R19" s="18"/>
      <c r="S19" s="64"/>
      <c r="T19" s="64"/>
      <c r="U19" s="64"/>
      <c r="V19" s="64"/>
      <c r="W19" s="64"/>
      <c r="X19" s="129">
        <v>1.93</v>
      </c>
      <c r="Y19" s="132"/>
      <c r="Z19" s="96">
        <f>E19/X19</f>
        <v>18.264248704663213</v>
      </c>
      <c r="AA19" s="95"/>
      <c r="AB19" s="133">
        <f>+(+X19-AS83)/AS83</f>
        <v>0.96938775510204078</v>
      </c>
      <c r="AC19" s="134">
        <v>8.8800000000000004E-2</v>
      </c>
      <c r="AD19" s="95"/>
      <c r="AE19" s="129">
        <v>2.37</v>
      </c>
      <c r="AF19" s="132"/>
      <c r="AG19" s="96">
        <f>E19/AE19</f>
        <v>14.873417721518987</v>
      </c>
      <c r="AH19" s="95"/>
      <c r="AJ19" s="95"/>
      <c r="AK19" s="130" t="e">
        <f>(X19-S19)/S19</f>
        <v>#DIV/0!</v>
      </c>
      <c r="AL19" s="131"/>
      <c r="AM19" s="100">
        <f>((+AX19+E19-AY19)/AY19)</f>
        <v>-0.06</v>
      </c>
      <c r="AN19" s="131"/>
      <c r="AO19" s="131">
        <f>((+AZ19+E19-BA19)/BA19)</f>
        <v>-7.0422535211267607E-3</v>
      </c>
      <c r="AP19" s="131"/>
      <c r="AQ19" s="135">
        <f>((+BB19+E19-BC19)/BC19)</f>
        <v>0.24503311258278146</v>
      </c>
      <c r="AS19" s="158">
        <f>AU19/E19</f>
        <v>0</v>
      </c>
      <c r="AT19" s="159"/>
      <c r="AU19" s="3">
        <v>0</v>
      </c>
      <c r="AV19" s="160" t="s">
        <v>68</v>
      </c>
      <c r="AW19" s="102">
        <v>0</v>
      </c>
      <c r="AX19" s="151"/>
      <c r="AY19" s="140">
        <v>37.5</v>
      </c>
      <c r="AZ19" s="151"/>
      <c r="BA19" s="140">
        <v>35.5</v>
      </c>
      <c r="BB19" s="151"/>
      <c r="BC19" s="140">
        <v>28.3125</v>
      </c>
    </row>
    <row r="20" spans="1:55" x14ac:dyDescent="0.25">
      <c r="A20" s="17" t="s">
        <v>99</v>
      </c>
      <c r="B20" s="166"/>
      <c r="C20" s="19" t="s">
        <v>98</v>
      </c>
      <c r="D20" s="5"/>
      <c r="E20" s="145">
        <f>[1]!NRG</f>
        <v>23.05</v>
      </c>
      <c r="F20" s="5"/>
      <c r="G20" s="18"/>
      <c r="H20" s="18"/>
      <c r="I20" s="18"/>
      <c r="J20" s="18"/>
      <c r="K20" s="18"/>
      <c r="L20" s="18"/>
      <c r="M20" s="18"/>
      <c r="N20" s="5"/>
      <c r="O20" s="18"/>
      <c r="P20" s="18"/>
      <c r="Q20" s="18"/>
      <c r="R20" s="18"/>
      <c r="S20" s="18"/>
      <c r="T20" s="18"/>
      <c r="U20" s="26"/>
      <c r="V20" s="167"/>
      <c r="W20" s="112"/>
      <c r="X20" s="129">
        <v>1.36</v>
      </c>
      <c r="Y20" s="132"/>
      <c r="Z20" s="96">
        <f>E20/X20</f>
        <v>16.948529411764707</v>
      </c>
      <c r="AA20" s="95"/>
      <c r="AB20" s="133">
        <f>+(+X20-AS81)/AS81</f>
        <v>0.23636363636363636</v>
      </c>
      <c r="AC20" s="134">
        <v>0.15529999999999999</v>
      </c>
      <c r="AD20" s="95"/>
      <c r="AE20" s="129">
        <v>1.68</v>
      </c>
      <c r="AF20" s="132"/>
      <c r="AG20" s="96">
        <f>E20/AE20</f>
        <v>13.720238095238097</v>
      </c>
      <c r="AH20" s="95"/>
      <c r="AJ20" s="95"/>
      <c r="AK20" s="130" t="e">
        <f>(X20-S20)/S20</f>
        <v>#DIV/0!</v>
      </c>
      <c r="AL20" s="131"/>
      <c r="AM20" s="100">
        <f t="shared" si="4"/>
        <v>-0.11038209185642607</v>
      </c>
      <c r="AN20" s="131"/>
      <c r="AO20" s="131">
        <f t="shared" si="5"/>
        <v>-0.36675824175824173</v>
      </c>
      <c r="AP20" s="131"/>
      <c r="AQ20" s="135">
        <f t="shared" si="6"/>
        <v>-0.17123595505617975</v>
      </c>
      <c r="AS20" s="158">
        <f t="shared" si="7"/>
        <v>0</v>
      </c>
      <c r="AT20" s="159"/>
      <c r="AU20" s="3">
        <v>0</v>
      </c>
      <c r="AV20" s="160" t="s">
        <v>68</v>
      </c>
      <c r="AW20" s="102">
        <v>0</v>
      </c>
      <c r="AX20" s="151"/>
      <c r="AY20" s="140">
        <v>25.91</v>
      </c>
      <c r="AZ20" s="151"/>
      <c r="BA20" s="140">
        <v>36.4</v>
      </c>
      <c r="BB20" s="151"/>
      <c r="BC20" s="140">
        <v>27.8125</v>
      </c>
    </row>
    <row r="21" spans="1:55" x14ac:dyDescent="0.25">
      <c r="A21" s="17" t="s">
        <v>129</v>
      </c>
      <c r="B21" s="18"/>
      <c r="C21" s="41" t="s">
        <v>128</v>
      </c>
      <c r="D21" s="18"/>
      <c r="E21" s="145">
        <f>[1]!RRI</f>
        <v>29.2</v>
      </c>
      <c r="F21" s="18"/>
      <c r="G21" s="128"/>
      <c r="H21" s="153"/>
      <c r="I21" s="96"/>
      <c r="J21" s="18"/>
      <c r="K21" s="128"/>
      <c r="L21" s="26"/>
      <c r="M21" s="96"/>
      <c r="N21" s="18"/>
      <c r="O21" s="128"/>
      <c r="P21" s="153"/>
      <c r="Q21" s="96"/>
      <c r="R21" s="18"/>
      <c r="S21" s="129">
        <v>1.1499999999999999</v>
      </c>
      <c r="T21" s="96">
        <f>E21/S21</f>
        <v>25.39130434782609</v>
      </c>
      <c r="U21" s="95"/>
      <c r="V21" s="130"/>
      <c r="W21" s="131"/>
      <c r="X21" s="141">
        <v>1.65</v>
      </c>
      <c r="Y21" s="154"/>
      <c r="Z21" s="96">
        <f t="shared" si="1"/>
        <v>17.696969696969699</v>
      </c>
      <c r="AA21" s="143"/>
      <c r="AB21" s="155" t="s">
        <v>76</v>
      </c>
      <c r="AC21" s="156" t="s">
        <v>76</v>
      </c>
      <c r="AD21" s="144"/>
      <c r="AE21" s="141">
        <v>2.08</v>
      </c>
      <c r="AF21" s="154"/>
      <c r="AG21" s="96">
        <f t="shared" si="2"/>
        <v>14.038461538461538</v>
      </c>
      <c r="AH21" s="95"/>
      <c r="AJ21" s="95"/>
      <c r="AK21" s="130">
        <f>(X21-S21)/S21</f>
        <v>0.43478260869565222</v>
      </c>
      <c r="AL21" s="131"/>
      <c r="AM21" s="100">
        <f t="shared" si="4"/>
        <v>-3.3112582781456956E-2</v>
      </c>
      <c r="AN21" s="131"/>
      <c r="AO21" s="385" t="s">
        <v>76</v>
      </c>
      <c r="AP21" s="131"/>
      <c r="AQ21" s="157" t="s">
        <v>76</v>
      </c>
      <c r="AS21" s="158">
        <f t="shared" si="7"/>
        <v>0</v>
      </c>
      <c r="AT21" s="159"/>
      <c r="AU21" s="3">
        <v>0</v>
      </c>
      <c r="AV21" s="160" t="s">
        <v>68</v>
      </c>
      <c r="AW21" s="102">
        <v>0</v>
      </c>
      <c r="AX21" s="151"/>
      <c r="AY21" s="140">
        <v>30.2</v>
      </c>
      <c r="AZ21" s="151"/>
      <c r="BA21" s="161" t="s">
        <v>76</v>
      </c>
      <c r="BB21" s="151">
        <v>0</v>
      </c>
      <c r="BC21" s="161" t="s">
        <v>76</v>
      </c>
    </row>
    <row r="22" spans="1:55" x14ac:dyDescent="0.25">
      <c r="A22" s="17" t="s">
        <v>86</v>
      </c>
      <c r="B22" s="18"/>
      <c r="C22" s="41" t="s">
        <v>4</v>
      </c>
      <c r="D22" s="18"/>
      <c r="E22" s="145">
        <f>[1]!WMB</f>
        <v>35.83</v>
      </c>
      <c r="F22" s="18"/>
      <c r="G22" s="128">
        <v>2.08</v>
      </c>
      <c r="H22" s="153" t="s">
        <v>50</v>
      </c>
      <c r="I22" s="96">
        <f>E22/G22</f>
        <v>17.225961538461537</v>
      </c>
      <c r="J22" s="18"/>
      <c r="K22" s="128">
        <v>1.04</v>
      </c>
      <c r="L22" s="26"/>
      <c r="M22" s="96">
        <f>E22/K22</f>
        <v>34.451923076923073</v>
      </c>
      <c r="N22" s="18"/>
      <c r="O22" s="128">
        <v>2.08</v>
      </c>
      <c r="P22" s="153" t="s">
        <v>50</v>
      </c>
      <c r="Q22" s="96">
        <f>M22/O22</f>
        <v>16.563424556213015</v>
      </c>
      <c r="R22" s="18"/>
      <c r="S22" s="129">
        <v>0.82</v>
      </c>
      <c r="T22" s="96">
        <f>E22/S22</f>
        <v>43.695121951219512</v>
      </c>
      <c r="U22" s="95"/>
      <c r="V22" s="130">
        <f>(S22-K22)/K22</f>
        <v>-0.21153846153846162</v>
      </c>
      <c r="W22" s="131"/>
      <c r="X22" s="129">
        <v>2.31</v>
      </c>
      <c r="Y22" s="132"/>
      <c r="Z22" s="96">
        <f t="shared" si="1"/>
        <v>15.510822510822509</v>
      </c>
      <c r="AA22" s="95"/>
      <c r="AB22" s="133">
        <f>+(+X22-AS85)/AS85</f>
        <v>0.34302325581395354</v>
      </c>
      <c r="AC22" s="134">
        <v>0.14749999999999999</v>
      </c>
      <c r="AD22" s="95"/>
      <c r="AE22" s="129">
        <v>2.6</v>
      </c>
      <c r="AF22" s="132"/>
      <c r="AG22" s="96">
        <f t="shared" si="2"/>
        <v>13.780769230769229</v>
      </c>
      <c r="AH22" s="95"/>
      <c r="AJ22" s="95"/>
      <c r="AK22" s="130">
        <f t="shared" si="3"/>
        <v>1.8170731707317076</v>
      </c>
      <c r="AL22" s="131"/>
      <c r="AM22" s="100">
        <f t="shared" si="4"/>
        <v>-4.8592671269251153E-2</v>
      </c>
      <c r="AN22" s="131"/>
      <c r="AO22" s="131">
        <f t="shared" si="5"/>
        <v>-0.16032672112018681</v>
      </c>
      <c r="AP22" s="131"/>
      <c r="AQ22" s="135">
        <f t="shared" si="6"/>
        <v>-9.5336463223787277E-2</v>
      </c>
      <c r="AS22" s="158">
        <f t="shared" si="7"/>
        <v>1.6745743790120012E-2</v>
      </c>
      <c r="AT22" s="159"/>
      <c r="AU22" s="3">
        <f>[1]!'WMB,DIVIDEND'</f>
        <v>0.6</v>
      </c>
      <c r="AV22" s="160">
        <v>37048</v>
      </c>
      <c r="AW22" s="102">
        <v>0.15</v>
      </c>
      <c r="AX22" s="151"/>
      <c r="AY22" s="140">
        <v>37.659999999999997</v>
      </c>
      <c r="AZ22" s="151">
        <v>0.15</v>
      </c>
      <c r="BA22" s="140">
        <v>42.85</v>
      </c>
      <c r="BB22" s="151">
        <v>0.3</v>
      </c>
      <c r="BC22" s="140">
        <v>39.9375</v>
      </c>
    </row>
    <row r="23" spans="1:55" ht="10.5" customHeight="1" x14ac:dyDescent="0.25">
      <c r="A23" s="5"/>
      <c r="B23" s="5"/>
      <c r="C23" s="6"/>
      <c r="D23" s="5"/>
      <c r="E23" s="145"/>
      <c r="F23" s="5"/>
      <c r="G23" s="168"/>
      <c r="H23" s="169"/>
      <c r="I23" s="146"/>
      <c r="J23" s="18"/>
      <c r="K23" s="168"/>
      <c r="L23" s="7"/>
      <c r="M23" s="146"/>
      <c r="N23" s="5"/>
      <c r="O23" s="168"/>
      <c r="P23" s="169"/>
      <c r="Q23" s="146"/>
      <c r="R23" s="18"/>
      <c r="S23" s="168"/>
      <c r="T23" s="146"/>
      <c r="U23" s="7"/>
      <c r="V23" s="130"/>
      <c r="W23" s="131"/>
      <c r="X23" s="168"/>
      <c r="Y23" s="7"/>
      <c r="Z23" s="146"/>
      <c r="AA23" s="7"/>
      <c r="AB23" s="147"/>
      <c r="AC23" s="148" t="s">
        <v>116</v>
      </c>
      <c r="AD23" s="7"/>
      <c r="AE23" s="168"/>
      <c r="AF23" s="7"/>
      <c r="AG23" s="148"/>
      <c r="AH23" s="149"/>
      <c r="AJ23" s="7"/>
      <c r="AK23" s="130"/>
      <c r="AL23" s="131"/>
      <c r="AM23" s="100"/>
      <c r="AN23" s="131"/>
      <c r="AO23" s="131"/>
      <c r="AP23" s="131"/>
      <c r="AQ23" s="135"/>
      <c r="AS23" s="130"/>
      <c r="AT23" s="100"/>
      <c r="AU23" s="170"/>
      <c r="AV23" s="171"/>
      <c r="AW23" s="172"/>
      <c r="AX23" s="173"/>
      <c r="AY23" s="174"/>
      <c r="AZ23" s="151"/>
      <c r="BA23" s="175"/>
      <c r="BB23" s="176"/>
      <c r="BC23" s="175"/>
    </row>
    <row r="24" spans="1:55" x14ac:dyDescent="0.25">
      <c r="A24" s="17" t="s">
        <v>93</v>
      </c>
      <c r="B24" s="18"/>
      <c r="C24" s="19"/>
      <c r="D24" s="18"/>
      <c r="E24" s="145"/>
      <c r="F24" s="18"/>
      <c r="G24" s="177"/>
      <c r="H24" s="178"/>
      <c r="I24" s="179">
        <f>AVERAGE(I14:I22)</f>
        <v>15.226398419451497</v>
      </c>
      <c r="J24" s="26"/>
      <c r="K24" s="177"/>
      <c r="L24" s="178"/>
      <c r="M24" s="179">
        <f>AVERAGE(M14:M22)</f>
        <v>26.967525535987303</v>
      </c>
      <c r="N24" s="18"/>
      <c r="O24" s="177"/>
      <c r="P24" s="178"/>
      <c r="Q24" s="179">
        <f>AVERAGE(Q14:Q22)</f>
        <v>8.1639915252328397</v>
      </c>
      <c r="R24" s="26"/>
      <c r="S24" s="177"/>
      <c r="T24" s="179">
        <f>AVERAGE(T14:T22)</f>
        <v>35.584870434742882</v>
      </c>
      <c r="U24" s="95"/>
      <c r="V24" s="180">
        <f>AVERAGE(V14:V22)</f>
        <v>-0.19348012783675017</v>
      </c>
      <c r="W24" s="131"/>
      <c r="X24" s="181"/>
      <c r="Y24" s="182"/>
      <c r="Z24" s="179">
        <f>AVERAGE(Z14:Z22)</f>
        <v>19.746732159040096</v>
      </c>
      <c r="AA24" s="95"/>
      <c r="AB24" s="183"/>
      <c r="AC24" s="179"/>
      <c r="AD24" s="95"/>
      <c r="AE24" s="184"/>
      <c r="AF24" s="185"/>
      <c r="AG24" s="179">
        <f>AVERAGE(AG14:AG22)</f>
        <v>16.239233227191171</v>
      </c>
      <c r="AH24" s="95"/>
      <c r="AJ24" s="95"/>
      <c r="AK24" s="180" t="e">
        <f>AVERAGE(AK14:AK22)</f>
        <v>#DIV/0!</v>
      </c>
      <c r="AL24" s="131"/>
      <c r="AM24" s="186">
        <f>AVERAGE(AM14:AM22)</f>
        <v>-3.4743342182331077E-2</v>
      </c>
      <c r="AN24" s="187"/>
      <c r="AO24" s="188">
        <f>AVERAGE(AO14:AO22)</f>
        <v>-0.11739175230851118</v>
      </c>
      <c r="AP24" s="187"/>
      <c r="AQ24" s="189">
        <f>AVERAGE(AQ14:AQ22)</f>
        <v>-7.8912140942656833E-2</v>
      </c>
      <c r="AS24" s="180">
        <f>AVERAGE(AS14:AS22)</f>
        <v>7.7051101694278774E-3</v>
      </c>
      <c r="AT24" s="100"/>
      <c r="AU24" s="190"/>
      <c r="AV24" s="191"/>
      <c r="AW24" s="192"/>
      <c r="AX24" s="193"/>
      <c r="AY24" s="192"/>
      <c r="AZ24" s="194"/>
      <c r="BA24" s="195"/>
      <c r="BB24" s="194"/>
      <c r="BC24" s="195"/>
    </row>
    <row r="25" spans="1:55" x14ac:dyDescent="0.25">
      <c r="A25" s="351"/>
      <c r="B25" s="5"/>
      <c r="C25" s="6"/>
      <c r="D25" s="5"/>
      <c r="E25" s="5"/>
      <c r="F25" s="5"/>
      <c r="G25" s="18"/>
      <c r="H25" s="18"/>
      <c r="I25" s="18"/>
      <c r="J25" s="18"/>
      <c r="K25" s="18"/>
      <c r="L25" s="18"/>
      <c r="M25" s="18"/>
      <c r="N25" s="5"/>
      <c r="O25" s="18"/>
      <c r="P25" s="18"/>
      <c r="Q25" s="18"/>
      <c r="R25" s="18"/>
      <c r="S25" s="18"/>
      <c r="T25" s="18"/>
      <c r="U25" s="26"/>
      <c r="V25" s="167"/>
      <c r="W25" s="112"/>
      <c r="X25" s="18"/>
      <c r="Y25" s="18"/>
      <c r="Z25" s="18"/>
      <c r="AA25" s="18"/>
      <c r="AB25" s="18"/>
      <c r="AC25" s="18"/>
      <c r="AD25" s="18"/>
      <c r="AE25" s="18"/>
      <c r="AF25" s="18"/>
      <c r="AG25" s="197"/>
      <c r="AH25" s="197"/>
      <c r="AI25" s="197"/>
      <c r="AJ25" s="18"/>
      <c r="AK25" s="167"/>
      <c r="AL25" s="112"/>
      <c r="AM25" s="112"/>
      <c r="AN25" s="112"/>
      <c r="AO25" s="112"/>
      <c r="AP25" s="112"/>
      <c r="AQ25" s="112"/>
      <c r="AS25" s="112"/>
      <c r="AT25" s="36"/>
      <c r="AU25" s="198"/>
      <c r="AV25" s="199"/>
      <c r="AW25" s="200"/>
      <c r="AX25" s="36"/>
    </row>
    <row r="26" spans="1:55" ht="9" customHeight="1" x14ac:dyDescent="0.25">
      <c r="A26" s="351" t="s">
        <v>131</v>
      </c>
      <c r="B26" s="5"/>
      <c r="C26" s="6"/>
      <c r="D26" s="5"/>
      <c r="E26" s="5"/>
      <c r="F26" s="5"/>
      <c r="G26" s="18"/>
      <c r="H26" s="18"/>
      <c r="I26" s="18"/>
      <c r="J26" s="18"/>
      <c r="K26" s="18"/>
      <c r="L26" s="18"/>
      <c r="M26" s="18"/>
      <c r="N26" s="5"/>
      <c r="O26" s="18"/>
      <c r="P26" s="18"/>
      <c r="Q26" s="18"/>
      <c r="R26" s="18"/>
      <c r="S26" s="18"/>
      <c r="T26" s="18"/>
      <c r="U26" s="26"/>
      <c r="V26" s="167"/>
      <c r="W26" s="112"/>
      <c r="Y26" s="18"/>
      <c r="Z26" s="18"/>
      <c r="AA26" s="18"/>
      <c r="AB26" s="18"/>
      <c r="AC26" s="18"/>
      <c r="AD26" s="18"/>
      <c r="AF26" s="18"/>
      <c r="AG26" s="197"/>
      <c r="AH26" s="197"/>
      <c r="AI26" s="197"/>
      <c r="AJ26" s="18"/>
      <c r="AK26" s="167"/>
      <c r="AL26" s="112"/>
      <c r="AM26" s="112"/>
      <c r="AN26" s="112"/>
      <c r="AO26" s="112"/>
      <c r="AP26" s="112"/>
      <c r="AQ26" s="167"/>
      <c r="AU26" s="198"/>
      <c r="AV26" s="199"/>
      <c r="AW26" s="200"/>
      <c r="AX26" s="36"/>
    </row>
    <row r="27" spans="1:55" ht="7.5" customHeight="1" x14ac:dyDescent="0.25">
      <c r="A27" s="201"/>
      <c r="B27" s="10"/>
      <c r="C27" s="11"/>
      <c r="D27" s="10"/>
      <c r="E27" s="10"/>
      <c r="F27" s="10"/>
      <c r="G27" s="202"/>
      <c r="H27" s="202"/>
      <c r="I27" s="202"/>
      <c r="J27" s="202"/>
      <c r="K27" s="202"/>
      <c r="L27" s="202"/>
      <c r="M27" s="202"/>
      <c r="N27" s="10"/>
      <c r="O27" s="202"/>
      <c r="P27" s="202"/>
      <c r="Q27" s="202"/>
      <c r="R27" s="10"/>
      <c r="S27" s="10"/>
      <c r="T27" s="10"/>
      <c r="U27" s="10"/>
      <c r="V27" s="10"/>
      <c r="W27" s="10"/>
      <c r="X27" s="203" t="s">
        <v>90</v>
      </c>
      <c r="Y27" s="204"/>
      <c r="Z27" s="204"/>
      <c r="AA27" s="204"/>
      <c r="AB27" s="204"/>
      <c r="AC27" s="204"/>
      <c r="AD27" s="204"/>
      <c r="AE27" s="205" t="s">
        <v>90</v>
      </c>
      <c r="AF27" s="18"/>
      <c r="AG27" s="197"/>
      <c r="AH27" s="197"/>
      <c r="AI27" s="197"/>
      <c r="AJ27" s="18"/>
      <c r="AK27" s="167"/>
      <c r="AL27" s="112"/>
      <c r="AM27" s="112"/>
      <c r="AN27" s="112"/>
      <c r="AO27" s="112"/>
      <c r="AP27" s="112"/>
      <c r="AQ27" s="167"/>
      <c r="AU27" s="198"/>
      <c r="AV27" s="199"/>
      <c r="AW27" s="200"/>
      <c r="AX27" s="36"/>
    </row>
    <row r="28" spans="1:55" ht="12.75" customHeight="1" x14ac:dyDescent="0.25">
      <c r="A28" s="206" t="s">
        <v>5</v>
      </c>
      <c r="B28" s="10"/>
      <c r="C28" s="11"/>
      <c r="D28" s="10"/>
      <c r="E28" s="10"/>
      <c r="F28" s="10"/>
      <c r="G28" s="202"/>
      <c r="H28" s="202"/>
      <c r="I28" s="202"/>
      <c r="J28" s="202"/>
      <c r="K28" s="202"/>
      <c r="L28" s="202"/>
      <c r="M28" s="202"/>
      <c r="N28" s="10"/>
      <c r="O28" s="202"/>
      <c r="P28" s="202"/>
      <c r="Q28" s="202"/>
      <c r="R28" s="202"/>
      <c r="S28" s="202"/>
      <c r="T28" s="202"/>
      <c r="U28" s="207"/>
      <c r="V28" s="208"/>
      <c r="W28" s="209"/>
      <c r="X28" s="210" t="s">
        <v>89</v>
      </c>
      <c r="Y28" s="211"/>
      <c r="Z28" s="212"/>
      <c r="AA28" s="212"/>
      <c r="AB28" s="212"/>
      <c r="AC28" s="212"/>
      <c r="AD28" s="212"/>
      <c r="AE28" s="210" t="s">
        <v>123</v>
      </c>
      <c r="AF28" s="18"/>
      <c r="AG28" s="197"/>
      <c r="AH28" s="197"/>
      <c r="AI28" s="197"/>
      <c r="AJ28" s="18"/>
      <c r="AK28" s="167"/>
      <c r="AL28" s="112"/>
      <c r="AM28" s="112"/>
      <c r="AN28" s="112"/>
      <c r="AO28" s="112"/>
      <c r="AP28" s="112"/>
      <c r="AQ28" s="167"/>
      <c r="AU28" s="198"/>
      <c r="AV28" s="199"/>
      <c r="AW28" s="200"/>
      <c r="AX28" s="36"/>
    </row>
    <row r="29" spans="1:55" x14ac:dyDescent="0.25">
      <c r="A29" s="196" t="s">
        <v>80</v>
      </c>
      <c r="B29" s="5"/>
      <c r="C29" s="6"/>
      <c r="D29" s="5"/>
      <c r="E29" s="5"/>
      <c r="F29" s="5"/>
      <c r="G29" s="18"/>
      <c r="H29" s="18"/>
      <c r="I29" s="18"/>
      <c r="J29" s="18"/>
      <c r="K29" s="18"/>
      <c r="L29" s="18"/>
      <c r="M29" s="18"/>
      <c r="N29" s="5"/>
      <c r="O29" s="18"/>
      <c r="P29" s="18"/>
      <c r="Q29" s="18"/>
      <c r="R29" s="18"/>
      <c r="S29" s="18"/>
      <c r="T29" s="18"/>
      <c r="U29" s="26"/>
      <c r="V29" s="167"/>
      <c r="W29" s="112"/>
      <c r="X29" s="213">
        <f>AVERAGE(X68:X85)</f>
        <v>1.7933333333333334</v>
      </c>
      <c r="Y29" s="18"/>
      <c r="Z29" s="18"/>
      <c r="AA29" s="18"/>
      <c r="AB29" s="18"/>
      <c r="AC29" s="18"/>
      <c r="AD29" s="18"/>
      <c r="AE29" s="213">
        <f>AVERAGE(AE68:AE85)</f>
        <v>2.1142857142857143</v>
      </c>
      <c r="AF29" s="18"/>
      <c r="AG29" s="197"/>
      <c r="AH29" s="197"/>
      <c r="AI29" s="197"/>
      <c r="AJ29" s="18"/>
      <c r="AK29" s="167"/>
      <c r="AL29" s="112"/>
      <c r="AM29" s="112"/>
      <c r="AN29" s="112"/>
      <c r="AO29" s="112"/>
      <c r="AP29" s="112"/>
      <c r="AQ29" s="167"/>
      <c r="AU29" s="198"/>
      <c r="AV29" s="199"/>
      <c r="AW29" s="200"/>
      <c r="AX29" s="36"/>
    </row>
    <row r="30" spans="1:55" x14ac:dyDescent="0.25">
      <c r="A30" s="196" t="s">
        <v>81</v>
      </c>
      <c r="B30" s="5"/>
      <c r="C30" s="6"/>
      <c r="D30" s="5"/>
      <c r="E30" s="5"/>
      <c r="F30" s="5"/>
      <c r="G30" s="18"/>
      <c r="H30" s="18"/>
      <c r="I30" s="18"/>
      <c r="J30" s="18"/>
      <c r="K30" s="18"/>
      <c r="L30" s="18"/>
      <c r="M30" s="18"/>
      <c r="N30" s="5"/>
      <c r="O30" s="18"/>
      <c r="P30" s="18"/>
      <c r="Q30" s="18"/>
      <c r="R30" s="18"/>
      <c r="S30" s="18"/>
      <c r="T30" s="18"/>
      <c r="U30" s="26"/>
      <c r="V30" s="167"/>
      <c r="W30" s="112"/>
      <c r="X30" s="213">
        <f>MAX(X68:X85)</f>
        <v>1.82</v>
      </c>
      <c r="Y30" s="18"/>
      <c r="Z30" s="18"/>
      <c r="AA30" s="18"/>
      <c r="AB30" s="18"/>
      <c r="AC30" s="18"/>
      <c r="AD30" s="18"/>
      <c r="AE30" s="213">
        <f>MAX(AE68:AE85)</f>
        <v>2.25</v>
      </c>
      <c r="AF30" s="18"/>
      <c r="AG30" s="197"/>
      <c r="AH30" s="197"/>
      <c r="AI30" s="197"/>
      <c r="AJ30" s="18"/>
      <c r="AK30" s="167"/>
      <c r="AL30" s="112"/>
      <c r="AM30" s="112"/>
      <c r="AN30" s="112"/>
      <c r="AO30" s="112"/>
      <c r="AP30" s="112"/>
      <c r="AQ30" s="167"/>
      <c r="AU30" s="198"/>
      <c r="AV30" s="199"/>
      <c r="AW30" s="200"/>
      <c r="AX30" s="36"/>
    </row>
    <row r="31" spans="1:55" x14ac:dyDescent="0.25">
      <c r="A31" s="196" t="s">
        <v>121</v>
      </c>
      <c r="B31" s="5"/>
      <c r="C31" s="6"/>
      <c r="D31" s="5"/>
      <c r="E31" s="5"/>
      <c r="F31" s="5"/>
      <c r="G31" s="18"/>
      <c r="H31" s="18"/>
      <c r="I31" s="18"/>
      <c r="J31" s="18"/>
      <c r="K31" s="18"/>
      <c r="L31" s="18"/>
      <c r="M31" s="18"/>
      <c r="N31" s="5"/>
      <c r="O31" s="18"/>
      <c r="P31" s="18"/>
      <c r="Q31" s="18"/>
      <c r="R31" s="18"/>
      <c r="S31" s="18"/>
      <c r="T31" s="18"/>
      <c r="U31" s="26"/>
      <c r="V31" s="167"/>
      <c r="W31" s="112"/>
      <c r="X31" s="214">
        <f>MIN(X68:X85)</f>
        <v>1.75</v>
      </c>
      <c r="Y31" s="18"/>
      <c r="Z31" s="18"/>
      <c r="AA31" s="18"/>
      <c r="AB31" s="18"/>
      <c r="AC31" s="18"/>
      <c r="AD31" s="18"/>
      <c r="AE31" s="214">
        <f>MIN(AE68:AE85)</f>
        <v>2</v>
      </c>
      <c r="AF31" s="18"/>
      <c r="AG31" s="197"/>
      <c r="AH31" s="197"/>
      <c r="AI31" s="197"/>
      <c r="AJ31" s="18"/>
      <c r="AK31" s="167"/>
      <c r="AL31" s="112"/>
      <c r="AM31" s="112"/>
      <c r="AN31" s="112"/>
      <c r="AO31" s="112"/>
      <c r="AP31" s="112"/>
      <c r="AQ31" s="167"/>
      <c r="AU31" s="198"/>
      <c r="AV31" s="199"/>
      <c r="AW31" s="200"/>
      <c r="AX31" s="36"/>
    </row>
    <row r="32" spans="1:55" x14ac:dyDescent="0.25">
      <c r="A32" s="196"/>
      <c r="B32" s="5"/>
      <c r="C32" s="6"/>
      <c r="D32" s="5"/>
      <c r="E32" s="5"/>
      <c r="F32" s="5"/>
      <c r="G32" s="18"/>
      <c r="H32" s="18"/>
      <c r="I32" s="18"/>
      <c r="J32" s="18"/>
      <c r="K32" s="18"/>
      <c r="L32" s="18"/>
      <c r="M32" s="18"/>
      <c r="N32" s="5"/>
      <c r="O32" s="18"/>
      <c r="P32" s="18"/>
      <c r="Q32" s="18"/>
      <c r="R32" s="18"/>
      <c r="S32" s="18"/>
      <c r="T32" s="18"/>
      <c r="U32" s="26"/>
      <c r="V32" s="167"/>
      <c r="W32" s="112"/>
      <c r="X32" s="18"/>
      <c r="Y32" s="18"/>
      <c r="Z32" s="18"/>
      <c r="AA32" s="18"/>
      <c r="AB32" s="18"/>
      <c r="AC32" s="18"/>
      <c r="AD32" s="18"/>
      <c r="AE32" s="18"/>
      <c r="AF32" s="18"/>
      <c r="AG32" s="197"/>
      <c r="AH32" s="197"/>
      <c r="AI32" s="197"/>
      <c r="AJ32" s="18"/>
      <c r="AK32" s="167"/>
      <c r="AL32" s="112"/>
      <c r="AM32" s="112"/>
      <c r="AN32" s="112"/>
      <c r="AO32" s="112"/>
      <c r="AP32" s="112"/>
      <c r="AQ32" s="167"/>
      <c r="AU32" s="198"/>
      <c r="AV32" s="199"/>
      <c r="AW32" s="200"/>
      <c r="AX32" s="36"/>
    </row>
    <row r="33" spans="1:55" s="10" customFormat="1" ht="9.9" customHeight="1" x14ac:dyDescent="0.2">
      <c r="C33" s="11"/>
      <c r="G33" s="202"/>
      <c r="H33" s="202"/>
      <c r="I33" s="202"/>
      <c r="J33" s="202"/>
      <c r="K33" s="202"/>
      <c r="L33" s="202"/>
      <c r="M33" s="202"/>
      <c r="O33" s="202"/>
      <c r="P33" s="202"/>
      <c r="Q33" s="202"/>
      <c r="R33" s="202"/>
      <c r="S33" s="202"/>
      <c r="T33" s="202"/>
      <c r="U33" s="207"/>
      <c r="V33" s="208"/>
      <c r="W33" s="209"/>
      <c r="X33" s="396">
        <v>2000</v>
      </c>
      <c r="Y33" s="397"/>
      <c r="Z33" s="398"/>
      <c r="AA33" s="202"/>
      <c r="AB33" s="202"/>
      <c r="AC33" s="202"/>
      <c r="AD33" s="202"/>
      <c r="AE33" s="396">
        <v>2001</v>
      </c>
      <c r="AF33" s="397"/>
      <c r="AG33" s="398"/>
      <c r="AH33" s="204"/>
      <c r="AI33" s="204"/>
      <c r="AJ33" s="202"/>
      <c r="AK33" s="208"/>
      <c r="AL33" s="209"/>
      <c r="AM33" s="215" t="s">
        <v>20</v>
      </c>
      <c r="AN33" s="216"/>
      <c r="AO33" s="216"/>
      <c r="AP33" s="216"/>
      <c r="AQ33" s="217"/>
      <c r="AS33" s="218"/>
      <c r="AU33" s="198"/>
      <c r="AV33" s="199"/>
      <c r="AW33" s="200"/>
      <c r="AX33" s="219"/>
    </row>
    <row r="34" spans="1:55" s="10" customFormat="1" ht="9.9" customHeight="1" x14ac:dyDescent="0.2">
      <c r="C34" s="11"/>
      <c r="G34" s="202"/>
      <c r="H34" s="202"/>
      <c r="I34" s="202"/>
      <c r="J34" s="202"/>
      <c r="K34" s="202"/>
      <c r="L34" s="202"/>
      <c r="M34" s="202"/>
      <c r="O34" s="202"/>
      <c r="P34" s="202"/>
      <c r="Q34" s="202"/>
      <c r="R34" s="202"/>
      <c r="S34" s="202"/>
      <c r="T34" s="202"/>
      <c r="U34" s="207"/>
      <c r="V34" s="208"/>
      <c r="W34" s="209"/>
      <c r="X34" s="220"/>
      <c r="Y34" s="221"/>
      <c r="Z34" s="222"/>
      <c r="AA34" s="202"/>
      <c r="AB34" s="202"/>
      <c r="AC34" s="202"/>
      <c r="AD34" s="202"/>
      <c r="AE34" s="220" t="s">
        <v>26</v>
      </c>
      <c r="AF34" s="221"/>
      <c r="AG34" s="222"/>
      <c r="AH34" s="207"/>
      <c r="AI34" s="204" t="s">
        <v>117</v>
      </c>
      <c r="AJ34" s="202"/>
      <c r="AK34" s="208"/>
      <c r="AL34" s="209"/>
      <c r="AM34" s="223" t="s">
        <v>28</v>
      </c>
      <c r="AN34" s="204"/>
      <c r="AO34" s="204" t="s">
        <v>29</v>
      </c>
      <c r="AP34" s="204"/>
      <c r="AQ34" s="224" t="s">
        <v>30</v>
      </c>
      <c r="AS34" s="225" t="s">
        <v>31</v>
      </c>
      <c r="AU34" s="198"/>
      <c r="AV34" s="199"/>
      <c r="AW34" s="200"/>
      <c r="AX34" s="219"/>
      <c r="AY34" s="226">
        <f>Last_Week</f>
        <v>37050</v>
      </c>
      <c r="BA34" s="226">
        <f>+BA5</f>
        <v>36980</v>
      </c>
      <c r="BC34" s="226" t="str">
        <f>+BC6</f>
        <v xml:space="preserve">12/29/00 Closing </v>
      </c>
    </row>
    <row r="35" spans="1:55" s="10" customFormat="1" ht="9.9" customHeight="1" thickBot="1" x14ac:dyDescent="0.25">
      <c r="A35" s="206" t="s">
        <v>103</v>
      </c>
      <c r="C35" s="11"/>
      <c r="G35" s="202"/>
      <c r="H35" s="202"/>
      <c r="I35" s="202"/>
      <c r="J35" s="202"/>
      <c r="K35" s="202"/>
      <c r="L35" s="202"/>
      <c r="M35" s="202"/>
      <c r="O35" s="202"/>
      <c r="P35" s="202"/>
      <c r="Q35" s="202"/>
      <c r="R35" s="202"/>
      <c r="S35" s="202"/>
      <c r="T35" s="202"/>
      <c r="U35" s="207"/>
      <c r="V35" s="208"/>
      <c r="W35" s="209"/>
      <c r="X35" s="227" t="s">
        <v>82</v>
      </c>
      <c r="Y35" s="228"/>
      <c r="Z35" s="229" t="s">
        <v>83</v>
      </c>
      <c r="AA35" s="207"/>
      <c r="AB35" s="207"/>
      <c r="AC35" s="207"/>
      <c r="AD35" s="207"/>
      <c r="AE35" s="227" t="s">
        <v>82</v>
      </c>
      <c r="AF35" s="228"/>
      <c r="AG35" s="229" t="s">
        <v>83</v>
      </c>
      <c r="AH35" s="204"/>
      <c r="AI35" s="230" t="s">
        <v>118</v>
      </c>
      <c r="AJ35" s="207"/>
      <c r="AK35" s="231"/>
      <c r="AL35" s="231"/>
      <c r="AM35" s="232" t="s">
        <v>39</v>
      </c>
      <c r="AN35" s="233"/>
      <c r="AO35" s="233" t="s">
        <v>40</v>
      </c>
      <c r="AP35" s="233"/>
      <c r="AQ35" s="234" t="s">
        <v>40</v>
      </c>
      <c r="AR35" s="235"/>
      <c r="AS35" s="236" t="s">
        <v>41</v>
      </c>
      <c r="AU35" s="198"/>
      <c r="AV35" s="199"/>
      <c r="AW35" s="200"/>
      <c r="AX35" s="219"/>
      <c r="AY35" s="74" t="s">
        <v>126</v>
      </c>
      <c r="BA35" s="74" t="s">
        <v>47</v>
      </c>
    </row>
    <row r="36" spans="1:55" x14ac:dyDescent="0.25">
      <c r="A36" s="165" t="str">
        <f>'[2]7-07-00'!$A$17</f>
        <v>Akamai*</v>
      </c>
      <c r="B36" s="18"/>
      <c r="C36" s="19" t="str">
        <f>'[2]7-07-00'!$B$17</f>
        <v>AKAM</v>
      </c>
      <c r="D36" s="18"/>
      <c r="E36" s="145">
        <f>[1]!AKAM.O</f>
        <v>7.51</v>
      </c>
      <c r="F36" s="5"/>
      <c r="G36" s="18"/>
      <c r="H36" s="18"/>
      <c r="I36" s="18"/>
      <c r="J36" s="18"/>
      <c r="K36" s="18"/>
      <c r="L36" s="18"/>
      <c r="M36" s="18"/>
      <c r="N36" s="5"/>
      <c r="O36" s="18"/>
      <c r="P36" s="18"/>
      <c r="Q36" s="18"/>
      <c r="R36" s="18"/>
      <c r="S36" s="18"/>
      <c r="T36" s="18"/>
      <c r="U36" s="26"/>
      <c r="V36" s="167"/>
      <c r="W36" s="112"/>
      <c r="X36" s="237">
        <v>89.8</v>
      </c>
      <c r="Y36" s="26"/>
      <c r="Z36" s="238">
        <f>+(E36*AI36)/X36</f>
        <v>9.1240645879732725</v>
      </c>
      <c r="AA36" s="18"/>
      <c r="AB36" s="18"/>
      <c r="AC36" s="18"/>
      <c r="AD36" s="18"/>
      <c r="AE36" s="237">
        <v>189.4</v>
      </c>
      <c r="AF36" s="26"/>
      <c r="AG36" s="238">
        <f>+(E36*AI36)/AE36</f>
        <v>4.3259820485744447</v>
      </c>
      <c r="AH36" s="239"/>
      <c r="AI36" s="240">
        <v>109.1</v>
      </c>
      <c r="AJ36" s="18"/>
      <c r="AK36" s="167"/>
      <c r="AL36" s="112"/>
      <c r="AM36" s="100">
        <f t="shared" ref="AM36:AM42" si="8">((+AX36+E36-AY36)/AY36)</f>
        <v>-0.18810810810810813</v>
      </c>
      <c r="AN36" s="241"/>
      <c r="AO36" s="131">
        <f t="shared" ref="AO36:AO42" si="9">((+AZ36+E36-BA36)/BA36)</f>
        <v>-0.12291970802919711</v>
      </c>
      <c r="AP36" s="112"/>
      <c r="AQ36" s="135">
        <f t="shared" ref="AQ36:AQ42" si="10">((+BB36+E36-BC36)/BC36)</f>
        <v>-0.64344213649851634</v>
      </c>
      <c r="AS36" s="158">
        <f t="shared" ref="AS36:AS42" si="11">AU36/E36</f>
        <v>0</v>
      </c>
      <c r="AU36" s="198">
        <v>0</v>
      </c>
      <c r="AV36" s="199"/>
      <c r="AW36" s="200"/>
      <c r="AX36" s="36"/>
      <c r="AY36" s="140">
        <v>9.25</v>
      </c>
      <c r="BA36" s="140">
        <v>8.5625</v>
      </c>
      <c r="BC36" s="140">
        <v>21.0625</v>
      </c>
    </row>
    <row r="37" spans="1:55" x14ac:dyDescent="0.25">
      <c r="A37" s="165" t="str">
        <f>'[2]7-07-00'!$A$19</f>
        <v>Digital Island*</v>
      </c>
      <c r="B37" s="18"/>
      <c r="C37" s="19" t="str">
        <f>'[2]7-07-00'!$B$19</f>
        <v>ISLD</v>
      </c>
      <c r="D37" s="18"/>
      <c r="E37" s="145">
        <f>[1]!ISLD.O</f>
        <v>3.38</v>
      </c>
      <c r="F37" s="5"/>
      <c r="G37" s="18"/>
      <c r="H37" s="18"/>
      <c r="I37" s="18"/>
      <c r="J37" s="18"/>
      <c r="K37" s="18"/>
      <c r="L37" s="18"/>
      <c r="M37" s="18"/>
      <c r="N37" s="5"/>
      <c r="O37" s="18"/>
      <c r="P37" s="18"/>
      <c r="Q37" s="18"/>
      <c r="R37" s="18"/>
      <c r="S37" s="18"/>
      <c r="T37" s="18"/>
      <c r="U37" s="26"/>
      <c r="V37" s="167"/>
      <c r="W37" s="112"/>
      <c r="X37" s="237">
        <v>59.1</v>
      </c>
      <c r="Y37" s="26"/>
      <c r="Z37" s="238">
        <f t="shared" ref="Z37:Z42" si="12">+(E37*AI37)/X37</f>
        <v>4.7011167512690353</v>
      </c>
      <c r="AA37" s="18"/>
      <c r="AB37" s="18"/>
      <c r="AC37" s="18"/>
      <c r="AD37" s="18"/>
      <c r="AE37" s="237">
        <v>177.4</v>
      </c>
      <c r="AF37" s="26"/>
      <c r="AG37" s="238">
        <f t="shared" ref="AG37:AG42" si="13">+(E37*AI37)/AE37</f>
        <v>1.5661555806087937</v>
      </c>
      <c r="AH37" s="239"/>
      <c r="AI37" s="240">
        <v>82.2</v>
      </c>
      <c r="AJ37" s="18"/>
      <c r="AK37" s="167"/>
      <c r="AL37" s="112"/>
      <c r="AM37" s="100">
        <f t="shared" si="8"/>
        <v>5.9523809523809581E-3</v>
      </c>
      <c r="AN37" s="241"/>
      <c r="AO37" s="131">
        <f t="shared" si="9"/>
        <v>0.86482758620689648</v>
      </c>
      <c r="AP37" s="112"/>
      <c r="AQ37" s="135">
        <f t="shared" si="10"/>
        <v>-0.16800000000000004</v>
      </c>
      <c r="AS37" s="158">
        <f t="shared" si="11"/>
        <v>0</v>
      </c>
      <c r="AU37" s="198">
        <v>0</v>
      </c>
      <c r="AV37" s="199"/>
      <c r="AW37" s="200"/>
      <c r="AX37" s="36"/>
      <c r="AY37" s="140">
        <v>3.36</v>
      </c>
      <c r="BA37" s="140">
        <v>1.8125</v>
      </c>
      <c r="BC37" s="140">
        <v>4.0625</v>
      </c>
    </row>
    <row r="38" spans="1:55" x14ac:dyDescent="0.25">
      <c r="A38" s="165" t="str">
        <f>'[2]7-07-00'!$A$22</f>
        <v>InterNap</v>
      </c>
      <c r="B38" s="18"/>
      <c r="C38" s="19" t="str">
        <f>'[2]7-07-00'!$B$22</f>
        <v>INAP</v>
      </c>
      <c r="D38" s="18"/>
      <c r="E38" s="145">
        <f>[1]!INAP.O</f>
        <v>2</v>
      </c>
      <c r="F38" s="5"/>
      <c r="G38" s="18"/>
      <c r="H38" s="18"/>
      <c r="I38" s="18"/>
      <c r="J38" s="18"/>
      <c r="K38" s="18"/>
      <c r="L38" s="18"/>
      <c r="M38" s="18"/>
      <c r="N38" s="5"/>
      <c r="O38" s="18"/>
      <c r="P38" s="18"/>
      <c r="Q38" s="18"/>
      <c r="R38" s="18"/>
      <c r="S38" s="18"/>
      <c r="T38" s="18"/>
      <c r="U38" s="26"/>
      <c r="V38" s="167"/>
      <c r="W38" s="112"/>
      <c r="X38" s="237">
        <v>69.599999999999994</v>
      </c>
      <c r="Y38" s="26"/>
      <c r="Z38" s="238">
        <f t="shared" si="12"/>
        <v>4.3132183908045976</v>
      </c>
      <c r="AA38" s="18"/>
      <c r="AB38" s="18"/>
      <c r="AC38" s="18"/>
      <c r="AD38" s="18"/>
      <c r="AE38" s="237">
        <v>204.2</v>
      </c>
      <c r="AF38" s="26"/>
      <c r="AG38" s="238">
        <f t="shared" si="13"/>
        <v>1.4701273261508325</v>
      </c>
      <c r="AH38" s="239"/>
      <c r="AI38" s="240">
        <v>150.1</v>
      </c>
      <c r="AJ38" s="18"/>
      <c r="AK38" s="167"/>
      <c r="AL38" s="112"/>
      <c r="AM38" s="100">
        <f t="shared" si="8"/>
        <v>-0.16317991631799167</v>
      </c>
      <c r="AN38" s="241"/>
      <c r="AO38" s="131">
        <f t="shared" si="9"/>
        <v>3.2258064516129031E-2</v>
      </c>
      <c r="AP38" s="112"/>
      <c r="AQ38" s="135">
        <f t="shared" si="10"/>
        <v>-0.72413793103448276</v>
      </c>
      <c r="AS38" s="158">
        <f t="shared" si="11"/>
        <v>0</v>
      </c>
      <c r="AU38" s="198">
        <v>0</v>
      </c>
      <c r="AV38" s="199"/>
      <c r="AW38" s="200"/>
      <c r="AX38" s="36"/>
      <c r="AY38" s="140">
        <v>2.39</v>
      </c>
      <c r="BA38" s="140">
        <v>1.9375</v>
      </c>
      <c r="BC38" s="140">
        <v>7.25</v>
      </c>
    </row>
    <row r="39" spans="1:55" ht="15.6" x14ac:dyDescent="0.25">
      <c r="A39" s="165" t="str">
        <f>'[2]7-07-00'!$A$33</f>
        <v>Williams Communications**</v>
      </c>
      <c r="B39" s="18"/>
      <c r="C39" s="19" t="str">
        <f>'[2]7-07-00'!$B$33</f>
        <v>WCG</v>
      </c>
      <c r="D39" s="18"/>
      <c r="E39" s="145">
        <f>[1]!WCG</f>
        <v>3.14</v>
      </c>
      <c r="F39" s="5"/>
      <c r="G39" s="18"/>
      <c r="H39" s="18"/>
      <c r="I39" s="18"/>
      <c r="J39" s="18"/>
      <c r="K39" s="18"/>
      <c r="L39" s="18"/>
      <c r="M39" s="18"/>
      <c r="N39" s="5"/>
      <c r="O39" s="18"/>
      <c r="P39" s="18"/>
      <c r="Q39" s="18"/>
      <c r="R39" s="18"/>
      <c r="S39" s="18"/>
      <c r="T39" s="18"/>
      <c r="U39" s="26"/>
      <c r="V39" s="167"/>
      <c r="W39" s="112"/>
      <c r="X39" s="237">
        <v>839.1</v>
      </c>
      <c r="Y39" s="242"/>
      <c r="Z39" s="238">
        <f t="shared" si="12"/>
        <v>1.8295149565010129</v>
      </c>
      <c r="AA39" s="18"/>
      <c r="AB39" s="18"/>
      <c r="AC39" s="18"/>
      <c r="AD39" s="18"/>
      <c r="AE39" s="243" t="s">
        <v>76</v>
      </c>
      <c r="AF39" s="26"/>
      <c r="AG39" s="244" t="s">
        <v>76</v>
      </c>
      <c r="AH39" s="245"/>
      <c r="AI39" s="240">
        <v>488.9</v>
      </c>
      <c r="AJ39" s="18"/>
      <c r="AK39" s="167"/>
      <c r="AL39" s="112"/>
      <c r="AM39" s="100">
        <f t="shared" si="8"/>
        <v>-0.2130325814536341</v>
      </c>
      <c r="AN39" s="241"/>
      <c r="AO39" s="131">
        <f t="shared" si="9"/>
        <v>-0.65111111111111108</v>
      </c>
      <c r="AP39" s="112"/>
      <c r="AQ39" s="135">
        <f t="shared" si="10"/>
        <v>-0.7327659574468085</v>
      </c>
      <c r="AS39" s="158">
        <f t="shared" si="11"/>
        <v>0</v>
      </c>
      <c r="AU39" s="198">
        <v>0</v>
      </c>
      <c r="AV39" s="199"/>
      <c r="AW39" s="200"/>
      <c r="AX39" s="36"/>
      <c r="AY39" s="140">
        <v>3.99</v>
      </c>
      <c r="BA39" s="140">
        <v>9</v>
      </c>
      <c r="BC39" s="140">
        <v>11.75</v>
      </c>
    </row>
    <row r="40" spans="1:55" ht="15.6" x14ac:dyDescent="0.25">
      <c r="A40" s="165" t="s">
        <v>104</v>
      </c>
      <c r="B40" s="18"/>
      <c r="C40" s="19" t="str">
        <f>'[2]7-07-00'!$B$34</f>
        <v>LVLT</v>
      </c>
      <c r="D40" s="18"/>
      <c r="E40" s="145">
        <f>[1]!LVLT.O</f>
        <v>7.62</v>
      </c>
      <c r="F40" s="5"/>
      <c r="G40" s="18"/>
      <c r="H40" s="18"/>
      <c r="I40" s="18"/>
      <c r="J40" s="18"/>
      <c r="K40" s="18"/>
      <c r="L40" s="18"/>
      <c r="M40" s="18"/>
      <c r="N40" s="5"/>
      <c r="O40" s="18"/>
      <c r="P40" s="18"/>
      <c r="Q40" s="18"/>
      <c r="R40" s="18"/>
      <c r="S40" s="18"/>
      <c r="T40" s="18"/>
      <c r="U40" s="26"/>
      <c r="V40" s="167"/>
      <c r="W40" s="112"/>
      <c r="X40" s="237">
        <v>1185</v>
      </c>
      <c r="Y40" s="242"/>
      <c r="Z40" s="238">
        <f t="shared" si="12"/>
        <v>2.3676658227848097</v>
      </c>
      <c r="AA40" s="18"/>
      <c r="AB40" s="18"/>
      <c r="AC40" s="18"/>
      <c r="AD40" s="18"/>
      <c r="AE40" s="237">
        <v>2021.8</v>
      </c>
      <c r="AF40" s="26"/>
      <c r="AG40" s="238">
        <f t="shared" si="13"/>
        <v>1.38771589672569</v>
      </c>
      <c r="AH40" s="245"/>
      <c r="AI40" s="240">
        <v>368.2</v>
      </c>
      <c r="AJ40" s="18"/>
      <c r="AK40" s="167"/>
      <c r="AL40" s="112"/>
      <c r="AM40" s="100">
        <f t="shared" si="8"/>
        <v>-0.17976318622174373</v>
      </c>
      <c r="AN40" s="241"/>
      <c r="AO40" s="131">
        <f t="shared" si="9"/>
        <v>-0.56143884892086326</v>
      </c>
      <c r="AP40" s="112"/>
      <c r="AQ40" s="135">
        <f t="shared" si="10"/>
        <v>-0.76777142857142855</v>
      </c>
      <c r="AS40" s="158">
        <f t="shared" si="11"/>
        <v>0</v>
      </c>
      <c r="AU40" s="198">
        <v>0</v>
      </c>
      <c r="AV40" s="199"/>
      <c r="AW40" s="200"/>
      <c r="AX40" s="36"/>
      <c r="AY40" s="140">
        <v>9.2899999999999991</v>
      </c>
      <c r="BA40" s="140">
        <v>17.375</v>
      </c>
      <c r="BC40" s="140">
        <v>32.8125</v>
      </c>
    </row>
    <row r="41" spans="1:55" ht="15.6" x14ac:dyDescent="0.25">
      <c r="A41" s="165" t="s">
        <v>105</v>
      </c>
      <c r="B41" s="18"/>
      <c r="C41" s="19" t="s">
        <v>106</v>
      </c>
      <c r="D41" s="18"/>
      <c r="E41" s="145">
        <f>[1]!GX</f>
        <v>8.66</v>
      </c>
      <c r="F41" s="5"/>
      <c r="G41" s="18"/>
      <c r="H41" s="18"/>
      <c r="I41" s="18"/>
      <c r="J41" s="18"/>
      <c r="K41" s="18"/>
      <c r="L41" s="18"/>
      <c r="M41" s="18"/>
      <c r="N41" s="5"/>
      <c r="O41" s="18"/>
      <c r="P41" s="18"/>
      <c r="Q41" s="18"/>
      <c r="R41" s="18"/>
      <c r="S41" s="18"/>
      <c r="T41" s="18"/>
      <c r="U41" s="26"/>
      <c r="V41" s="167"/>
      <c r="W41" s="112"/>
      <c r="X41" s="237">
        <v>3789</v>
      </c>
      <c r="Y41" s="242"/>
      <c r="Z41" s="238">
        <f t="shared" si="12"/>
        <v>2.0261520190023754</v>
      </c>
      <c r="AA41" s="18"/>
      <c r="AB41" s="18"/>
      <c r="AC41" s="18"/>
      <c r="AD41" s="18"/>
      <c r="AE41" s="237">
        <v>6400</v>
      </c>
      <c r="AF41" s="26"/>
      <c r="AG41" s="238">
        <f t="shared" si="13"/>
        <v>1.1995453125</v>
      </c>
      <c r="AH41" s="245"/>
      <c r="AI41" s="240">
        <v>886.5</v>
      </c>
      <c r="AJ41" s="18"/>
      <c r="AK41" s="167"/>
      <c r="AL41" s="112"/>
      <c r="AM41" s="100">
        <f t="shared" si="8"/>
        <v>-0.33384615384615385</v>
      </c>
      <c r="AN41" s="241"/>
      <c r="AO41" s="131">
        <f t="shared" si="9"/>
        <v>-0.35804299481097107</v>
      </c>
      <c r="AP41" s="112"/>
      <c r="AQ41" s="135">
        <f t="shared" si="10"/>
        <v>-0.3949344978165939</v>
      </c>
      <c r="AS41" s="158">
        <f t="shared" si="11"/>
        <v>0</v>
      </c>
      <c r="AU41" s="198">
        <v>0</v>
      </c>
      <c r="AV41" s="199"/>
      <c r="AW41" s="200"/>
      <c r="AX41" s="36"/>
      <c r="AY41" s="140">
        <v>13</v>
      </c>
      <c r="BA41" s="140">
        <v>13.49</v>
      </c>
      <c r="BC41" s="140">
        <v>14.3125</v>
      </c>
    </row>
    <row r="42" spans="1:55" ht="15.6" x14ac:dyDescent="0.25">
      <c r="A42" s="165" t="str">
        <f>'[2]7-07-00'!$A$36</f>
        <v>Qwest</v>
      </c>
      <c r="B42" s="18"/>
      <c r="C42" s="19" t="str">
        <f>'[2]7-07-00'!$B$36</f>
        <v>Q</v>
      </c>
      <c r="D42" s="18"/>
      <c r="E42" s="145">
        <f>[1]!Q</f>
        <v>33</v>
      </c>
      <c r="F42" s="5"/>
      <c r="G42" s="18"/>
      <c r="H42" s="18"/>
      <c r="I42" s="18"/>
      <c r="J42" s="18"/>
      <c r="K42" s="18"/>
      <c r="L42" s="18"/>
      <c r="M42" s="18"/>
      <c r="N42" s="5"/>
      <c r="O42" s="18"/>
      <c r="P42" s="18"/>
      <c r="Q42" s="18"/>
      <c r="R42" s="18"/>
      <c r="S42" s="18"/>
      <c r="T42" s="18"/>
      <c r="U42" s="26"/>
      <c r="V42" s="167"/>
      <c r="W42" s="112"/>
      <c r="X42" s="237">
        <v>16610</v>
      </c>
      <c r="Y42" s="242"/>
      <c r="Z42" s="238">
        <f t="shared" si="12"/>
        <v>3.3005960264900662</v>
      </c>
      <c r="AA42" s="18"/>
      <c r="AB42" s="18"/>
      <c r="AC42" s="18"/>
      <c r="AD42" s="18"/>
      <c r="AE42" s="237">
        <v>21450.3</v>
      </c>
      <c r="AF42" s="26"/>
      <c r="AG42" s="238">
        <f t="shared" si="13"/>
        <v>2.5558104082460389</v>
      </c>
      <c r="AH42" s="245"/>
      <c r="AI42" s="240">
        <v>1661.3</v>
      </c>
      <c r="AJ42" s="18"/>
      <c r="AK42" s="167"/>
      <c r="AL42" s="112"/>
      <c r="AM42" s="100">
        <f t="shared" si="8"/>
        <v>-3.6777583187390488E-2</v>
      </c>
      <c r="AN42" s="241"/>
      <c r="AO42" s="131">
        <f t="shared" si="9"/>
        <v>-5.8487874465049855E-2</v>
      </c>
      <c r="AP42" s="112"/>
      <c r="AQ42" s="135">
        <f t="shared" si="10"/>
        <v>-0.19266055045871561</v>
      </c>
      <c r="AS42" s="158">
        <f t="shared" si="11"/>
        <v>0</v>
      </c>
      <c r="AU42" s="198">
        <v>0</v>
      </c>
      <c r="AV42" s="199"/>
      <c r="AW42" s="200"/>
      <c r="AX42" s="36"/>
      <c r="AY42" s="140">
        <v>34.26</v>
      </c>
      <c r="BA42" s="140">
        <v>35.049999999999997</v>
      </c>
      <c r="BC42" s="140">
        <v>40.875</v>
      </c>
    </row>
    <row r="43" spans="1:55" ht="15.6" x14ac:dyDescent="0.25">
      <c r="A43" s="165"/>
      <c r="B43" s="18"/>
      <c r="C43" s="19"/>
      <c r="D43" s="18"/>
      <c r="E43" s="246"/>
      <c r="F43" s="5"/>
      <c r="G43" s="18"/>
      <c r="H43" s="18"/>
      <c r="I43" s="18"/>
      <c r="J43" s="18"/>
      <c r="K43" s="18"/>
      <c r="L43" s="18"/>
      <c r="M43" s="18"/>
      <c r="N43" s="5"/>
      <c r="O43" s="18"/>
      <c r="P43" s="18"/>
      <c r="Q43" s="18"/>
      <c r="R43" s="18"/>
      <c r="S43" s="18"/>
      <c r="T43" s="18"/>
      <c r="U43" s="26"/>
      <c r="V43" s="167"/>
      <c r="W43" s="112"/>
      <c r="X43" s="247"/>
      <c r="Y43" s="242"/>
      <c r="Z43" s="238"/>
      <c r="AA43" s="18"/>
      <c r="AB43" s="18"/>
      <c r="AC43" s="18"/>
      <c r="AD43" s="18"/>
      <c r="AE43" s="248"/>
      <c r="AF43" s="26"/>
      <c r="AG43" s="238"/>
      <c r="AH43" s="239"/>
      <c r="AI43" s="239"/>
      <c r="AJ43" s="18"/>
      <c r="AK43" s="167"/>
      <c r="AL43" s="112"/>
      <c r="AM43" s="249"/>
      <c r="AN43" s="241"/>
      <c r="AO43" s="250"/>
      <c r="AP43" s="112"/>
      <c r="AQ43" s="251"/>
      <c r="AS43" s="158"/>
      <c r="AU43" s="198"/>
      <c r="AV43" s="199"/>
      <c r="AW43" s="200"/>
      <c r="AX43" s="36"/>
    </row>
    <row r="44" spans="1:55" x14ac:dyDescent="0.25">
      <c r="A44" s="165" t="s">
        <v>87</v>
      </c>
      <c r="B44" s="18"/>
      <c r="C44" s="19"/>
      <c r="D44" s="18"/>
      <c r="E44" s="246"/>
      <c r="F44" s="5"/>
      <c r="G44" s="18"/>
      <c r="H44" s="18"/>
      <c r="I44" s="18"/>
      <c r="J44" s="18"/>
      <c r="K44" s="18"/>
      <c r="L44" s="18"/>
      <c r="M44" s="18"/>
      <c r="N44" s="5"/>
      <c r="O44" s="18"/>
      <c r="P44" s="18"/>
      <c r="Q44" s="18"/>
      <c r="R44" s="18"/>
      <c r="S44" s="18"/>
      <c r="T44" s="18"/>
      <c r="U44" s="26"/>
      <c r="V44" s="167"/>
      <c r="W44" s="112"/>
      <c r="X44" s="252"/>
      <c r="Y44" s="178"/>
      <c r="Z44" s="253"/>
      <c r="AA44" s="18"/>
      <c r="AB44" s="18"/>
      <c r="AC44" s="18"/>
      <c r="AD44" s="18"/>
      <c r="AE44" s="254"/>
      <c r="AF44" s="178"/>
      <c r="AG44" s="255"/>
      <c r="AH44" s="256"/>
      <c r="AI44" s="256"/>
      <c r="AJ44" s="18"/>
      <c r="AK44" s="167"/>
      <c r="AL44" s="112"/>
      <c r="AM44" s="257">
        <f>AVERAGE(AM36:AM42)</f>
        <v>-0.15839359259752014</v>
      </c>
      <c r="AN44" s="188" t="e">
        <f>AVERAGE(AN36:AN42)</f>
        <v>#DIV/0!</v>
      </c>
      <c r="AO44" s="188">
        <f>AVERAGE(AO36:AO42)</f>
        <v>-0.12213069808773813</v>
      </c>
      <c r="AP44" s="258"/>
      <c r="AQ44" s="189">
        <f>AVERAGE(AQ36:AQ42)</f>
        <v>-0.51767321454664939</v>
      </c>
      <c r="AS44" s="259">
        <f>AVERAGE(AS36:AS42)</f>
        <v>0</v>
      </c>
      <c r="AU44" s="198"/>
      <c r="AV44" s="199"/>
      <c r="AW44" s="200"/>
      <c r="AX44" s="36"/>
    </row>
    <row r="45" spans="1:55" x14ac:dyDescent="0.25">
      <c r="A45" s="196"/>
      <c r="B45" s="5"/>
      <c r="C45" s="6"/>
      <c r="D45" s="5"/>
      <c r="E45" s="5"/>
      <c r="F45" s="5"/>
      <c r="G45" s="18"/>
      <c r="H45" s="18"/>
      <c r="I45" s="18"/>
      <c r="J45" s="18"/>
      <c r="K45" s="18"/>
      <c r="L45" s="18"/>
      <c r="M45" s="18"/>
      <c r="N45" s="5"/>
      <c r="O45" s="18"/>
      <c r="P45" s="18"/>
      <c r="Q45" s="18"/>
      <c r="R45" s="18"/>
      <c r="S45" s="18"/>
      <c r="T45" s="18"/>
      <c r="U45" s="26"/>
      <c r="V45" s="167"/>
      <c r="W45" s="112"/>
      <c r="X45" s="256"/>
      <c r="Y45" s="18"/>
      <c r="Z45" s="18"/>
      <c r="AA45" s="18"/>
      <c r="AB45" s="18"/>
      <c r="AC45" s="18"/>
      <c r="AD45" s="18"/>
      <c r="AE45" s="256"/>
      <c r="AF45" s="18"/>
      <c r="AG45" s="197"/>
      <c r="AH45" s="197"/>
      <c r="AI45" s="197"/>
      <c r="AJ45" s="18"/>
      <c r="AK45" s="167"/>
      <c r="AL45" s="112"/>
      <c r="AM45" s="112"/>
      <c r="AN45" s="112"/>
      <c r="AO45" s="112"/>
      <c r="AP45" s="112"/>
      <c r="AQ45" s="167"/>
      <c r="AU45" s="198"/>
      <c r="AV45" s="199"/>
      <c r="AW45" s="200"/>
      <c r="AX45" s="36"/>
    </row>
    <row r="46" spans="1:55" s="10" customFormat="1" ht="9.9" customHeight="1" x14ac:dyDescent="0.2">
      <c r="A46" s="202"/>
      <c r="B46" s="202"/>
      <c r="C46" s="260"/>
      <c r="D46" s="202"/>
      <c r="E46" s="202"/>
      <c r="F46" s="202"/>
      <c r="K46" s="261">
        <v>1997</v>
      </c>
      <c r="L46" s="262"/>
      <c r="M46" s="263"/>
      <c r="N46" s="202"/>
      <c r="S46" s="261">
        <v>1998</v>
      </c>
      <c r="T46" s="263"/>
      <c r="U46" s="219"/>
      <c r="V46" s="202"/>
      <c r="W46" s="207"/>
      <c r="X46" s="393">
        <v>2001</v>
      </c>
      <c r="Y46" s="394"/>
      <c r="Z46" s="395"/>
      <c r="AA46" s="264"/>
      <c r="AB46" s="264"/>
      <c r="AC46" s="264"/>
      <c r="AD46" s="264"/>
      <c r="AE46" s="393">
        <v>2002</v>
      </c>
      <c r="AF46" s="394"/>
      <c r="AG46" s="395"/>
      <c r="AH46" s="265"/>
      <c r="AI46" s="265"/>
      <c r="AJ46" s="202"/>
      <c r="AK46" s="266" t="s">
        <v>19</v>
      </c>
      <c r="AL46" s="207"/>
      <c r="AM46" s="215" t="s">
        <v>101</v>
      </c>
      <c r="AN46" s="216"/>
      <c r="AO46" s="216"/>
      <c r="AP46" s="216"/>
      <c r="AQ46" s="217"/>
      <c r="AS46" s="218"/>
      <c r="AT46" s="219"/>
      <c r="AU46" s="267" t="s">
        <v>21</v>
      </c>
      <c r="AV46" s="267"/>
      <c r="AW46" s="268"/>
      <c r="AX46" s="267" t="s">
        <v>22</v>
      </c>
      <c r="AY46" s="269"/>
      <c r="AZ46" s="267" t="s">
        <v>23</v>
      </c>
      <c r="BA46" s="267"/>
      <c r="BB46" s="267" t="s">
        <v>24</v>
      </c>
      <c r="BC46" s="267"/>
    </row>
    <row r="47" spans="1:55" s="10" customFormat="1" ht="9.9" customHeight="1" x14ac:dyDescent="0.2">
      <c r="A47" s="202"/>
      <c r="B47" s="202"/>
      <c r="C47" s="260"/>
      <c r="D47" s="202"/>
      <c r="E47" s="270"/>
      <c r="F47" s="202"/>
      <c r="G47" s="220" t="s">
        <v>26</v>
      </c>
      <c r="H47" s="221"/>
      <c r="I47" s="222"/>
      <c r="J47" s="202"/>
      <c r="K47" s="220" t="s">
        <v>26</v>
      </c>
      <c r="L47" s="221"/>
      <c r="M47" s="222"/>
      <c r="N47" s="202"/>
      <c r="O47" s="220" t="s">
        <v>26</v>
      </c>
      <c r="P47" s="221"/>
      <c r="Q47" s="222"/>
      <c r="R47" s="202"/>
      <c r="S47" s="220" t="s">
        <v>26</v>
      </c>
      <c r="T47" s="222"/>
      <c r="U47" s="207"/>
      <c r="V47" s="266" t="s">
        <v>27</v>
      </c>
      <c r="W47" s="204"/>
      <c r="X47" s="220" t="s">
        <v>26</v>
      </c>
      <c r="Y47" s="271"/>
      <c r="Z47" s="222"/>
      <c r="AA47" s="207"/>
      <c r="AB47" s="207"/>
      <c r="AC47" s="207"/>
      <c r="AD47" s="207"/>
      <c r="AE47" s="220" t="s">
        <v>26</v>
      </c>
      <c r="AF47" s="271"/>
      <c r="AG47" s="222"/>
      <c r="AH47" s="207"/>
      <c r="AI47" s="204"/>
      <c r="AJ47" s="207"/>
      <c r="AK47" s="272" t="s">
        <v>27</v>
      </c>
      <c r="AL47" s="204"/>
      <c r="AM47" s="223" t="s">
        <v>28</v>
      </c>
      <c r="AN47" s="204"/>
      <c r="AO47" s="204" t="s">
        <v>29</v>
      </c>
      <c r="AP47" s="204"/>
      <c r="AQ47" s="224" t="s">
        <v>30</v>
      </c>
      <c r="AS47" s="225" t="s">
        <v>31</v>
      </c>
      <c r="AT47" s="273"/>
      <c r="AU47" s="52"/>
      <c r="AV47" s="53" t="s">
        <v>32</v>
      </c>
      <c r="AW47" s="54" t="s">
        <v>32</v>
      </c>
      <c r="AX47" s="52"/>
      <c r="AY47" s="274"/>
      <c r="AZ47" s="52"/>
      <c r="BA47" s="274">
        <f>+BA5</f>
        <v>36980</v>
      </c>
      <c r="BB47" s="275"/>
      <c r="BC47" s="276"/>
    </row>
    <row r="48" spans="1:55" s="10" customFormat="1" ht="9.9" customHeight="1" thickBot="1" x14ac:dyDescent="0.25">
      <c r="A48" s="277" t="s">
        <v>33</v>
      </c>
      <c r="B48" s="202"/>
      <c r="C48" s="270"/>
      <c r="D48" s="202"/>
      <c r="E48" s="270"/>
      <c r="F48" s="202"/>
      <c r="G48" s="278" t="s">
        <v>19</v>
      </c>
      <c r="H48" s="279"/>
      <c r="I48" s="280" t="s">
        <v>36</v>
      </c>
      <c r="J48" s="202"/>
      <c r="K48" s="278" t="s">
        <v>19</v>
      </c>
      <c r="L48" s="279"/>
      <c r="M48" s="280" t="s">
        <v>36</v>
      </c>
      <c r="N48" s="202"/>
      <c r="O48" s="278" t="s">
        <v>19</v>
      </c>
      <c r="P48" s="279"/>
      <c r="Q48" s="280" t="s">
        <v>36</v>
      </c>
      <c r="R48" s="202"/>
      <c r="S48" s="278" t="s">
        <v>19</v>
      </c>
      <c r="T48" s="280" t="s">
        <v>36</v>
      </c>
      <c r="U48" s="270"/>
      <c r="V48" s="281" t="s">
        <v>37</v>
      </c>
      <c r="W48" s="270"/>
      <c r="X48" s="232" t="s">
        <v>85</v>
      </c>
      <c r="Y48" s="233"/>
      <c r="Z48" s="234" t="s">
        <v>36</v>
      </c>
      <c r="AA48" s="270"/>
      <c r="AB48" s="270"/>
      <c r="AC48" s="270"/>
      <c r="AD48" s="270"/>
      <c r="AE48" s="232" t="s">
        <v>85</v>
      </c>
      <c r="AF48" s="233"/>
      <c r="AG48" s="234" t="s">
        <v>36</v>
      </c>
      <c r="AH48" s="270"/>
      <c r="AI48" s="270"/>
      <c r="AJ48" s="270"/>
      <c r="AK48" s="281" t="s">
        <v>38</v>
      </c>
      <c r="AL48" s="270"/>
      <c r="AM48" s="232" t="s">
        <v>39</v>
      </c>
      <c r="AN48" s="270"/>
      <c r="AO48" s="233" t="s">
        <v>40</v>
      </c>
      <c r="AP48" s="270"/>
      <c r="AQ48" s="234" t="s">
        <v>40</v>
      </c>
      <c r="AS48" s="236" t="s">
        <v>41</v>
      </c>
      <c r="AT48" s="273"/>
      <c r="AU48" s="71" t="s">
        <v>42</v>
      </c>
      <c r="AV48" s="72" t="s">
        <v>43</v>
      </c>
      <c r="AW48" s="73" t="s">
        <v>31</v>
      </c>
      <c r="AX48" s="71" t="s">
        <v>44</v>
      </c>
      <c r="AY48" s="74"/>
      <c r="AZ48" s="71" t="s">
        <v>46</v>
      </c>
      <c r="BA48" s="75" t="s">
        <v>47</v>
      </c>
      <c r="BB48" s="76" t="s">
        <v>48</v>
      </c>
      <c r="BC48" s="75" t="s">
        <v>94</v>
      </c>
    </row>
    <row r="49" spans="1:55" x14ac:dyDescent="0.25">
      <c r="A49" s="64" t="s">
        <v>100</v>
      </c>
      <c r="B49" s="166"/>
      <c r="C49" s="64" t="s">
        <v>97</v>
      </c>
      <c r="D49" s="18"/>
      <c r="E49" s="145">
        <f>[1]!NPW</f>
        <v>8.8000000000000007</v>
      </c>
      <c r="F49" s="18"/>
      <c r="G49" s="64"/>
      <c r="H49" s="62"/>
      <c r="I49" s="64"/>
      <c r="J49" s="18"/>
      <c r="K49" s="64"/>
      <c r="L49" s="62"/>
      <c r="M49" s="64"/>
      <c r="N49" s="18"/>
      <c r="O49" s="64"/>
      <c r="P49" s="62"/>
      <c r="Q49" s="64"/>
      <c r="R49" s="18"/>
      <c r="S49" s="64"/>
      <c r="T49" s="64"/>
      <c r="U49" s="64"/>
      <c r="V49" s="64"/>
      <c r="W49" s="64"/>
      <c r="X49" s="282">
        <v>-4.01</v>
      </c>
      <c r="Y49" s="283"/>
      <c r="Z49" s="284" t="s">
        <v>76</v>
      </c>
      <c r="AA49" s="95"/>
      <c r="AB49" s="95"/>
      <c r="AC49" s="95"/>
      <c r="AD49" s="95"/>
      <c r="AE49" s="282">
        <v>-0.51</v>
      </c>
      <c r="AF49" s="283"/>
      <c r="AG49" s="284" t="s">
        <v>76</v>
      </c>
      <c r="AH49" s="285"/>
      <c r="AI49" s="285"/>
      <c r="AJ49" s="95"/>
      <c r="AK49" s="130" t="e">
        <f>(X49-S49)/S49</f>
        <v>#DIV/0!</v>
      </c>
      <c r="AL49" s="131"/>
      <c r="AM49" s="186">
        <f>((+AX49+E49-AY49)/AY49)</f>
        <v>-4.3478260869565064E-2</v>
      </c>
      <c r="AN49" s="187"/>
      <c r="AO49" s="187">
        <f>((+AZ49+E49-BA49)/BA49)</f>
        <v>0.35384615384615398</v>
      </c>
      <c r="AP49" s="187"/>
      <c r="AQ49" s="286">
        <f>((+BB49+E49-BC49)/BC49)</f>
        <v>-0.1031847133757961</v>
      </c>
      <c r="AR49" s="287"/>
      <c r="AS49" s="259">
        <f>AU49/E49</f>
        <v>0</v>
      </c>
      <c r="AT49" s="159"/>
      <c r="AU49" s="288">
        <v>0</v>
      </c>
      <c r="AV49" s="289"/>
      <c r="AW49" s="290"/>
      <c r="AX49" s="291"/>
      <c r="AY49" s="292">
        <v>9.1999999999999993</v>
      </c>
      <c r="AZ49" s="291"/>
      <c r="BA49" s="292">
        <v>6.5</v>
      </c>
      <c r="BB49" s="291">
        <v>0</v>
      </c>
      <c r="BC49" s="292">
        <v>9.8125</v>
      </c>
    </row>
    <row r="50" spans="1:55" x14ac:dyDescent="0.25">
      <c r="C50" s="8"/>
      <c r="U50" s="8"/>
      <c r="W50" s="8"/>
      <c r="AL50" s="8"/>
      <c r="AM50" s="8"/>
      <c r="AN50" s="8"/>
      <c r="AO50" s="8"/>
      <c r="AP50" s="8"/>
      <c r="AU50" s="8"/>
      <c r="AV50" s="8"/>
      <c r="AW50" s="8"/>
    </row>
    <row r="51" spans="1:55" ht="10.5" customHeight="1" x14ac:dyDescent="0.25">
      <c r="A51" s="5"/>
      <c r="B51" s="5"/>
      <c r="C51" s="6"/>
      <c r="D51" s="5"/>
      <c r="E51" s="145"/>
      <c r="F51" s="5"/>
      <c r="G51" s="7"/>
      <c r="H51" s="169"/>
      <c r="I51" s="7"/>
      <c r="J51" s="18"/>
      <c r="K51" s="7"/>
      <c r="L51" s="7"/>
      <c r="M51" s="7"/>
      <c r="N51" s="5"/>
      <c r="O51" s="7"/>
      <c r="P51" s="169"/>
      <c r="Q51" s="7"/>
      <c r="R51" s="26"/>
      <c r="S51" s="7"/>
      <c r="T51" s="7"/>
      <c r="U51" s="7"/>
      <c r="V51" s="131"/>
      <c r="W51" s="131"/>
      <c r="X51" s="7"/>
      <c r="Y51" s="7"/>
      <c r="Z51" s="7"/>
      <c r="AA51" s="7"/>
      <c r="AB51" s="7"/>
      <c r="AC51" s="7"/>
      <c r="AD51" s="7"/>
      <c r="AE51" s="7"/>
      <c r="AF51" s="7"/>
      <c r="AG51" s="149"/>
      <c r="AH51" s="149"/>
      <c r="AI51" s="149"/>
      <c r="AJ51" s="7"/>
      <c r="AK51" s="131"/>
      <c r="AL51" s="131"/>
      <c r="AM51" s="131"/>
      <c r="AN51" s="131"/>
      <c r="AO51" s="131"/>
      <c r="AP51" s="131"/>
      <c r="AQ51" s="131"/>
      <c r="AR51" s="36"/>
      <c r="AS51" s="131"/>
      <c r="AT51" s="131"/>
      <c r="AU51" s="293"/>
      <c r="AV51" s="171"/>
      <c r="AW51" s="294"/>
      <c r="AX51" s="176"/>
      <c r="AY51" s="124"/>
      <c r="AZ51" s="151"/>
      <c r="BA51" s="176"/>
      <c r="BB51" s="176"/>
      <c r="BC51" s="176"/>
    </row>
    <row r="52" spans="1:55" ht="10.5" customHeight="1" x14ac:dyDescent="0.25">
      <c r="A52" s="5"/>
      <c r="B52" s="5"/>
      <c r="C52" s="6"/>
      <c r="D52" s="5"/>
      <c r="E52" s="145"/>
      <c r="F52" s="5"/>
      <c r="G52" s="7"/>
      <c r="H52" s="169"/>
      <c r="I52" s="7"/>
      <c r="J52" s="18"/>
      <c r="K52" s="7"/>
      <c r="L52" s="7"/>
      <c r="M52" s="7"/>
      <c r="N52" s="5"/>
      <c r="O52" s="7"/>
      <c r="P52" s="169"/>
      <c r="Q52" s="7"/>
      <c r="R52" s="26"/>
      <c r="S52" s="7"/>
      <c r="T52" s="7"/>
      <c r="U52" s="7"/>
      <c r="V52" s="131"/>
      <c r="W52" s="131"/>
      <c r="X52" s="7"/>
      <c r="Y52" s="7"/>
      <c r="Z52" s="7"/>
      <c r="AA52" s="7"/>
      <c r="AB52" s="7"/>
      <c r="AC52" s="7"/>
      <c r="AD52" s="7"/>
      <c r="AE52" s="7"/>
      <c r="AF52" s="7"/>
      <c r="AG52" s="149"/>
      <c r="AH52" s="149"/>
      <c r="AI52" s="149"/>
      <c r="AJ52" s="7"/>
      <c r="AK52" s="131"/>
      <c r="AL52" s="131"/>
      <c r="AM52" s="131"/>
      <c r="AN52" s="131"/>
      <c r="AO52" s="131"/>
      <c r="AP52" s="131"/>
      <c r="AQ52" s="131"/>
      <c r="AR52" s="36"/>
      <c r="AS52" s="131"/>
      <c r="AT52" s="131"/>
      <c r="AU52" s="293"/>
      <c r="AV52" s="171"/>
      <c r="AW52" s="294"/>
      <c r="AX52" s="176"/>
      <c r="AY52" s="124"/>
      <c r="AZ52" s="151"/>
      <c r="BA52" s="176"/>
      <c r="BB52" s="176"/>
      <c r="BC52" s="176"/>
    </row>
    <row r="53" spans="1:55" ht="9.9" customHeight="1" x14ac:dyDescent="0.25">
      <c r="A53" s="295"/>
      <c r="B53" s="5"/>
      <c r="C53" s="6"/>
      <c r="D53" s="5"/>
      <c r="E53" s="5"/>
      <c r="F53" s="5"/>
      <c r="G53" s="18"/>
      <c r="H53" s="18"/>
      <c r="I53" s="18"/>
      <c r="J53" s="18"/>
      <c r="K53" s="18"/>
      <c r="L53" s="18"/>
      <c r="M53" s="18"/>
      <c r="N53" s="5"/>
      <c r="O53" s="18"/>
      <c r="P53" s="18"/>
      <c r="Q53" s="18"/>
      <c r="R53" s="18"/>
      <c r="S53" s="18"/>
      <c r="T53" s="18"/>
      <c r="U53" s="26"/>
      <c r="V53" s="167"/>
      <c r="W53" s="112"/>
      <c r="X53" s="246"/>
      <c r="Y53" s="18"/>
      <c r="Z53" s="18"/>
      <c r="AA53" s="18"/>
      <c r="AB53" s="18"/>
      <c r="AC53" s="18"/>
      <c r="AD53" s="18"/>
      <c r="AE53" s="246"/>
      <c r="AF53" s="18"/>
      <c r="AG53" s="197"/>
      <c r="AH53" s="197"/>
      <c r="AI53" s="197"/>
      <c r="AJ53" s="18"/>
      <c r="AK53" s="167"/>
      <c r="AL53" s="112"/>
      <c r="AM53" s="112"/>
      <c r="AN53" s="112"/>
      <c r="AO53" s="112"/>
      <c r="AP53" s="112"/>
      <c r="AQ53" s="167"/>
      <c r="AU53" s="198"/>
      <c r="AV53" s="199"/>
      <c r="AW53" s="200"/>
      <c r="AX53" s="36"/>
    </row>
    <row r="54" spans="1:55" ht="9.9" customHeight="1" x14ac:dyDescent="0.25">
      <c r="A54" s="295"/>
      <c r="B54" s="5"/>
      <c r="C54" s="6"/>
      <c r="D54" s="5"/>
      <c r="E54" s="5"/>
      <c r="F54" s="5"/>
      <c r="G54" s="18"/>
      <c r="H54" s="18"/>
      <c r="I54" s="18"/>
      <c r="J54" s="18"/>
      <c r="K54" s="18"/>
      <c r="L54" s="18"/>
      <c r="M54" s="18"/>
      <c r="N54" s="5"/>
      <c r="O54" s="18"/>
      <c r="P54" s="18"/>
      <c r="Q54" s="18"/>
      <c r="R54" s="18"/>
      <c r="S54" s="18"/>
      <c r="T54" s="18"/>
      <c r="U54" s="26"/>
      <c r="V54" s="167"/>
      <c r="W54" s="112"/>
      <c r="X54" s="246"/>
      <c r="Y54" s="18"/>
      <c r="Z54" s="18"/>
      <c r="AA54" s="18"/>
      <c r="AB54" s="18"/>
      <c r="AC54" s="18"/>
      <c r="AD54" s="18"/>
      <c r="AE54" s="246"/>
      <c r="AF54" s="18"/>
      <c r="AG54" s="197"/>
      <c r="AH54" s="197"/>
      <c r="AI54" s="197"/>
      <c r="AJ54" s="18"/>
      <c r="AK54" s="167"/>
      <c r="AL54" s="112"/>
      <c r="AM54" s="112"/>
      <c r="AN54" s="112"/>
      <c r="AO54" s="112"/>
      <c r="AP54" s="112"/>
      <c r="AQ54" s="167"/>
      <c r="AU54" s="198"/>
      <c r="AV54" s="199"/>
      <c r="AW54" s="200"/>
      <c r="AX54" s="36"/>
    </row>
    <row r="55" spans="1:55" ht="9.9" customHeight="1" x14ac:dyDescent="0.25">
      <c r="A55" s="295"/>
      <c r="B55" s="5"/>
      <c r="C55" s="6"/>
      <c r="D55" s="5"/>
      <c r="E55" s="5"/>
      <c r="F55" s="5"/>
      <c r="G55" s="18"/>
      <c r="H55" s="18"/>
      <c r="I55" s="18"/>
      <c r="J55" s="18"/>
      <c r="K55" s="18"/>
      <c r="L55" s="18"/>
      <c r="M55" s="18"/>
      <c r="N55" s="5"/>
      <c r="O55" s="18"/>
      <c r="P55" s="18"/>
      <c r="Q55" s="18"/>
      <c r="R55" s="18"/>
      <c r="S55" s="18"/>
      <c r="T55" s="18"/>
      <c r="U55" s="26"/>
      <c r="V55" s="167"/>
      <c r="W55" s="112"/>
      <c r="Y55" s="18"/>
      <c r="Z55" s="18"/>
      <c r="AA55" s="18"/>
      <c r="AB55" s="18"/>
      <c r="AC55" s="18"/>
      <c r="AD55" s="18"/>
      <c r="AE55" s="246"/>
      <c r="AF55" s="18"/>
      <c r="AG55" s="197"/>
      <c r="AH55" s="197"/>
      <c r="AI55" s="197"/>
      <c r="AJ55" s="18"/>
      <c r="AK55" s="167"/>
      <c r="AL55" s="112"/>
      <c r="AM55" s="112"/>
      <c r="AN55" s="112"/>
      <c r="AO55" s="112"/>
      <c r="AP55" s="112"/>
      <c r="AQ55" s="167"/>
      <c r="AU55" s="198"/>
      <c r="AV55" s="199"/>
      <c r="AW55" s="200"/>
      <c r="AX55" s="36"/>
    </row>
    <row r="56" spans="1:55" ht="9.9" customHeight="1" x14ac:dyDescent="0.25">
      <c r="A56" s="295" t="s">
        <v>88</v>
      </c>
      <c r="B56" s="5"/>
      <c r="C56" s="6"/>
      <c r="D56" s="5"/>
      <c r="E56" s="5"/>
      <c r="F56" s="5"/>
      <c r="G56" s="18"/>
      <c r="H56" s="18"/>
      <c r="I56" s="18"/>
      <c r="J56" s="18"/>
      <c r="K56" s="18"/>
      <c r="L56" s="18"/>
      <c r="M56" s="18"/>
      <c r="N56" s="5"/>
      <c r="O56" s="18"/>
      <c r="P56" s="18"/>
      <c r="Q56" s="18"/>
      <c r="R56" s="18"/>
      <c r="S56" s="18"/>
      <c r="T56" s="18"/>
      <c r="U56" s="26"/>
      <c r="V56" s="167"/>
      <c r="W56" s="112"/>
      <c r="Y56" s="18"/>
      <c r="Z56" s="18"/>
      <c r="AA56" s="18"/>
      <c r="AB56" s="18"/>
      <c r="AC56" s="18"/>
      <c r="AD56" s="18"/>
      <c r="AE56" s="246"/>
      <c r="AF56" s="18"/>
      <c r="AG56" s="197"/>
      <c r="AH56" s="197"/>
      <c r="AI56" s="197"/>
      <c r="AJ56" s="18"/>
      <c r="AK56" s="167"/>
      <c r="AL56" s="112"/>
      <c r="AM56" s="112"/>
      <c r="AN56" s="112"/>
      <c r="AO56" s="112"/>
      <c r="AP56" s="112"/>
      <c r="AQ56" s="167"/>
      <c r="AU56" s="198"/>
      <c r="AV56" s="199"/>
      <c r="AW56" s="200"/>
      <c r="AX56" s="36"/>
    </row>
    <row r="57" spans="1:55" ht="9.9" customHeight="1" x14ac:dyDescent="0.25">
      <c r="A57" s="295" t="s">
        <v>96</v>
      </c>
      <c r="B57" s="5"/>
      <c r="C57" s="6"/>
      <c r="D57" s="5"/>
      <c r="E57" s="5"/>
      <c r="F57" s="5"/>
      <c r="G57" s="18"/>
      <c r="H57" s="18"/>
      <c r="I57" s="18"/>
      <c r="J57" s="18"/>
      <c r="K57" s="18"/>
      <c r="L57" s="18"/>
      <c r="M57" s="18"/>
      <c r="N57" s="5"/>
      <c r="O57" s="18"/>
      <c r="P57" s="18"/>
      <c r="Q57" s="18"/>
      <c r="R57" s="18"/>
      <c r="S57" s="18"/>
      <c r="T57" s="18"/>
      <c r="U57" s="26"/>
      <c r="V57" s="167"/>
      <c r="W57" s="112"/>
      <c r="X57" s="18"/>
      <c r="Y57" s="18"/>
      <c r="Z57" s="18"/>
      <c r="AA57" s="18"/>
      <c r="AB57" s="18"/>
      <c r="AC57" s="18"/>
      <c r="AD57" s="18"/>
      <c r="AE57" s="18"/>
      <c r="AF57" s="18"/>
      <c r="AG57" s="197"/>
      <c r="AH57" s="197"/>
      <c r="AI57" s="197"/>
      <c r="AJ57" s="18"/>
      <c r="AK57" s="167"/>
      <c r="AL57" s="112"/>
      <c r="AM57" s="112"/>
      <c r="AN57" s="112"/>
      <c r="AO57" s="112"/>
      <c r="AP57" s="112"/>
      <c r="AQ57" s="167"/>
      <c r="AU57" s="198"/>
      <c r="AV57" s="199"/>
      <c r="AW57" s="200"/>
      <c r="AX57" s="36"/>
    </row>
    <row r="58" spans="1:55" ht="4.5" customHeight="1" x14ac:dyDescent="0.25">
      <c r="A58" s="196"/>
      <c r="B58" s="5"/>
      <c r="C58" s="6"/>
      <c r="D58" s="5"/>
      <c r="E58" s="5"/>
      <c r="F58" s="5"/>
      <c r="G58" s="18"/>
      <c r="H58" s="18"/>
      <c r="I58" s="18"/>
      <c r="J58" s="18"/>
      <c r="K58" s="18"/>
      <c r="L58" s="18"/>
      <c r="M58" s="18"/>
      <c r="N58" s="5"/>
      <c r="O58" s="18"/>
      <c r="P58" s="18"/>
      <c r="Q58" s="18"/>
      <c r="R58" s="18"/>
      <c r="S58" s="18"/>
      <c r="T58" s="18"/>
      <c r="U58" s="26"/>
      <c r="V58" s="167"/>
      <c r="W58" s="112"/>
      <c r="X58" s="18"/>
      <c r="Y58" s="18"/>
      <c r="Z58" s="18"/>
      <c r="AA58" s="18"/>
      <c r="AB58" s="18"/>
      <c r="AC58" s="18"/>
      <c r="AD58" s="18"/>
      <c r="AE58" s="18"/>
      <c r="AF58" s="18"/>
      <c r="AG58" s="197"/>
      <c r="AH58" s="197"/>
      <c r="AI58" s="197"/>
      <c r="AJ58" s="18"/>
      <c r="AK58" s="167"/>
      <c r="AL58" s="112"/>
      <c r="AM58" s="112"/>
      <c r="AN58" s="112"/>
      <c r="AO58" s="112"/>
      <c r="AP58" s="112"/>
      <c r="AQ58" s="167"/>
      <c r="AU58" s="198"/>
      <c r="AV58" s="199"/>
      <c r="AW58" s="200"/>
      <c r="AX58" s="36"/>
    </row>
    <row r="59" spans="1:55" ht="9.9" customHeight="1" x14ac:dyDescent="0.25">
      <c r="A59" s="295"/>
      <c r="B59" s="5"/>
      <c r="C59" s="6"/>
      <c r="D59" s="5"/>
      <c r="E59" s="5"/>
      <c r="F59" s="5"/>
      <c r="G59" s="18"/>
      <c r="H59" s="18"/>
      <c r="I59" s="18"/>
      <c r="J59" s="18"/>
      <c r="K59" s="18"/>
      <c r="L59" s="18"/>
      <c r="M59" s="18"/>
      <c r="N59" s="5"/>
      <c r="O59" s="18"/>
      <c r="P59" s="18"/>
      <c r="Q59" s="18"/>
      <c r="R59" s="18"/>
      <c r="S59" s="18"/>
      <c r="T59" s="18"/>
      <c r="U59" s="26"/>
      <c r="V59" s="167"/>
      <c r="W59" s="112"/>
      <c r="X59" s="18"/>
      <c r="Y59" s="18"/>
      <c r="Z59" s="18"/>
      <c r="AA59" s="18"/>
      <c r="AB59" s="18"/>
      <c r="AC59" s="18"/>
      <c r="AD59" s="18"/>
      <c r="AE59" s="18"/>
      <c r="AF59" s="18"/>
      <c r="AG59" s="197"/>
      <c r="AH59" s="197"/>
      <c r="AI59" s="197"/>
      <c r="AJ59" s="18"/>
      <c r="AK59" s="167"/>
      <c r="AL59" s="112"/>
      <c r="AM59" s="112"/>
      <c r="AN59" s="112"/>
      <c r="AO59" s="112"/>
      <c r="AP59" s="112"/>
      <c r="AQ59" s="167"/>
      <c r="AU59" s="198"/>
      <c r="AV59" s="199"/>
      <c r="AW59" s="200"/>
      <c r="AX59" s="36"/>
    </row>
    <row r="60" spans="1:55" ht="9.9" customHeight="1" x14ac:dyDescent="0.25">
      <c r="A60" s="295"/>
      <c r="B60" s="5"/>
      <c r="C60" s="6"/>
      <c r="D60" s="5"/>
      <c r="E60" s="5"/>
      <c r="F60" s="5"/>
      <c r="G60" s="18"/>
      <c r="H60" s="18"/>
      <c r="I60" s="18"/>
      <c r="J60" s="18"/>
      <c r="K60" s="18"/>
      <c r="L60" s="18"/>
      <c r="M60" s="18"/>
      <c r="N60" s="5"/>
      <c r="O60" s="18"/>
      <c r="P60" s="18"/>
      <c r="Q60" s="18"/>
      <c r="R60" s="18"/>
      <c r="S60" s="18"/>
      <c r="T60" s="18"/>
      <c r="U60" s="26"/>
      <c r="V60" s="167"/>
      <c r="W60" s="112"/>
      <c r="X60" s="18"/>
      <c r="Y60" s="18"/>
      <c r="Z60" s="18"/>
      <c r="AA60" s="18"/>
      <c r="AB60" s="18"/>
      <c r="AC60" s="18"/>
      <c r="AD60" s="18"/>
      <c r="AE60" s="18"/>
      <c r="AF60" s="18"/>
      <c r="AG60" s="197"/>
      <c r="AH60" s="197"/>
      <c r="AI60" s="197"/>
      <c r="AJ60" s="18"/>
      <c r="AK60" s="167"/>
      <c r="AL60" s="112"/>
      <c r="AM60" s="112"/>
      <c r="AN60" s="112"/>
      <c r="AO60" s="112"/>
      <c r="AP60" s="112"/>
      <c r="AQ60" s="167"/>
      <c r="AU60" s="198"/>
      <c r="AV60" s="199"/>
      <c r="AW60" s="200"/>
      <c r="AX60" s="36"/>
    </row>
    <row r="61" spans="1:55" ht="9.9" customHeight="1" x14ac:dyDescent="0.25">
      <c r="A61" s="295"/>
      <c r="B61" s="5"/>
      <c r="C61" s="6"/>
      <c r="D61" s="5"/>
      <c r="E61" s="5"/>
      <c r="F61" s="5"/>
      <c r="G61" s="18"/>
      <c r="H61" s="18"/>
      <c r="I61" s="18"/>
      <c r="J61" s="18"/>
      <c r="K61" s="18"/>
      <c r="L61" s="18"/>
      <c r="M61" s="18"/>
      <c r="N61" s="5"/>
      <c r="O61" s="18"/>
      <c r="P61" s="18"/>
      <c r="Q61" s="18"/>
      <c r="R61" s="18"/>
      <c r="S61" s="18"/>
      <c r="T61" s="18"/>
      <c r="U61" s="26"/>
      <c r="V61" s="167"/>
      <c r="W61" s="112"/>
      <c r="X61" s="18"/>
      <c r="Y61" s="18"/>
      <c r="Z61" s="18"/>
      <c r="AA61" s="18"/>
      <c r="AB61" s="18"/>
      <c r="AC61" s="18"/>
      <c r="AD61" s="18"/>
      <c r="AE61" s="18"/>
      <c r="AF61" s="18"/>
      <c r="AG61" s="197"/>
      <c r="AH61" s="197"/>
      <c r="AI61" s="197"/>
      <c r="AJ61" s="18"/>
      <c r="AK61" s="167"/>
      <c r="AL61" s="112"/>
      <c r="AM61" s="112"/>
      <c r="AN61" s="112"/>
      <c r="AO61" s="112"/>
      <c r="AP61" s="112"/>
      <c r="AQ61" s="167"/>
      <c r="AU61" s="198"/>
      <c r="AV61" s="199"/>
      <c r="AW61" s="200"/>
      <c r="AX61" s="36"/>
    </row>
    <row r="62" spans="1:55" x14ac:dyDescent="0.25">
      <c r="B62" s="5"/>
      <c r="C62" s="6"/>
      <c r="D62" s="5"/>
      <c r="E62" s="5"/>
      <c r="F62" s="5"/>
      <c r="G62" s="18"/>
      <c r="H62" s="18"/>
      <c r="I62" s="18"/>
      <c r="J62" s="18"/>
      <c r="K62" s="18"/>
      <c r="L62" s="18"/>
      <c r="M62" s="18"/>
      <c r="N62" s="5"/>
      <c r="O62" s="18"/>
      <c r="P62" s="18"/>
      <c r="Q62" s="18"/>
      <c r="R62" s="18"/>
      <c r="S62" s="18"/>
      <c r="T62" s="18"/>
      <c r="U62" s="26"/>
      <c r="V62" s="167"/>
      <c r="W62" s="112"/>
      <c r="X62" s="18"/>
      <c r="Y62" s="18"/>
      <c r="Z62" s="18"/>
      <c r="AA62" s="18"/>
      <c r="AB62" s="18"/>
      <c r="AC62" s="18"/>
      <c r="AD62" s="18"/>
      <c r="AE62" s="18"/>
      <c r="AF62" s="18"/>
      <c r="AG62" s="197"/>
      <c r="AH62" s="197"/>
      <c r="AI62" s="197"/>
      <c r="AJ62" s="18"/>
      <c r="AK62" s="167"/>
      <c r="AL62" s="112"/>
      <c r="AM62" s="112"/>
      <c r="AN62" s="112"/>
      <c r="AO62" s="112"/>
      <c r="AP62" s="112"/>
      <c r="AQ62" s="167"/>
      <c r="AU62" s="198"/>
      <c r="AV62" s="199"/>
      <c r="AW62" s="200"/>
      <c r="AX62" s="36"/>
    </row>
    <row r="63" spans="1:55" x14ac:dyDescent="0.25">
      <c r="A63" s="196"/>
      <c r="B63" s="5"/>
      <c r="C63" s="6"/>
      <c r="D63" s="5"/>
      <c r="E63" s="5"/>
      <c r="F63" s="5"/>
      <c r="G63" s="18"/>
      <c r="H63" s="18"/>
      <c r="I63" s="18"/>
      <c r="J63" s="18"/>
      <c r="K63" s="18"/>
      <c r="L63" s="18"/>
      <c r="M63" s="18"/>
      <c r="N63" s="5"/>
      <c r="O63" s="18"/>
      <c r="P63" s="18"/>
      <c r="Q63" s="18"/>
      <c r="R63" s="18"/>
      <c r="S63" s="18"/>
      <c r="T63" s="18"/>
      <c r="U63" s="26"/>
      <c r="V63" s="167"/>
      <c r="W63" s="112"/>
      <c r="X63" s="18"/>
      <c r="Y63" s="18"/>
      <c r="Z63" s="18"/>
      <c r="AA63" s="18"/>
      <c r="AB63" s="18"/>
      <c r="AC63" s="18"/>
      <c r="AD63" s="18"/>
      <c r="AE63" s="18"/>
      <c r="AF63" s="18"/>
      <c r="AG63" s="197"/>
      <c r="AH63" s="197"/>
      <c r="AI63" s="197"/>
      <c r="AJ63" s="18"/>
      <c r="AK63" s="167"/>
      <c r="AL63" s="112"/>
      <c r="AM63" s="112"/>
      <c r="AN63" s="112"/>
      <c r="AO63" s="112"/>
      <c r="AP63" s="112"/>
      <c r="AQ63" s="167"/>
      <c r="AU63" s="198"/>
      <c r="AV63" s="199"/>
      <c r="AW63" s="200"/>
      <c r="AX63" s="36"/>
    </row>
    <row r="64" spans="1:55" ht="18" customHeight="1" x14ac:dyDescent="0.25">
      <c r="A64" s="17"/>
      <c r="B64" s="5"/>
      <c r="C64" s="6"/>
      <c r="D64" s="5"/>
      <c r="E64" s="5"/>
      <c r="F64" s="5"/>
      <c r="G64" s="18"/>
      <c r="H64" s="18"/>
      <c r="I64" s="18"/>
      <c r="J64" s="18"/>
      <c r="K64" s="18"/>
      <c r="L64" s="18"/>
      <c r="M64" s="18"/>
      <c r="N64" s="5"/>
      <c r="O64" s="18"/>
      <c r="P64" s="18"/>
      <c r="Q64" s="18"/>
      <c r="R64" s="18"/>
      <c r="S64" s="18"/>
      <c r="T64" s="18"/>
      <c r="U64" s="26"/>
      <c r="V64" s="167"/>
      <c r="W64" s="112"/>
      <c r="X64" s="18"/>
      <c r="Y64" s="18"/>
      <c r="Z64" s="296"/>
      <c r="AA64" s="18"/>
      <c r="AB64" s="18"/>
      <c r="AC64" s="18"/>
      <c r="AD64" s="18"/>
      <c r="AE64" s="18"/>
      <c r="AF64" s="18"/>
      <c r="AG64" s="197"/>
      <c r="AH64" s="197"/>
      <c r="AI64" s="197"/>
      <c r="AJ64" s="18"/>
      <c r="AK64" s="167"/>
      <c r="AL64" s="112"/>
      <c r="AM64" s="112"/>
      <c r="AN64" s="112"/>
      <c r="AO64" s="112"/>
      <c r="AP64" s="112"/>
      <c r="AQ64" s="167"/>
      <c r="AU64" s="198"/>
      <c r="AV64" s="199"/>
      <c r="AW64" s="200"/>
      <c r="AX64" s="36"/>
    </row>
    <row r="65" spans="1:50" ht="9.75" customHeight="1" x14ac:dyDescent="0.3">
      <c r="A65" s="20"/>
      <c r="B65" s="5"/>
      <c r="C65" s="6"/>
      <c r="D65" s="5"/>
      <c r="E65" s="5"/>
      <c r="F65" s="5"/>
      <c r="G65" s="18"/>
      <c r="H65" s="18"/>
      <c r="I65" s="18"/>
      <c r="J65" s="18"/>
      <c r="K65" s="18"/>
      <c r="L65" s="18"/>
      <c r="M65" s="18"/>
      <c r="N65" s="5"/>
      <c r="O65" s="18"/>
      <c r="P65" s="18"/>
      <c r="Q65" s="18"/>
      <c r="R65" s="18"/>
      <c r="S65" s="18"/>
      <c r="T65" s="26"/>
      <c r="U65" s="26"/>
      <c r="V65" s="112"/>
      <c r="W65" s="112"/>
      <c r="X65" s="26"/>
      <c r="Y65" s="26"/>
      <c r="Z65" s="18"/>
      <c r="AA65" s="18"/>
      <c r="AB65" s="18"/>
      <c r="AC65" s="18"/>
      <c r="AD65" s="18"/>
      <c r="AE65" s="26"/>
      <c r="AF65" s="26"/>
      <c r="AG65" s="18"/>
      <c r="AH65" s="18"/>
      <c r="AI65" s="18"/>
      <c r="AJ65" s="18"/>
      <c r="AK65" s="167"/>
      <c r="AL65" s="112"/>
      <c r="AM65" s="112"/>
      <c r="AN65" s="112"/>
      <c r="AO65" s="112"/>
      <c r="AP65" s="112"/>
      <c r="AQ65" s="167"/>
      <c r="AU65" s="198"/>
      <c r="AV65" s="199"/>
      <c r="AW65" s="200"/>
      <c r="AX65" s="36"/>
    </row>
    <row r="66" spans="1:50" ht="15.6" x14ac:dyDescent="0.3">
      <c r="A66" s="297" t="s">
        <v>5</v>
      </c>
      <c r="B66" s="298"/>
      <c r="C66" s="299"/>
      <c r="D66" s="43"/>
      <c r="E66" s="300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301" t="s">
        <v>6</v>
      </c>
      <c r="T66" s="302"/>
      <c r="U66" s="302"/>
      <c r="V66" s="302"/>
      <c r="W66" s="302"/>
      <c r="X66" s="301">
        <v>2001</v>
      </c>
      <c r="Y66" s="301"/>
      <c r="Z66" s="302"/>
      <c r="AA66" s="302"/>
      <c r="AB66" s="302"/>
      <c r="AC66" s="302"/>
      <c r="AD66" s="302"/>
      <c r="AE66" s="303" t="s">
        <v>124</v>
      </c>
      <c r="AF66" s="304"/>
      <c r="AG66" s="305"/>
      <c r="AH66" s="305"/>
      <c r="AK66" s="305"/>
      <c r="AL66" s="306"/>
      <c r="AM66" s="306"/>
      <c r="AN66" s="306"/>
      <c r="AO66" s="20"/>
      <c r="AP66" s="306"/>
      <c r="AQ66" s="20"/>
      <c r="AR66" s="20"/>
      <c r="AS66" s="390">
        <v>2000</v>
      </c>
      <c r="AT66" s="391"/>
      <c r="AU66" s="392"/>
      <c r="AW66" s="307"/>
    </row>
    <row r="67" spans="1:50" ht="12.75" customHeight="1" x14ac:dyDescent="0.3">
      <c r="A67" s="308" t="s">
        <v>7</v>
      </c>
      <c r="B67" s="309"/>
      <c r="C67" s="309"/>
      <c r="D67" s="309"/>
      <c r="E67" s="309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310" t="s">
        <v>8</v>
      </c>
      <c r="T67" s="306"/>
      <c r="U67" s="306"/>
      <c r="V67" s="306"/>
      <c r="W67" s="306"/>
      <c r="X67" s="310" t="s">
        <v>8</v>
      </c>
      <c r="Y67" s="310"/>
      <c r="Z67" s="306"/>
      <c r="AA67" s="306"/>
      <c r="AB67" s="306"/>
      <c r="AC67" s="306"/>
      <c r="AD67" s="306"/>
      <c r="AE67" s="311" t="s">
        <v>8</v>
      </c>
      <c r="AF67" s="310"/>
      <c r="AG67" s="305"/>
      <c r="AH67" s="305"/>
      <c r="AK67" s="305"/>
      <c r="AL67" s="306"/>
      <c r="AM67" s="306"/>
      <c r="AN67" s="306"/>
      <c r="AO67" s="312"/>
      <c r="AP67" s="306"/>
      <c r="AQ67" s="312"/>
      <c r="AR67" s="312"/>
      <c r="AS67" s="42" t="s">
        <v>26</v>
      </c>
      <c r="AT67" s="46"/>
      <c r="AU67" s="44"/>
    </row>
    <row r="68" spans="1:50" ht="16.2" thickBot="1" x14ac:dyDescent="0.35">
      <c r="A68" s="313" t="s">
        <v>9</v>
      </c>
      <c r="B68" s="21"/>
      <c r="C68" s="21"/>
      <c r="D68" s="21"/>
      <c r="E68" s="21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314">
        <v>2</v>
      </c>
      <c r="T68" s="306"/>
      <c r="U68" s="306"/>
      <c r="V68" s="306"/>
      <c r="W68" s="306"/>
      <c r="X68" s="315">
        <v>1.75</v>
      </c>
      <c r="Y68" s="316"/>
      <c r="Z68" s="306"/>
      <c r="AA68" s="306"/>
      <c r="AB68" s="306"/>
      <c r="AC68" s="306"/>
      <c r="AD68" s="306"/>
      <c r="AE68" s="317">
        <v>2</v>
      </c>
      <c r="AF68" s="318"/>
      <c r="AK68" s="305"/>
      <c r="AL68" s="306"/>
      <c r="AM68" s="60" t="s">
        <v>33</v>
      </c>
      <c r="AN68" s="18"/>
      <c r="AO68" s="60" t="s">
        <v>34</v>
      </c>
      <c r="AP68" s="8"/>
      <c r="AQ68" s="312"/>
      <c r="AR68" s="312"/>
      <c r="AS68" s="61" t="s">
        <v>85</v>
      </c>
      <c r="AT68" s="66"/>
      <c r="AU68" s="63" t="s">
        <v>36</v>
      </c>
    </row>
    <row r="69" spans="1:50" ht="16.2" thickBot="1" x14ac:dyDescent="0.35">
      <c r="A69" s="313" t="s">
        <v>110</v>
      </c>
      <c r="B69" s="21"/>
      <c r="C69" s="21"/>
      <c r="D69" s="21"/>
      <c r="E69" s="21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314"/>
      <c r="T69" s="306"/>
      <c r="U69" s="306"/>
      <c r="V69" s="306"/>
      <c r="W69" s="306"/>
      <c r="X69" s="318">
        <v>1.78</v>
      </c>
      <c r="Y69" s="318"/>
      <c r="Z69" s="306"/>
      <c r="AA69" s="306"/>
      <c r="AB69" s="306"/>
      <c r="AC69" s="306"/>
      <c r="AD69" s="306"/>
      <c r="AE69" s="319"/>
      <c r="AF69" s="318"/>
      <c r="AK69" s="305"/>
      <c r="AL69" s="306"/>
      <c r="AM69" s="78" t="s">
        <v>49</v>
      </c>
      <c r="AN69" s="79"/>
      <c r="AO69" s="80" t="s">
        <v>0</v>
      </c>
      <c r="AP69" s="8"/>
      <c r="AQ69" s="312"/>
      <c r="AR69" s="312"/>
      <c r="AS69" s="90">
        <v>1.47</v>
      </c>
      <c r="AT69" s="91"/>
      <c r="AU69" s="84">
        <f>M69/AS69</f>
        <v>0</v>
      </c>
    </row>
    <row r="70" spans="1:50" ht="15.6" x14ac:dyDescent="0.3">
      <c r="A70" s="313" t="s">
        <v>122</v>
      </c>
      <c r="B70" s="21"/>
      <c r="C70" s="21"/>
      <c r="D70" s="21"/>
      <c r="E70" s="21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314"/>
      <c r="T70" s="306"/>
      <c r="U70" s="306"/>
      <c r="V70" s="306"/>
      <c r="W70" s="306"/>
      <c r="X70" s="318">
        <v>1.8</v>
      </c>
      <c r="Y70" s="318"/>
      <c r="Z70" s="306"/>
      <c r="AA70" s="306"/>
      <c r="AB70" s="306"/>
      <c r="AC70" s="306"/>
      <c r="AD70" s="306"/>
      <c r="AE70" s="319"/>
      <c r="AF70" s="318"/>
      <c r="AK70" s="305"/>
      <c r="AL70" s="306"/>
      <c r="AM70" s="18"/>
      <c r="AN70" s="18"/>
      <c r="AO70" s="19"/>
      <c r="AP70" s="8"/>
      <c r="AQ70" s="312"/>
      <c r="AR70" s="312"/>
      <c r="AS70" s="108"/>
      <c r="AT70" s="113"/>
      <c r="AU70" s="110"/>
    </row>
    <row r="71" spans="1:50" ht="15.6" x14ac:dyDescent="0.3">
      <c r="A71" s="313" t="s">
        <v>62</v>
      </c>
      <c r="B71" s="21"/>
      <c r="C71" s="21"/>
      <c r="D71" s="21"/>
      <c r="E71" s="21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314">
        <v>2</v>
      </c>
      <c r="T71" s="306"/>
      <c r="U71" s="306"/>
      <c r="V71" s="306"/>
      <c r="W71" s="306"/>
      <c r="X71" s="318">
        <v>1.8</v>
      </c>
      <c r="Y71" s="318"/>
      <c r="Z71" s="306"/>
      <c r="AA71" s="306"/>
      <c r="AB71" s="306"/>
      <c r="AC71" s="306"/>
      <c r="AD71" s="306"/>
      <c r="AE71" s="319">
        <v>2.1</v>
      </c>
      <c r="AF71" s="318"/>
      <c r="AK71" s="305"/>
      <c r="AL71" s="306"/>
      <c r="AM71" s="17" t="s">
        <v>52</v>
      </c>
      <c r="AN71" s="18"/>
      <c r="AO71" s="19" t="s">
        <v>60</v>
      </c>
      <c r="AP71" s="8"/>
      <c r="AQ71" s="312"/>
      <c r="AR71" s="312"/>
      <c r="AS71" s="129">
        <v>56.82</v>
      </c>
      <c r="AT71" s="132"/>
      <c r="AU71" s="96">
        <f>M71/AS71</f>
        <v>0</v>
      </c>
    </row>
    <row r="72" spans="1:50" ht="15.6" x14ac:dyDescent="0.3">
      <c r="A72" s="313" t="s">
        <v>10</v>
      </c>
      <c r="B72" s="21"/>
      <c r="C72" s="21"/>
      <c r="D72" s="21"/>
      <c r="E72" s="21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314">
        <v>2</v>
      </c>
      <c r="T72" s="306"/>
      <c r="U72" s="306"/>
      <c r="V72" s="306"/>
      <c r="W72" s="306"/>
      <c r="X72" s="318">
        <v>1.78</v>
      </c>
      <c r="Y72" s="318"/>
      <c r="Z72" s="306"/>
      <c r="AA72" s="306"/>
      <c r="AB72" s="306"/>
      <c r="AC72" s="306"/>
      <c r="AD72" s="306"/>
      <c r="AE72" s="319">
        <v>2.0499999999999998</v>
      </c>
      <c r="AF72" s="318"/>
      <c r="AK72" s="305"/>
      <c r="AL72" s="306"/>
      <c r="AM72" s="17" t="s">
        <v>78</v>
      </c>
      <c r="AN72" s="18"/>
      <c r="AO72" s="19" t="s">
        <v>75</v>
      </c>
      <c r="AP72" s="8"/>
      <c r="AQ72" s="312"/>
      <c r="AR72" s="312"/>
      <c r="AS72" s="141" t="s">
        <v>76</v>
      </c>
      <c r="AT72" s="132"/>
      <c r="AU72" s="142" t="s">
        <v>77</v>
      </c>
    </row>
    <row r="73" spans="1:50" ht="15.6" x14ac:dyDescent="0.3">
      <c r="A73" s="313" t="s">
        <v>63</v>
      </c>
      <c r="B73" s="21"/>
      <c r="C73" s="21"/>
      <c r="D73" s="21"/>
      <c r="E73" s="21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314"/>
      <c r="T73" s="306"/>
      <c r="U73" s="306"/>
      <c r="V73" s="306"/>
      <c r="W73" s="306"/>
      <c r="X73" s="320">
        <v>1.8</v>
      </c>
      <c r="Y73" s="318"/>
      <c r="Z73" s="306"/>
      <c r="AA73" s="306"/>
      <c r="AB73" s="306"/>
      <c r="AC73" s="306"/>
      <c r="AD73" s="306"/>
      <c r="AE73" s="321">
        <v>2.25</v>
      </c>
      <c r="AF73" s="318"/>
      <c r="AK73" s="305"/>
      <c r="AL73" s="306"/>
      <c r="AM73" s="18"/>
      <c r="AN73" s="18"/>
      <c r="AO73" s="19"/>
      <c r="AP73" s="8"/>
      <c r="AQ73" s="312"/>
      <c r="AR73" s="312"/>
      <c r="AS73" s="129"/>
      <c r="AT73" s="132"/>
      <c r="AU73" s="146"/>
    </row>
    <row r="74" spans="1:50" ht="15.6" x14ac:dyDescent="0.3">
      <c r="A74" s="313" t="s">
        <v>66</v>
      </c>
      <c r="B74" s="21"/>
      <c r="C74" s="21"/>
      <c r="D74" s="21"/>
      <c r="E74" s="21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314"/>
      <c r="T74" s="322"/>
      <c r="U74" s="306"/>
      <c r="V74" s="306"/>
      <c r="W74" s="306"/>
      <c r="X74" s="318">
        <v>1.8</v>
      </c>
      <c r="Y74" s="318"/>
      <c r="Z74" s="322"/>
      <c r="AA74" s="322"/>
      <c r="AB74" s="322"/>
      <c r="AC74" s="322"/>
      <c r="AD74" s="322"/>
      <c r="AE74" s="319">
        <v>2.15</v>
      </c>
      <c r="AF74" s="318"/>
      <c r="AK74" s="305"/>
      <c r="AL74" s="306"/>
      <c r="AM74" s="152" t="s">
        <v>84</v>
      </c>
      <c r="AN74" s="18"/>
      <c r="AO74" s="19"/>
      <c r="AP74" s="8"/>
      <c r="AQ74" s="312"/>
      <c r="AR74" s="312"/>
      <c r="AS74" s="129"/>
      <c r="AT74" s="132"/>
      <c r="AU74" s="146"/>
    </row>
    <row r="75" spans="1:50" ht="15.6" x14ac:dyDescent="0.3">
      <c r="A75" s="313" t="s">
        <v>59</v>
      </c>
      <c r="B75" s="21"/>
      <c r="C75" s="21"/>
      <c r="D75" s="21"/>
      <c r="E75" s="21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314">
        <v>2</v>
      </c>
      <c r="T75" s="322"/>
      <c r="U75" s="306"/>
      <c r="V75" s="306"/>
      <c r="W75" s="306"/>
      <c r="X75" s="318">
        <v>1.79</v>
      </c>
      <c r="Y75" s="318"/>
      <c r="Z75" s="322"/>
      <c r="AA75" s="322"/>
      <c r="AB75" s="322"/>
      <c r="AC75" s="322"/>
      <c r="AD75" s="322"/>
      <c r="AE75" s="319">
        <v>2.08</v>
      </c>
      <c r="AF75" s="318"/>
      <c r="AK75" s="305"/>
      <c r="AL75" s="306"/>
      <c r="AM75" s="18" t="s">
        <v>107</v>
      </c>
      <c r="AN75" s="162"/>
      <c r="AO75" s="41" t="s">
        <v>67</v>
      </c>
      <c r="AP75" s="8"/>
      <c r="AQ75" s="312"/>
      <c r="AR75" s="312"/>
      <c r="AS75" s="129">
        <v>1.46</v>
      </c>
      <c r="AT75" s="132"/>
      <c r="AU75" s="96">
        <f t="shared" ref="AU75:AU85" si="14">M75/AS75</f>
        <v>0</v>
      </c>
    </row>
    <row r="76" spans="1:50" s="326" customFormat="1" ht="15.6" x14ac:dyDescent="0.3">
      <c r="A76" s="323" t="s">
        <v>11</v>
      </c>
      <c r="B76" s="21"/>
      <c r="C76" s="21"/>
      <c r="D76" s="21"/>
      <c r="E76" s="21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314">
        <v>2</v>
      </c>
      <c r="T76" s="324"/>
      <c r="U76" s="325"/>
      <c r="V76" s="325"/>
      <c r="W76" s="325"/>
      <c r="X76" s="318">
        <v>1.8</v>
      </c>
      <c r="Y76" s="318"/>
      <c r="Z76" s="324"/>
      <c r="AA76" s="324"/>
      <c r="AB76" s="324"/>
      <c r="AC76" s="324"/>
      <c r="AD76" s="324"/>
      <c r="AE76" s="319"/>
      <c r="AF76" s="318"/>
      <c r="AK76" s="327"/>
      <c r="AL76" s="325"/>
      <c r="AM76" s="17" t="s">
        <v>69</v>
      </c>
      <c r="AN76" s="162"/>
      <c r="AO76" s="41" t="s">
        <v>70</v>
      </c>
      <c r="AQ76" s="328"/>
      <c r="AR76" s="328"/>
      <c r="AS76" s="129">
        <v>3.3330000000000002</v>
      </c>
      <c r="AT76" s="132"/>
      <c r="AU76" s="96">
        <f t="shared" si="14"/>
        <v>0</v>
      </c>
      <c r="AV76" s="329"/>
      <c r="AW76" s="330"/>
    </row>
    <row r="77" spans="1:50" s="326" customFormat="1" ht="15.6" x14ac:dyDescent="0.3">
      <c r="A77" s="323" t="s">
        <v>95</v>
      </c>
      <c r="B77" s="21"/>
      <c r="C77" s="21"/>
      <c r="D77" s="21"/>
      <c r="E77" s="21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314"/>
      <c r="T77" s="324"/>
      <c r="U77" s="325"/>
      <c r="V77" s="325"/>
      <c r="W77" s="325"/>
      <c r="X77" s="318">
        <v>1.78</v>
      </c>
      <c r="Y77" s="318"/>
      <c r="Z77" s="324"/>
      <c r="AA77" s="324"/>
      <c r="AB77" s="324"/>
      <c r="AC77" s="324"/>
      <c r="AD77" s="324"/>
      <c r="AE77" s="319">
        <v>2.14</v>
      </c>
      <c r="AF77" s="318"/>
      <c r="AK77" s="327"/>
      <c r="AL77" s="325"/>
      <c r="AM77" s="17" t="s">
        <v>53</v>
      </c>
      <c r="AN77" s="162"/>
      <c r="AO77" s="41" t="s">
        <v>1</v>
      </c>
      <c r="AQ77" s="328"/>
      <c r="AR77" s="328"/>
      <c r="AS77" s="129">
        <v>2.1</v>
      </c>
      <c r="AT77" s="132"/>
      <c r="AU77" s="96">
        <f t="shared" si="14"/>
        <v>0</v>
      </c>
      <c r="AV77" s="329"/>
      <c r="AW77" s="330"/>
    </row>
    <row r="78" spans="1:50" s="326" customFormat="1" ht="15.6" x14ac:dyDescent="0.3">
      <c r="A78" s="323" t="s">
        <v>61</v>
      </c>
      <c r="B78" s="21"/>
      <c r="C78" s="21"/>
      <c r="D78" s="21"/>
      <c r="E78" s="21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314"/>
      <c r="T78" s="324"/>
      <c r="U78" s="325"/>
      <c r="V78" s="325"/>
      <c r="W78" s="325"/>
      <c r="X78" s="318">
        <v>1.77</v>
      </c>
      <c r="Y78" s="318"/>
      <c r="Z78" s="324"/>
      <c r="AA78" s="324">
        <v>0</v>
      </c>
      <c r="AB78" s="324"/>
      <c r="AC78" s="324"/>
      <c r="AD78" s="324"/>
      <c r="AE78" s="319">
        <v>2.08</v>
      </c>
      <c r="AF78" s="318"/>
      <c r="AK78" s="327"/>
      <c r="AL78" s="325"/>
      <c r="AM78" s="17" t="s">
        <v>108</v>
      </c>
      <c r="AN78" s="162"/>
      <c r="AO78" s="41" t="s">
        <v>54</v>
      </c>
      <c r="AQ78" s="328"/>
      <c r="AR78" s="328"/>
      <c r="AS78" s="129">
        <v>1.43</v>
      </c>
      <c r="AT78" s="132"/>
      <c r="AU78" s="96">
        <f t="shared" si="14"/>
        <v>0</v>
      </c>
      <c r="AV78" s="329"/>
      <c r="AW78" s="330"/>
    </row>
    <row r="79" spans="1:50" s="326" customFormat="1" ht="15.6" x14ac:dyDescent="0.3">
      <c r="A79" s="323" t="s">
        <v>12</v>
      </c>
      <c r="B79" s="21"/>
      <c r="C79" s="21"/>
      <c r="D79" s="21"/>
      <c r="E79" s="21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314"/>
      <c r="T79" s="324"/>
      <c r="U79" s="325"/>
      <c r="V79" s="325"/>
      <c r="W79" s="325"/>
      <c r="X79" s="318">
        <v>1.8</v>
      </c>
      <c r="Y79" s="318"/>
      <c r="Z79" s="324"/>
      <c r="AA79" s="324"/>
      <c r="AB79" s="324"/>
      <c r="AC79" s="324"/>
      <c r="AD79" s="324"/>
      <c r="AE79" s="319">
        <v>2.1</v>
      </c>
      <c r="AF79" s="318"/>
      <c r="AK79" s="327"/>
      <c r="AL79" s="325"/>
      <c r="AM79" s="17" t="s">
        <v>55</v>
      </c>
      <c r="AN79" s="6"/>
      <c r="AO79" s="41" t="s">
        <v>2</v>
      </c>
      <c r="AQ79" s="328"/>
      <c r="AR79" s="328"/>
      <c r="AS79" s="129">
        <v>2.69</v>
      </c>
      <c r="AT79" s="132"/>
      <c r="AU79" s="96">
        <f t="shared" si="14"/>
        <v>0</v>
      </c>
      <c r="AV79" s="329"/>
      <c r="AW79" s="330"/>
    </row>
    <row r="80" spans="1:50" s="326" customFormat="1" ht="15.6" x14ac:dyDescent="0.3">
      <c r="A80" s="323" t="s">
        <v>13</v>
      </c>
      <c r="B80" s="21"/>
      <c r="C80" s="21"/>
      <c r="D80" s="21"/>
      <c r="E80" s="21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314">
        <v>2</v>
      </c>
      <c r="T80" s="324"/>
      <c r="U80" s="325"/>
      <c r="V80" s="325"/>
      <c r="W80" s="325"/>
      <c r="X80" s="318">
        <v>1.8</v>
      </c>
      <c r="Y80" s="318"/>
      <c r="Z80" s="324"/>
      <c r="AA80" s="324"/>
      <c r="AB80" s="324"/>
      <c r="AC80" s="324"/>
      <c r="AD80" s="324"/>
      <c r="AE80" s="319">
        <v>2.15</v>
      </c>
      <c r="AF80" s="318"/>
      <c r="AK80" s="327"/>
      <c r="AL80" s="325"/>
      <c r="AM80" s="17" t="s">
        <v>64</v>
      </c>
      <c r="AN80" s="6"/>
      <c r="AO80" s="41" t="s">
        <v>65</v>
      </c>
      <c r="AQ80" s="328"/>
      <c r="AR80" s="328"/>
      <c r="AS80" s="129">
        <v>1.28</v>
      </c>
      <c r="AT80" s="132"/>
      <c r="AU80" s="96">
        <f t="shared" si="14"/>
        <v>0</v>
      </c>
      <c r="AV80" s="329"/>
      <c r="AW80" s="330"/>
    </row>
    <row r="81" spans="1:49" ht="15.6" x14ac:dyDescent="0.3">
      <c r="A81" s="323" t="s">
        <v>14</v>
      </c>
      <c r="B81" s="21"/>
      <c r="C81" s="21"/>
      <c r="D81" s="21"/>
      <c r="E81" s="21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314">
        <v>1.98</v>
      </c>
      <c r="T81" s="322"/>
      <c r="U81" s="331"/>
      <c r="V81" s="331"/>
      <c r="W81" s="331"/>
      <c r="X81" s="318">
        <v>1.8</v>
      </c>
      <c r="Y81" s="318"/>
      <c r="Z81" s="322"/>
      <c r="AA81" s="322"/>
      <c r="AB81" s="322"/>
      <c r="AC81" s="322"/>
      <c r="AD81" s="322"/>
      <c r="AE81" s="319">
        <v>2.15</v>
      </c>
      <c r="AF81" s="318"/>
      <c r="AK81" s="332"/>
      <c r="AL81" s="331"/>
      <c r="AM81" s="17" t="s">
        <v>99</v>
      </c>
      <c r="AN81" s="166"/>
      <c r="AO81" s="19" t="s">
        <v>98</v>
      </c>
      <c r="AP81" s="8"/>
      <c r="AQ81" s="312"/>
      <c r="AR81" s="312"/>
      <c r="AS81" s="129">
        <v>1.1000000000000001</v>
      </c>
      <c r="AT81" s="132"/>
      <c r="AU81" s="96">
        <f t="shared" si="14"/>
        <v>0</v>
      </c>
      <c r="AV81" s="333"/>
      <c r="AW81" s="334"/>
    </row>
    <row r="82" spans="1:49" ht="15.6" x14ac:dyDescent="0.3">
      <c r="A82" s="323" t="s">
        <v>15</v>
      </c>
      <c r="B82" s="21"/>
      <c r="C82" s="21"/>
      <c r="D82" s="21"/>
      <c r="E82" s="21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314">
        <v>2.0099999999999998</v>
      </c>
      <c r="T82" s="322"/>
      <c r="U82" s="331"/>
      <c r="V82" s="331"/>
      <c r="W82" s="331"/>
      <c r="X82" s="318">
        <v>1.8</v>
      </c>
      <c r="Y82" s="318"/>
      <c r="Z82" s="322"/>
      <c r="AA82" s="322"/>
      <c r="AB82" s="322"/>
      <c r="AC82" s="322"/>
      <c r="AD82" s="322"/>
      <c r="AE82" s="319">
        <v>2.1</v>
      </c>
      <c r="AF82" s="318"/>
      <c r="AK82" s="332"/>
      <c r="AL82" s="331"/>
      <c r="AM82" s="18" t="s">
        <v>57</v>
      </c>
      <c r="AN82" s="18"/>
      <c r="AO82" s="41" t="s">
        <v>58</v>
      </c>
      <c r="AP82" s="8"/>
      <c r="AQ82" s="312"/>
      <c r="AR82" s="312"/>
      <c r="AS82" s="129">
        <v>2.5299999999999998</v>
      </c>
      <c r="AT82" s="132"/>
      <c r="AU82" s="96">
        <f t="shared" si="14"/>
        <v>0</v>
      </c>
      <c r="AV82" s="333"/>
      <c r="AW82" s="334"/>
    </row>
    <row r="83" spans="1:49" ht="15.6" x14ac:dyDescent="0.3">
      <c r="A83" s="323" t="s">
        <v>91</v>
      </c>
      <c r="B83" s="21"/>
      <c r="C83" s="21"/>
      <c r="D83" s="21"/>
      <c r="E83" s="21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314"/>
      <c r="T83" s="322"/>
      <c r="U83" s="331"/>
      <c r="V83" s="331"/>
      <c r="W83" s="331"/>
      <c r="X83" s="318">
        <v>1.8</v>
      </c>
      <c r="Y83" s="318"/>
      <c r="Z83" s="322"/>
      <c r="AA83" s="322"/>
      <c r="AB83" s="322"/>
      <c r="AC83" s="322"/>
      <c r="AD83" s="322"/>
      <c r="AE83" s="319">
        <v>2.0499999999999998</v>
      </c>
      <c r="AF83" s="318"/>
      <c r="AK83" s="332"/>
      <c r="AL83" s="331"/>
      <c r="AM83" s="165" t="s">
        <v>120</v>
      </c>
      <c r="AN83" s="166"/>
      <c r="AO83" s="64" t="s">
        <v>119</v>
      </c>
      <c r="AP83" s="8"/>
      <c r="AQ83" s="312"/>
      <c r="AR83" s="312"/>
      <c r="AS83" s="129">
        <v>0.98</v>
      </c>
      <c r="AT83" s="132"/>
      <c r="AU83" s="96">
        <f t="shared" si="14"/>
        <v>0</v>
      </c>
      <c r="AV83" s="333"/>
      <c r="AW83" s="334"/>
    </row>
    <row r="84" spans="1:49" ht="15.6" x14ac:dyDescent="0.3">
      <c r="A84" s="323" t="s">
        <v>133</v>
      </c>
      <c r="B84" s="21"/>
      <c r="C84" s="21"/>
      <c r="D84" s="21"/>
      <c r="E84" s="21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314">
        <v>2</v>
      </c>
      <c r="T84" s="322"/>
      <c r="U84" s="331"/>
      <c r="V84" s="331"/>
      <c r="W84" s="331"/>
      <c r="X84" s="318">
        <v>1.81</v>
      </c>
      <c r="Y84" s="318"/>
      <c r="Z84" s="322"/>
      <c r="AA84" s="322"/>
      <c r="AB84" s="322"/>
      <c r="AC84" s="322"/>
      <c r="AD84" s="322"/>
      <c r="AE84" s="319"/>
      <c r="AF84" s="318"/>
      <c r="AK84" s="332"/>
      <c r="AL84" s="331"/>
      <c r="AM84" s="17" t="s">
        <v>56</v>
      </c>
      <c r="AN84" s="18"/>
      <c r="AO84" s="41" t="s">
        <v>3</v>
      </c>
      <c r="AP84" s="8"/>
      <c r="AQ84" s="312"/>
      <c r="AR84" s="312"/>
      <c r="AS84" s="129">
        <v>0.83</v>
      </c>
      <c r="AT84" s="132"/>
      <c r="AU84" s="96">
        <f t="shared" si="14"/>
        <v>0</v>
      </c>
      <c r="AV84" s="333"/>
      <c r="AW84" s="334"/>
    </row>
    <row r="85" spans="1:49" ht="15.6" x14ac:dyDescent="0.3">
      <c r="A85" s="323" t="s">
        <v>79</v>
      </c>
      <c r="B85" s="21"/>
      <c r="C85" s="21"/>
      <c r="D85" s="21"/>
      <c r="E85" s="21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314"/>
      <c r="T85" s="322"/>
      <c r="U85" s="331"/>
      <c r="V85" s="331"/>
      <c r="W85" s="331"/>
      <c r="X85" s="318">
        <v>1.82</v>
      </c>
      <c r="Y85" s="318"/>
      <c r="Z85" s="322"/>
      <c r="AA85" s="322"/>
      <c r="AB85" s="322"/>
      <c r="AC85" s="322"/>
      <c r="AD85" s="322"/>
      <c r="AE85" s="319">
        <v>2.2000000000000002</v>
      </c>
      <c r="AF85" s="318"/>
      <c r="AK85" s="332"/>
      <c r="AL85" s="331"/>
      <c r="AM85" s="17" t="s">
        <v>86</v>
      </c>
      <c r="AN85" s="18"/>
      <c r="AO85" s="41" t="s">
        <v>4</v>
      </c>
      <c r="AP85" s="8"/>
      <c r="AQ85" s="312"/>
      <c r="AR85" s="312"/>
      <c r="AS85" s="129">
        <v>1.72</v>
      </c>
      <c r="AT85" s="132"/>
      <c r="AU85" s="96">
        <f t="shared" si="14"/>
        <v>0</v>
      </c>
      <c r="AV85" s="333"/>
      <c r="AW85" s="334"/>
    </row>
    <row r="86" spans="1:49" ht="15.6" x14ac:dyDescent="0.3">
      <c r="A86" s="335" t="s">
        <v>102</v>
      </c>
      <c r="B86" s="21"/>
      <c r="C86" s="21"/>
      <c r="D86" s="21"/>
      <c r="E86" s="21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314">
        <v>2</v>
      </c>
      <c r="T86" s="322"/>
      <c r="U86" s="331"/>
      <c r="V86" s="331"/>
      <c r="W86" s="331"/>
      <c r="X86" s="318">
        <v>1.8</v>
      </c>
      <c r="Y86" s="318"/>
      <c r="Z86" s="322"/>
      <c r="AA86" s="322"/>
      <c r="AB86" s="322"/>
      <c r="AC86" s="322"/>
      <c r="AD86" s="322"/>
      <c r="AE86" s="319">
        <v>2.1</v>
      </c>
      <c r="AF86" s="318"/>
      <c r="AK86" s="332"/>
      <c r="AL86" s="331"/>
      <c r="AM86" s="5"/>
      <c r="AN86" s="5"/>
      <c r="AO86" s="6"/>
      <c r="AP86" s="8"/>
      <c r="AQ86" s="312"/>
      <c r="AR86" s="312"/>
      <c r="AS86" s="168"/>
      <c r="AT86" s="7"/>
      <c r="AU86" s="146"/>
      <c r="AV86" s="333"/>
      <c r="AW86" s="334"/>
    </row>
    <row r="87" spans="1:49" ht="15.6" x14ac:dyDescent="0.3">
      <c r="A87" s="116"/>
      <c r="B87" s="21"/>
      <c r="C87" s="21"/>
      <c r="D87" s="21"/>
      <c r="E87" s="21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314"/>
      <c r="T87" s="322"/>
      <c r="U87" s="331"/>
      <c r="V87" s="331"/>
      <c r="W87" s="331"/>
      <c r="X87" s="318"/>
      <c r="Y87" s="318"/>
      <c r="Z87" s="322"/>
      <c r="AA87" s="322"/>
      <c r="AB87" s="322"/>
      <c r="AC87" s="322"/>
      <c r="AD87" s="322"/>
      <c r="AE87" s="319"/>
      <c r="AF87" s="318"/>
      <c r="AK87" s="332"/>
      <c r="AL87" s="331"/>
      <c r="AM87" s="17" t="s">
        <v>93</v>
      </c>
      <c r="AN87" s="18"/>
      <c r="AO87" s="19"/>
      <c r="AP87" s="8"/>
      <c r="AQ87" s="312"/>
      <c r="AR87" s="312"/>
      <c r="AS87" s="181"/>
      <c r="AT87" s="182"/>
      <c r="AU87" s="179">
        <f>AVERAGE(AU75:AU85)</f>
        <v>0</v>
      </c>
      <c r="AV87" s="199"/>
      <c r="AW87" s="200"/>
    </row>
    <row r="88" spans="1:49" ht="15.6" x14ac:dyDescent="0.3">
      <c r="A88" s="336" t="s">
        <v>16</v>
      </c>
      <c r="B88" s="337"/>
      <c r="C88" s="337"/>
      <c r="D88" s="337"/>
      <c r="E88" s="337"/>
      <c r="F88" s="178"/>
      <c r="G88" s="178"/>
      <c r="H88" s="178"/>
      <c r="I88" s="178"/>
      <c r="J88" s="178"/>
      <c r="K88" s="178"/>
      <c r="L88" s="178"/>
      <c r="M88" s="178"/>
      <c r="N88" s="178"/>
      <c r="O88" s="178"/>
      <c r="P88" s="178"/>
      <c r="Q88" s="178"/>
      <c r="R88" s="178"/>
      <c r="S88" s="338">
        <f>AVERAGE(S68:S85)</f>
        <v>1.9988888888888892</v>
      </c>
      <c r="T88" s="339"/>
      <c r="U88" s="340"/>
      <c r="V88" s="340"/>
      <c r="W88" s="340"/>
      <c r="X88" s="341">
        <f>AVERAGE(X68:X86)</f>
        <v>1.7936842105263158</v>
      </c>
      <c r="Y88" s="341"/>
      <c r="Z88" s="339"/>
      <c r="AA88" s="339"/>
      <c r="AB88" s="339"/>
      <c r="AC88" s="339"/>
      <c r="AD88" s="339"/>
      <c r="AE88" s="342">
        <f>AVERAGE(AE68:AE86)</f>
        <v>2.1133333333333337</v>
      </c>
      <c r="AF88" s="318"/>
      <c r="AG88" s="343"/>
      <c r="AH88" s="343"/>
      <c r="AI88" s="343"/>
      <c r="AJ88" s="343"/>
      <c r="AK88" s="332"/>
      <c r="AL88" s="331"/>
      <c r="AM88" s="331"/>
      <c r="AN88" s="344"/>
      <c r="AO88" s="344"/>
      <c r="AP88" s="344"/>
      <c r="AQ88" s="312"/>
      <c r="AR88" s="312"/>
      <c r="AS88" s="312"/>
      <c r="AU88" s="198"/>
      <c r="AV88" s="199"/>
      <c r="AW88" s="200"/>
    </row>
    <row r="89" spans="1:49" ht="15.6" x14ac:dyDescent="0.3">
      <c r="C89" s="8"/>
      <c r="U89" s="8"/>
      <c r="W89" s="8"/>
      <c r="AF89" s="318"/>
      <c r="AG89" s="343"/>
      <c r="AH89" s="343"/>
      <c r="AI89" s="343"/>
      <c r="AJ89" s="343"/>
      <c r="AK89" s="332"/>
      <c r="AL89" s="331"/>
      <c r="AM89" s="331"/>
      <c r="AN89" s="344"/>
      <c r="AO89" s="344"/>
      <c r="AP89" s="344"/>
      <c r="AQ89" s="312"/>
      <c r="AR89" s="312"/>
      <c r="AS89" s="312"/>
      <c r="AU89" s="198"/>
      <c r="AV89" s="199"/>
      <c r="AW89" s="200"/>
    </row>
    <row r="90" spans="1:49" ht="15.6" x14ac:dyDescent="0.3">
      <c r="A90" s="18"/>
      <c r="C90" s="8"/>
      <c r="U90" s="8"/>
      <c r="W90" s="8"/>
      <c r="AF90" s="318"/>
      <c r="AG90" s="343"/>
      <c r="AH90" s="343"/>
      <c r="AI90" s="343"/>
      <c r="AJ90" s="343"/>
      <c r="AK90" s="332"/>
      <c r="AL90" s="331"/>
      <c r="AM90" s="331"/>
      <c r="AN90" s="344"/>
      <c r="AO90" s="344"/>
      <c r="AP90" s="344"/>
      <c r="AQ90" s="312"/>
      <c r="AR90" s="312"/>
      <c r="AS90" s="312"/>
      <c r="AU90" s="198"/>
      <c r="AV90" s="199"/>
      <c r="AW90" s="200"/>
    </row>
    <row r="91" spans="1:49" ht="15.6" x14ac:dyDescent="0.3">
      <c r="A91" s="18"/>
      <c r="B91" s="18"/>
      <c r="C91" s="345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346"/>
      <c r="T91" s="346"/>
      <c r="U91" s="347"/>
      <c r="V91" s="348"/>
      <c r="W91" s="347"/>
      <c r="X91" s="346"/>
      <c r="Y91" s="346"/>
      <c r="Z91" s="346"/>
      <c r="AA91" s="346"/>
      <c r="AB91" s="346"/>
      <c r="AC91" s="346"/>
      <c r="AD91" s="346"/>
      <c r="AE91" s="346"/>
      <c r="AF91" s="346"/>
      <c r="AG91" s="346"/>
      <c r="AH91" s="346"/>
      <c r="AI91" s="346"/>
      <c r="AJ91" s="346"/>
      <c r="AK91" s="348"/>
      <c r="AL91" s="347"/>
      <c r="AM91" s="347"/>
      <c r="AU91" s="198"/>
      <c r="AV91" s="199"/>
      <c r="AW91" s="200"/>
    </row>
    <row r="92" spans="1:49" ht="15.6" x14ac:dyDescent="0.3">
      <c r="A92" s="165"/>
      <c r="B92" s="18"/>
      <c r="C92" s="345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346"/>
      <c r="T92" s="346"/>
      <c r="U92" s="347"/>
      <c r="V92" s="348"/>
      <c r="W92" s="347"/>
      <c r="X92" s="346"/>
      <c r="Y92" s="346"/>
      <c r="Z92" s="346"/>
      <c r="AA92" s="346"/>
      <c r="AB92" s="346"/>
      <c r="AC92" s="346"/>
      <c r="AD92" s="346"/>
      <c r="AE92" s="346"/>
      <c r="AF92" s="346"/>
      <c r="AG92" s="346"/>
      <c r="AH92" s="346"/>
      <c r="AI92" s="346"/>
      <c r="AJ92" s="346"/>
      <c r="AK92" s="348"/>
      <c r="AL92" s="347"/>
      <c r="AM92" s="347"/>
    </row>
    <row r="93" spans="1:49" ht="15.6" x14ac:dyDescent="0.3">
      <c r="B93" s="18"/>
      <c r="C93" s="345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347"/>
      <c r="V93" s="348"/>
      <c r="W93" s="347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348"/>
      <c r="AL93" s="347"/>
      <c r="AM93" s="347"/>
    </row>
    <row r="94" spans="1:49" ht="15.6" x14ac:dyDescent="0.3">
      <c r="A94" s="18"/>
      <c r="B94" s="18"/>
      <c r="C94" s="345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347"/>
      <c r="V94" s="348"/>
      <c r="W94" s="347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348"/>
      <c r="AL94" s="347"/>
      <c r="AM94" s="347"/>
    </row>
    <row r="95" spans="1:49" x14ac:dyDescent="0.25">
      <c r="A95" s="5"/>
      <c r="B95" s="5"/>
      <c r="C95" s="349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</row>
    <row r="96" spans="1:49" x14ac:dyDescent="0.25">
      <c r="A96" s="5"/>
      <c r="B96" s="5"/>
      <c r="C96" s="349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</row>
    <row r="97" spans="1:36" x14ac:dyDescent="0.25">
      <c r="A97" s="5"/>
      <c r="B97" s="5"/>
      <c r="C97" s="349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</row>
    <row r="98" spans="1:36" x14ac:dyDescent="0.25">
      <c r="A98" s="5"/>
      <c r="B98" s="5"/>
      <c r="C98" s="349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</row>
    <row r="99" spans="1:36" x14ac:dyDescent="0.25">
      <c r="A99" s="5"/>
      <c r="B99" s="5"/>
      <c r="C99" s="349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</row>
    <row r="100" spans="1:36" x14ac:dyDescent="0.25">
      <c r="A100" s="5"/>
      <c r="B100" s="5"/>
      <c r="C100" s="349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</row>
    <row r="101" spans="1:36" x14ac:dyDescent="0.25">
      <c r="A101" s="5"/>
      <c r="B101" s="5"/>
      <c r="C101" s="349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</row>
    <row r="102" spans="1:36" x14ac:dyDescent="0.25">
      <c r="A102" s="5"/>
      <c r="B102" s="5"/>
      <c r="C102" s="349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</row>
    <row r="103" spans="1:36" x14ac:dyDescent="0.25">
      <c r="A103" s="5"/>
      <c r="B103" s="5"/>
      <c r="C103" s="349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</row>
    <row r="104" spans="1:36" x14ac:dyDescent="0.25">
      <c r="A104" s="5"/>
      <c r="B104" s="5"/>
      <c r="C104" s="349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</row>
    <row r="105" spans="1:36" x14ac:dyDescent="0.25">
      <c r="A105" s="5"/>
      <c r="B105" s="5"/>
      <c r="C105" s="349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</row>
    <row r="106" spans="1:36" x14ac:dyDescent="0.25">
      <c r="A106" s="5"/>
      <c r="B106" s="5"/>
      <c r="C106" s="349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</row>
    <row r="107" spans="1:36" x14ac:dyDescent="0.25">
      <c r="A107" s="5"/>
      <c r="B107" s="5"/>
      <c r="C107" s="349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</row>
    <row r="108" spans="1:36" x14ac:dyDescent="0.25">
      <c r="A108" s="5"/>
      <c r="B108" s="5"/>
      <c r="C108" s="349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</row>
    <row r="109" spans="1:36" x14ac:dyDescent="0.25">
      <c r="A109" s="5"/>
      <c r="B109" s="5"/>
      <c r="C109" s="349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</row>
    <row r="110" spans="1:36" x14ac:dyDescent="0.25">
      <c r="A110" s="5"/>
      <c r="B110" s="5"/>
      <c r="C110" s="349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</row>
    <row r="111" spans="1:36" x14ac:dyDescent="0.25">
      <c r="A111" s="5"/>
      <c r="B111" s="5"/>
      <c r="C111" s="349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</row>
    <row r="112" spans="1:36" x14ac:dyDescent="0.25">
      <c r="C112" s="350"/>
    </row>
    <row r="113" spans="3:3" x14ac:dyDescent="0.25">
      <c r="C113" s="350"/>
    </row>
    <row r="114" spans="3:3" x14ac:dyDescent="0.25">
      <c r="C114" s="350"/>
    </row>
    <row r="115" spans="3:3" x14ac:dyDescent="0.25">
      <c r="C115" s="350"/>
    </row>
    <row r="116" spans="3:3" x14ac:dyDescent="0.25">
      <c r="C116" s="350"/>
    </row>
    <row r="117" spans="3:3" x14ac:dyDescent="0.25">
      <c r="C117" s="350"/>
    </row>
    <row r="118" spans="3:3" x14ac:dyDescent="0.25">
      <c r="C118" s="350"/>
    </row>
    <row r="119" spans="3:3" x14ac:dyDescent="0.25">
      <c r="C119" s="350"/>
    </row>
    <row r="120" spans="3:3" x14ac:dyDescent="0.25">
      <c r="C120" s="350"/>
    </row>
    <row r="121" spans="3:3" x14ac:dyDescent="0.25">
      <c r="C121" s="350"/>
    </row>
    <row r="122" spans="3:3" x14ac:dyDescent="0.25">
      <c r="C122" s="350"/>
    </row>
    <row r="123" spans="3:3" x14ac:dyDescent="0.25">
      <c r="C123" s="350"/>
    </row>
    <row r="124" spans="3:3" x14ac:dyDescent="0.25">
      <c r="C124" s="350"/>
    </row>
    <row r="125" spans="3:3" x14ac:dyDescent="0.25">
      <c r="C125" s="350"/>
    </row>
    <row r="126" spans="3:3" x14ac:dyDescent="0.25">
      <c r="C126" s="350"/>
    </row>
    <row r="127" spans="3:3" x14ac:dyDescent="0.25">
      <c r="C127" s="350"/>
    </row>
    <row r="128" spans="3:3" x14ac:dyDescent="0.25">
      <c r="C128" s="350"/>
    </row>
    <row r="129" spans="3:3" x14ac:dyDescent="0.25">
      <c r="C129" s="350"/>
    </row>
    <row r="130" spans="3:3" x14ac:dyDescent="0.25">
      <c r="C130" s="350"/>
    </row>
    <row r="131" spans="3:3" x14ac:dyDescent="0.25">
      <c r="C131" s="350"/>
    </row>
    <row r="132" spans="3:3" x14ac:dyDescent="0.25">
      <c r="C132" s="350"/>
    </row>
    <row r="133" spans="3:3" x14ac:dyDescent="0.25">
      <c r="C133" s="350"/>
    </row>
    <row r="134" spans="3:3" x14ac:dyDescent="0.25">
      <c r="C134" s="350"/>
    </row>
  </sheetData>
  <mergeCells count="7">
    <mergeCell ref="AS66:AU66"/>
    <mergeCell ref="X46:Z46"/>
    <mergeCell ref="AE46:AG46"/>
    <mergeCell ref="X4:Z4"/>
    <mergeCell ref="AE4:AG4"/>
    <mergeCell ref="X33:Z33"/>
    <mergeCell ref="AE33:AG33"/>
  </mergeCells>
  <phoneticPr fontId="41" type="noConversion"/>
  <printOptions horizontalCentered="1" verticalCentered="1"/>
  <pageMargins left="0.12" right="0" top="0" bottom="0" header="0.5" footer="0"/>
  <pageSetup scale="60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Havlíček Jan</cp:lastModifiedBy>
  <cp:lastPrinted>2001-05-04T20:56:24Z</cp:lastPrinted>
  <dcterms:created xsi:type="dcterms:W3CDTF">1997-07-25T21:14:12Z</dcterms:created>
  <dcterms:modified xsi:type="dcterms:W3CDTF">2023-09-10T15:44:57Z</dcterms:modified>
</cp:coreProperties>
</file>