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456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G13" i="2"/>
  <c r="AK13" i="2"/>
  <c r="AM13" i="2"/>
  <c r="AS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E20" i="2"/>
  <c r="Z20" i="2"/>
  <c r="AB20" i="2"/>
  <c r="AG20" i="2"/>
  <c r="AK20" i="2"/>
  <c r="AM20" i="2"/>
  <c r="AO20" i="2"/>
  <c r="AQ20" i="2"/>
  <c r="AS20" i="2"/>
  <c r="E21" i="2"/>
  <c r="T21" i="2"/>
  <c r="Z21" i="2"/>
  <c r="AG21" i="2"/>
  <c r="AK21" i="2"/>
  <c r="AM21" i="2"/>
  <c r="AS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BA47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<sst xmlns="http://schemas.openxmlformats.org/spreadsheetml/2006/main" count="282" uniqueCount="132">
  <si>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</si>
  <si>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</si>
  <si>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</si>
  <si>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</si>
  <si>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</si>
  <si>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</si>
  <si>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</si>
  <si>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</si>
  <si>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</si>
  <si>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</si>
  <si>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</si>
  <si>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</si>
  <si>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</si>
  <si>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</si>
  <si>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</si>
  <si>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</si>
  <si>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</si>
  <si>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</si>
  <si>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</si>
  <si>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</si>
  <si>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</si>
  <si>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</si>
  <si>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</si>
  <si>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</si>
  <si>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</si>
  <si>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</si>
  <si>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</si>
  <si>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</si>
  <si>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</si>
  <si>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</si>
  <si>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</si>
  <si>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</si>
  <si>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</si>
  <si>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</si>
  <si>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</si>
  <si>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</si>
  <si>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</si>
  <si>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</si>
  <si>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</si>
  <si>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</si>
  <si>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</si>
  <si>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</si>
  <si>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</si>
  <si>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</si>
  <si>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</si>
  <si>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</si>
  <si>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</si>
  <si>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</si>
  <si>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</si>
  <si>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</si>
  <si>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</si>
  <si>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</si>
  <si>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</si>
  <si>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</si>
  <si>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</si>
  <si>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</si>
  <si>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</si>
  <si>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</si>
  <si>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</si>
  <si>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</si>
  <si>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</si>
  <si>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</si>
  <si>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</si>
  <si>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</si>
  <si>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</si>
  <si>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</si>
  <si>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</si>
  <si>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</si>
  <si>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</si>
  <si>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</si>
  <si>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</si>
  <si>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</si>
  <si>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</si>
  <si>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</si>
  <si>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</si>
  <si>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</si>
  <si>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</si>
  <si>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</si>
  <si>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</si>
  <si>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</si>
  <si>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</si>
  <si>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</si>
  <si>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</si>
  <si>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</si>
  <si>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</si>
  <si>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</si>
  <si>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</si>
  <si>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</si>
  <si>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</si>
  <si>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</si>
  <si>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</si>
  <si>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</si>
  <si>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</si>
  <si>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</si>
  <si>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</si>
  <si>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</si>
  <si>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</si>
  <si>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</si>
  <si>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</si>
  <si>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</si>
  <si>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</si>
  <si>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</si>
  <si>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</si>
  <si>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</si>
  <si>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</si>
  <si>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</si>
  <si>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</si>
  <si>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</si>
  <si>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</si>
  <si>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</si>
  <si>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</si>
  <si>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</si>
  <si>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</si>
  <si>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</si>
  <si>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</si>
  <si>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</si>
  <si>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</si>
  <si>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</si>
  <si>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</si>
  <si>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</si>
  <si>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</si>
  <si>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</si>
  <si>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</si>
  <si>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</si>
  <si>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</si>
  <si>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</si>
  <si>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</si>
  <si>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</si>
  <si>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</si>
  <si>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Reliant Resources**</t>
  </si>
  <si>
    <t>Aquila Inc.*</t>
  </si>
  <si>
    <t>* Reliant Resources IPO on 4/30/01 for $30.00, EPS estimate from Simmons 5/3/01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</si>
</sst>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8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2251.0300000000002</val>
          </value>
        </values>
      </ddeItem>
      <ddeItem name=".SPX" advise="1">
        <values>
          <value>
            <val>1277.8900000000001</val>
          </value>
        </values>
      </ddeItem>
      <ddeItem name="AES" advise="1">
        <values>
          <value>
            <val>45.85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10.95</val>
          </value>
        </values>
      </ddeItem>
      <ddeItem name="DUK">
        <values>
          <value>
            <val>44.67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50.65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53</val>
          </value>
        </values>
      </ddeItem>
      <ddeItem name="EPG">
        <values>
          <value>
            <val>61.7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14.22</val>
          </value>
        </values>
      </ddeItem>
      <ddeItem name="ILA" advise="1">
        <values>
          <value>
            <val>30.09</val>
          </value>
        </values>
      </ddeItem>
      <ddeItem name="INAP.O" advise="1">
        <values>
          <value>
            <val>3.42</val>
          </value>
        </values>
      </ddeItem>
      <ddeItem name="ISLD.O" advise="1">
        <values>
          <value>
            <val>3.35</val>
          </value>
        </values>
      </ddeItem>
      <ddeItem name="KMI" advise="1">
        <values>
          <value>
            <val>56.98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13.39</val>
          </value>
        </values>
      </ddeItem>
      <ddeItem name="MIR" advise="1">
        <values>
          <value>
            <val>40.950000000000003</val>
          </value>
        </values>
      </ddeItem>
      <ddeItem name="NPW" advise="1">
        <values>
          <value>
            <val>10.029999999999999</val>
          </value>
        </values>
      </ddeItem>
      <ddeItem name="NRG" advise="1">
        <values>
          <value>
            <val>30.8</val>
          </value>
        </values>
      </ddeItem>
      <ddeItem name="Q" advise="1">
        <values>
          <value>
            <val>37.75</val>
          </value>
        </values>
      </ddeItem>
      <ddeItem name="RRI" advise="1">
        <values>
          <value>
            <val>34.200000000000003</val>
          </value>
        </values>
      </ddeItem>
      <ddeItem name="WCG" advise="1">
        <values>
          <value>
            <val>5.05</val>
          </value>
        </values>
      </ddeItem>
      <ddeItem name="WMB">
        <values>
          <value>
            <val>41.3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ColWidth="8.90625" defaultRowHeight="15.6" x14ac:dyDescent="0.3"/>
  <cols>
    <col min="1" max="1" width="23.6328125" style="352" bestFit="1" customWidth="1"/>
    <col min="2" max="2" width="8.90625" style="353"/>
    <col min="3" max="3" width="2" style="352" customWidth="1"/>
    <col min="4" max="4" width="7.81640625" style="352" customWidth="1"/>
    <col min="5" max="5" width="1.453125" style="352" customWidth="1"/>
    <col min="6" max="6" width="7.1796875" style="352" customWidth="1"/>
    <col min="7" max="7" width="1.453125" style="352" customWidth="1"/>
    <col min="8" max="16384" width="8.90625" style="352"/>
  </cols>
  <sheetData>
    <row r="1" spans="1:8" ht="18.75" customHeight="1" x14ac:dyDescent="0.3">
      <c r="A1" s="352" t="s">
        <v>71</v>
      </c>
      <c r="H1" s="354" t="str">
        <f>+ENRON!AS1</f>
        <v>Friday</v>
      </c>
    </row>
    <row r="2" spans="1:8" ht="18" customHeight="1" x14ac:dyDescent="0.3">
      <c r="A2" s="355" t="s">
        <v>18</v>
      </c>
      <c r="H2" s="356">
        <f>+ENRON!AS2</f>
        <v>37036</v>
      </c>
    </row>
    <row r="3" spans="1:8" ht="16.2" thickBot="1" x14ac:dyDescent="0.35"/>
    <row r="4" spans="1:8" ht="16.2" thickBot="1" x14ac:dyDescent="0.35">
      <c r="B4" s="357">
        <v>2001</v>
      </c>
      <c r="D4" s="386" t="s">
        <v>72</v>
      </c>
      <c r="E4" s="387"/>
      <c r="F4" s="387"/>
      <c r="G4" s="387"/>
      <c r="H4" s="388"/>
    </row>
    <row r="5" spans="1:8" ht="31.8" thickBot="1" x14ac:dyDescent="0.35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3">
      <c r="A6" s="352" t="s">
        <v>73</v>
      </c>
      <c r="B6" s="364">
        <f>ENRON!Z7</f>
        <v>29.608938547486034</v>
      </c>
      <c r="D6" s="365">
        <f>ENRON!AM7</f>
        <v>-3.4608378870673931E-2</v>
      </c>
      <c r="E6" s="366"/>
      <c r="F6" s="367">
        <f>ENRON!AO7</f>
        <v>-8.7779690189328768E-2</v>
      </c>
      <c r="G6" s="366"/>
      <c r="H6" s="368">
        <f>ENRON!AQ7</f>
        <v>-0.36090225563909772</v>
      </c>
    </row>
    <row r="7" spans="1:8" x14ac:dyDescent="0.3">
      <c r="A7" s="352" t="s">
        <v>74</v>
      </c>
      <c r="B7" s="369">
        <f>ENRON!Z9</f>
        <v>23.39172615778876</v>
      </c>
      <c r="D7" s="370">
        <f>ENRON!AM9</f>
        <v>-1.0822316480386366E-2</v>
      </c>
      <c r="E7" s="371"/>
      <c r="F7" s="372">
        <f>ENRON!AO9</f>
        <v>0.1034783208225248</v>
      </c>
      <c r="G7" s="371"/>
      <c r="H7" s="373">
        <f>ENRON!AQ9</f>
        <v>-2.734419971521182E-2</v>
      </c>
    </row>
    <row r="8" spans="1:8" x14ac:dyDescent="0.3">
      <c r="A8" s="352" t="s">
        <v>78</v>
      </c>
      <c r="B8" s="369" t="str">
        <f>ENRON!Z10</f>
        <v xml:space="preserve">N/A </v>
      </c>
      <c r="D8" s="370">
        <f>ENRON!AM10</f>
        <v>2.3751637197118675E-2</v>
      </c>
      <c r="E8" s="371"/>
      <c r="F8" s="372">
        <f>ENRON!AO10</f>
        <v>0.22364774542727681</v>
      </c>
      <c r="G8" s="371"/>
      <c r="H8" s="373">
        <f>ENRON!AQ10</f>
        <v>-8.7855997927561699E-2</v>
      </c>
    </row>
    <row r="9" spans="1:8" x14ac:dyDescent="0.3">
      <c r="A9" s="352" t="s">
        <v>92</v>
      </c>
      <c r="B9" s="369">
        <f>ENRON!Z24</f>
        <v>22.432356750748895</v>
      </c>
      <c r="C9" s="374"/>
      <c r="D9" s="370">
        <f>ENRON!AM24</f>
        <v>-5.0947267296243749E-2</v>
      </c>
      <c r="E9" s="371"/>
      <c r="F9" s="372">
        <f>ENRON!AO24</f>
        <v>-7.1709558388413598E-3</v>
      </c>
      <c r="G9" s="375"/>
      <c r="H9" s="373">
        <f>ENRON!AQ24</f>
        <v>4.294754755841166E-2</v>
      </c>
    </row>
    <row r="10" spans="1:8" ht="16.2" thickBot="1" x14ac:dyDescent="0.35">
      <c r="A10" s="376" t="s">
        <v>103</v>
      </c>
      <c r="B10" s="377" t="s">
        <v>77</v>
      </c>
      <c r="D10" s="378">
        <f>ENRON!AM44</f>
        <v>3.158092557917197E-2</v>
      </c>
      <c r="E10" s="379"/>
      <c r="F10" s="380">
        <f>ENRON!AO44</f>
        <v>0.19359640445891929</v>
      </c>
      <c r="G10" s="381"/>
      <c r="H10" s="382">
        <f>ENRON!AQ44</f>
        <v>-0.34697588982590061</v>
      </c>
    </row>
    <row r="11" spans="1:8" x14ac:dyDescent="0.3">
      <c r="D11" s="383"/>
    </row>
    <row r="12" spans="1:8" x14ac:dyDescent="0.3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8" customWidth="1"/>
    <col min="2" max="2" width="7.36328125" style="8" customWidth="1"/>
    <col min="3" max="3" width="12" style="333" customWidth="1"/>
    <col min="4" max="4" width="1.81640625" style="8" customWidth="1"/>
    <col min="5" max="5" width="10.54296875" style="8" customWidth="1"/>
    <col min="6" max="6" width="1.453125" style="8" customWidth="1"/>
    <col min="7" max="7" width="10.81640625" style="8" hidden="1" customWidth="1"/>
    <col min="8" max="8" width="2.54296875" style="8" hidden="1" customWidth="1"/>
    <col min="9" max="9" width="6.81640625" style="8" hidden="1" customWidth="1"/>
    <col min="10" max="10" width="0.453125" style="8" hidden="1" customWidth="1"/>
    <col min="11" max="11" width="9.36328125" style="8" hidden="1" customWidth="1"/>
    <col min="12" max="12" width="1.90625" style="8" hidden="1" customWidth="1"/>
    <col min="13" max="13" width="6.81640625" style="8" hidden="1" customWidth="1"/>
    <col min="14" max="14" width="1.08984375" style="8" hidden="1" customWidth="1"/>
    <col min="15" max="15" width="10.81640625" style="8" hidden="1" customWidth="1"/>
    <col min="16" max="16" width="2.54296875" style="8" hidden="1" customWidth="1"/>
    <col min="17" max="17" width="6.81640625" style="8" hidden="1" customWidth="1"/>
    <col min="18" max="18" width="1" style="8" hidden="1" customWidth="1"/>
    <col min="19" max="19" width="9.453125" style="8" hidden="1" customWidth="1"/>
    <col min="20" max="20" width="5.90625" style="8" hidden="1" customWidth="1"/>
    <col min="21" max="21" width="1.1796875" style="36" hidden="1" customWidth="1"/>
    <col min="22" max="22" width="10.1796875" style="8" hidden="1" customWidth="1"/>
    <col min="23" max="23" width="1.81640625" style="36" customWidth="1"/>
    <col min="24" max="24" width="10.54296875" style="8" customWidth="1"/>
    <col min="25" max="25" width="1.81640625" style="8" customWidth="1"/>
    <col min="26" max="26" width="6.1796875" style="8" customWidth="1"/>
    <col min="27" max="27" width="1.453125" style="8" customWidth="1"/>
    <col min="28" max="29" width="6" style="8" customWidth="1"/>
    <col min="30" max="30" width="1.453125" style="8" customWidth="1"/>
    <col min="31" max="31" width="10.54296875" style="8" customWidth="1"/>
    <col min="32" max="32" width="1.81640625" style="8" customWidth="1"/>
    <col min="33" max="33" width="6" style="8" customWidth="1"/>
    <col min="34" max="34" width="1.81640625" style="8" customWidth="1"/>
    <col min="35" max="35" width="6" style="8" customWidth="1"/>
    <col min="36" max="36" width="1" style="8" customWidth="1"/>
    <col min="37" max="37" width="8" style="8" hidden="1" customWidth="1"/>
    <col min="38" max="38" width="0.90625" style="36" hidden="1" customWidth="1"/>
    <col min="39" max="39" width="7" style="36" customWidth="1"/>
    <col min="40" max="40" width="1.1796875" style="36" customWidth="1"/>
    <col min="41" max="41" width="8.54296875" style="36" customWidth="1"/>
    <col min="42" max="42" width="0.90625" style="36" customWidth="1"/>
    <col min="43" max="43" width="7.6328125" style="8" customWidth="1"/>
    <col min="44" max="44" width="1" style="8" customWidth="1"/>
    <col min="45" max="45" width="8.453125" style="8" customWidth="1"/>
    <col min="46" max="46" width="4.90625" style="8" customWidth="1"/>
    <col min="47" max="47" width="12.81640625" style="10" customWidth="1"/>
    <col min="48" max="48" width="8.54296875" style="11" customWidth="1"/>
    <col min="49" max="49" width="8.54296875" style="12" customWidth="1"/>
    <col min="50" max="50" width="11.08984375" style="8" customWidth="1"/>
    <col min="51" max="51" width="12.36328125" style="8" customWidth="1"/>
    <col min="52" max="52" width="14.54296875" style="8" customWidth="1"/>
    <col min="53" max="53" width="12.90625" style="8" customWidth="1"/>
    <col min="54" max="54" width="13.36328125" style="8" customWidth="1"/>
    <col min="55" max="55" width="13.6328125" style="8" customWidth="1"/>
    <col min="56" max="16384" width="9.81640625" style="8"/>
  </cols>
  <sheetData>
    <row r="1" spans="1:56" ht="17.399999999999999" x14ac:dyDescent="0.3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7.399999999999999" x14ac:dyDescent="0.3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37036</v>
      </c>
    </row>
    <row r="3" spans="1:56" ht="15.6" x14ac:dyDescent="0.3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6" x14ac:dyDescent="0.3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89">
        <v>2001</v>
      </c>
      <c r="Y4" s="390"/>
      <c r="Z4" s="391"/>
      <c r="AA4" s="28"/>
      <c r="AB4" s="29" t="s">
        <v>125</v>
      </c>
      <c r="AC4" s="27" t="s">
        <v>113</v>
      </c>
      <c r="AD4" s="28"/>
      <c r="AE4" s="389">
        <v>2002</v>
      </c>
      <c r="AF4" s="390"/>
      <c r="AG4" s="391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5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37029</v>
      </c>
      <c r="AZ5" s="55"/>
      <c r="BA5" s="57">
        <v>36980</v>
      </c>
      <c r="BB5" s="58"/>
      <c r="BC5" s="56">
        <v>36889</v>
      </c>
      <c r="BD5" s="59"/>
    </row>
    <row r="6" spans="1:56" ht="15.6" thickBot="1" x14ac:dyDescent="0.3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6" thickBot="1" x14ac:dyDescent="0.3">
      <c r="A7" s="78" t="s">
        <v>49</v>
      </c>
      <c r="B7" s="79"/>
      <c r="C7" s="80" t="s">
        <v>0</v>
      </c>
      <c r="D7" s="79"/>
      <c r="E7" s="81">
        <f>[1]!ENE</f>
        <v>53</v>
      </c>
      <c r="F7" s="79"/>
      <c r="G7" s="82">
        <v>2.16</v>
      </c>
      <c r="H7" s="83" t="s">
        <v>50</v>
      </c>
      <c r="I7" s="84">
        <f>E7/G7</f>
        <v>24.537037037037035</v>
      </c>
      <c r="J7" s="79"/>
      <c r="K7" s="82">
        <v>2.14</v>
      </c>
      <c r="L7" s="85" t="s">
        <v>51</v>
      </c>
      <c r="M7" s="84">
        <f>E7/K7</f>
        <v>24.766355140186914</v>
      </c>
      <c r="N7" s="79"/>
      <c r="O7" s="82">
        <v>2.16</v>
      </c>
      <c r="P7" s="83" t="s">
        <v>50</v>
      </c>
      <c r="Q7" s="84">
        <f>M7/O7</f>
        <v>11.465905157493941</v>
      </c>
      <c r="R7" s="79"/>
      <c r="S7" s="86">
        <f>+S88</f>
        <v>1.9988888888888892</v>
      </c>
      <c r="T7" s="84">
        <f>E7/S7</f>
        <v>26.514730405780988</v>
      </c>
      <c r="U7" s="87"/>
      <c r="V7" s="88">
        <f>(S7-K7)/K7</f>
        <v>-6.5939771547248116E-2</v>
      </c>
      <c r="W7" s="89"/>
      <c r="X7" s="90">
        <v>1.79</v>
      </c>
      <c r="Y7" s="91"/>
      <c r="Z7" s="84">
        <f>E7/X7</f>
        <v>29.608938547486034</v>
      </c>
      <c r="AA7" s="87"/>
      <c r="AB7" s="92">
        <f>(X7-AS69)/AS69</f>
        <v>0.21768707482993202</v>
      </c>
      <c r="AC7" s="93">
        <v>0.12</v>
      </c>
      <c r="AD7" s="87"/>
      <c r="AE7" s="90">
        <v>2.11</v>
      </c>
      <c r="AF7" s="94"/>
      <c r="AG7" s="84">
        <f>E7/AE7</f>
        <v>25.118483412322277</v>
      </c>
      <c r="AH7" s="95"/>
      <c r="AJ7" s="96"/>
      <c r="AK7" s="97">
        <f>(X7-S7)/S7</f>
        <v>-0.10450250138966102</v>
      </c>
      <c r="AL7" s="89"/>
      <c r="AM7" s="98">
        <f>((+AX7+E7-AY7)/AY7)</f>
        <v>-3.4608378870673931E-2</v>
      </c>
      <c r="AN7" s="89"/>
      <c r="AO7" s="89">
        <f>((+AZ7+E7-BA7)/BA7)</f>
        <v>-8.7779690189328768E-2</v>
      </c>
      <c r="AP7" s="89"/>
      <c r="AQ7" s="97">
        <f>((+BB7+E7-BC7)/BC7)</f>
        <v>-0.36090225563909772</v>
      </c>
      <c r="AR7" s="99"/>
      <c r="AS7" s="1">
        <f>AU7/E7</f>
        <v>9.433962264150943E-3</v>
      </c>
      <c r="AT7" s="100"/>
      <c r="AU7" s="3">
        <v>0.5</v>
      </c>
      <c r="AV7" s="101">
        <v>36949</v>
      </c>
      <c r="AW7" s="102">
        <v>0.125</v>
      </c>
      <c r="AX7" s="103"/>
      <c r="AY7" s="104">
        <v>54.9</v>
      </c>
      <c r="AZ7" s="105"/>
      <c r="BA7" s="104">
        <v>58.1</v>
      </c>
      <c r="BB7" s="106">
        <v>0.125</v>
      </c>
      <c r="BC7" s="104">
        <v>83.125</v>
      </c>
    </row>
    <row r="8" spans="1:56" ht="6" customHeight="1" x14ac:dyDescent="0.25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5">
      <c r="A9" s="17" t="s">
        <v>52</v>
      </c>
      <c r="B9" s="18"/>
      <c r="C9" s="19" t="s">
        <v>60</v>
      </c>
      <c r="D9" s="18"/>
      <c r="E9" s="126">
        <f>[1]!'.SPX'</f>
        <v>1277.8900000000001</v>
      </c>
      <c r="F9" s="127"/>
      <c r="G9" s="128">
        <v>40.53</v>
      </c>
      <c r="H9" s="109"/>
      <c r="I9" s="96">
        <f>E9/G9</f>
        <v>31.529484332593142</v>
      </c>
      <c r="J9" s="26"/>
      <c r="K9" s="128">
        <v>42.08</v>
      </c>
      <c r="L9" s="26"/>
      <c r="M9" s="96">
        <f>E9/K9</f>
        <v>30.368108365019015</v>
      </c>
      <c r="N9" s="127"/>
      <c r="O9" s="128">
        <v>40.53</v>
      </c>
      <c r="P9" s="109"/>
      <c r="Q9" s="96">
        <f>M9/O9</f>
        <v>0.74927481778976102</v>
      </c>
      <c r="R9" s="26"/>
      <c r="S9" s="129">
        <v>40.18</v>
      </c>
      <c r="T9" s="96">
        <f>E9/S9</f>
        <v>31.804131408661029</v>
      </c>
      <c r="U9" s="95"/>
      <c r="V9" s="130">
        <f>(S9-K9)/K9</f>
        <v>-4.5152091254752821E-2</v>
      </c>
      <c r="W9" s="131"/>
      <c r="X9" s="129">
        <v>54.63</v>
      </c>
      <c r="Y9" s="132"/>
      <c r="Z9" s="96">
        <f>E9/X9</f>
        <v>23.39172615778876</v>
      </c>
      <c r="AA9" s="95"/>
      <c r="AB9" s="133">
        <f>+(+X9-AS71)/AS71</f>
        <v>-3.8542766631467752E-2</v>
      </c>
      <c r="AC9" s="134"/>
      <c r="AD9" s="95"/>
      <c r="AE9" s="129">
        <v>61.35</v>
      </c>
      <c r="AF9" s="132"/>
      <c r="AG9" s="96">
        <f>E9/AE9</f>
        <v>20.829502852485739</v>
      </c>
      <c r="AH9" s="95"/>
      <c r="AJ9" s="95"/>
      <c r="AK9" s="130">
        <f>(X9-S9)/S9</f>
        <v>0.3596316575410653</v>
      </c>
      <c r="AL9" s="131"/>
      <c r="AM9" s="100">
        <f>((+AX9+E9-AY9)/AY9)</f>
        <v>-1.0822316480386366E-2</v>
      </c>
      <c r="AN9" s="131"/>
      <c r="AO9" s="131">
        <f>((+AZ9+E9-BA9)/BA9)</f>
        <v>0.1034783208225248</v>
      </c>
      <c r="AP9" s="131"/>
      <c r="AQ9" s="135">
        <f>((+BB9+E9-BC9)/BC9)</f>
        <v>-2.734419971521182E-2</v>
      </c>
      <c r="AS9" s="2">
        <v>1.23E-2</v>
      </c>
      <c r="AT9" s="100"/>
      <c r="AU9" s="136">
        <f>AS9*E9</f>
        <v>15.718047000000002</v>
      </c>
      <c r="AV9" s="137"/>
      <c r="AW9" s="102"/>
      <c r="AX9" s="138">
        <v>8.7999999999999995E-2</v>
      </c>
      <c r="AY9" s="139">
        <v>1291.96</v>
      </c>
      <c r="AZ9" s="138">
        <v>2.5089999999999999</v>
      </c>
      <c r="BA9" s="140">
        <v>1160.33</v>
      </c>
      <c r="BB9" s="138">
        <v>6.2880000000000003</v>
      </c>
      <c r="BC9" s="140">
        <v>1320.28</v>
      </c>
    </row>
    <row r="10" spans="1:56" x14ac:dyDescent="0.25">
      <c r="A10" s="17" t="s">
        <v>78</v>
      </c>
      <c r="B10" s="18"/>
      <c r="C10" s="19" t="s">
        <v>75</v>
      </c>
      <c r="D10" s="18"/>
      <c r="E10" s="126">
        <f>[1]!'.IXIC'</f>
        <v>2251.0300000000002</v>
      </c>
      <c r="F10" s="127"/>
      <c r="G10" s="128">
        <v>40.53</v>
      </c>
      <c r="H10" s="109"/>
      <c r="I10" s="96">
        <f>E10/G10</f>
        <v>55.539847026893661</v>
      </c>
      <c r="J10" s="26"/>
      <c r="K10" s="128">
        <v>42.08</v>
      </c>
      <c r="L10" s="26"/>
      <c r="M10" s="96">
        <f>E10/K10</f>
        <v>53.494058935361224</v>
      </c>
      <c r="N10" s="127"/>
      <c r="O10" s="128">
        <v>40.53</v>
      </c>
      <c r="P10" s="109"/>
      <c r="Q10" s="96">
        <f>M10/O10</f>
        <v>1.3198632848596403</v>
      </c>
      <c r="R10" s="26"/>
      <c r="S10" s="129">
        <v>40.18</v>
      </c>
      <c r="T10" s="96">
        <f>E10/S10</f>
        <v>56.023643603782979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2.3751637197118675E-2</v>
      </c>
      <c r="AN10" s="131"/>
      <c r="AO10" s="131">
        <f>((+AZ10+E10-BA10)/BA10)</f>
        <v>0.22364774542727681</v>
      </c>
      <c r="AP10" s="131"/>
      <c r="AQ10" s="135">
        <f>((+BB10+E10-BC10)/BC10)</f>
        <v>-8.7855997927561699E-2</v>
      </c>
      <c r="AS10" s="2">
        <v>2.7000000000000001E-3</v>
      </c>
      <c r="AT10" s="100"/>
      <c r="AU10" s="136">
        <f>AS10*E10</f>
        <v>6.0777810000000008</v>
      </c>
      <c r="AV10" s="137"/>
      <c r="AW10" s="102"/>
      <c r="AX10" s="138">
        <v>7.6999999999999999E-2</v>
      </c>
      <c r="AY10" s="139">
        <v>2198.88</v>
      </c>
      <c r="AZ10" s="138">
        <v>0.8</v>
      </c>
      <c r="BA10" s="140">
        <v>1840.26</v>
      </c>
      <c r="BB10" s="138">
        <v>2.44</v>
      </c>
      <c r="BC10" s="140">
        <v>2470.52</v>
      </c>
    </row>
    <row r="11" spans="1:56" ht="9.75" customHeight="1" x14ac:dyDescent="0.25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5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5">
      <c r="A13" s="17" t="s">
        <v>130</v>
      </c>
      <c r="B13" s="18"/>
      <c r="C13" s="41" t="s">
        <v>127</v>
      </c>
      <c r="D13" s="18"/>
      <c r="E13" s="145">
        <f>[1]!ILA</f>
        <v>30.09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26.165217391304349</v>
      </c>
      <c r="U13" s="95"/>
      <c r="V13" s="130"/>
      <c r="W13" s="131"/>
      <c r="X13" s="141">
        <v>1.57</v>
      </c>
      <c r="Y13" s="154"/>
      <c r="Z13" s="96">
        <f t="shared" ref="Z13:Z22" si="1">E13/X13</f>
        <v>19.165605095541402</v>
      </c>
      <c r="AA13" s="143"/>
      <c r="AB13" s="155" t="s">
        <v>76</v>
      </c>
      <c r="AC13" s="156" t="s">
        <v>76</v>
      </c>
      <c r="AD13" s="144"/>
      <c r="AE13" s="141">
        <v>1.91</v>
      </c>
      <c r="AF13" s="154"/>
      <c r="AG13" s="96">
        <f t="shared" ref="AG13:AG22" si="2">E13/AE13</f>
        <v>15.753926701570681</v>
      </c>
      <c r="AH13" s="95"/>
      <c r="AJ13" s="95"/>
      <c r="AK13" s="130">
        <f>(X13-S13)/S13</f>
        <v>0.36521739130434799</v>
      </c>
      <c r="AL13" s="131"/>
      <c r="AM13" s="100">
        <f>((+AX13+E13-AY13)/AY13)</f>
        <v>-7.8407350689127076E-2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v>0</v>
      </c>
      <c r="AV13" s="160" t="s">
        <v>68</v>
      </c>
      <c r="AW13" s="102">
        <v>0</v>
      </c>
      <c r="AX13" s="151"/>
      <c r="AY13" s="140">
        <v>32.65</v>
      </c>
      <c r="AZ13" s="151"/>
      <c r="BA13" s="161" t="s">
        <v>76</v>
      </c>
      <c r="BB13" s="151">
        <v>0</v>
      </c>
      <c r="BC13" s="161" t="s">
        <v>76</v>
      </c>
    </row>
    <row r="14" spans="1:56" x14ac:dyDescent="0.25">
      <c r="A14" s="18" t="s">
        <v>107</v>
      </c>
      <c r="B14" s="162"/>
      <c r="C14" s="41" t="s">
        <v>67</v>
      </c>
      <c r="D14" s="18"/>
      <c r="E14" s="145">
        <f>[1]!AES</f>
        <v>45.85</v>
      </c>
      <c r="F14" s="18"/>
      <c r="G14" s="128">
        <v>4.72</v>
      </c>
      <c r="H14" s="153" t="s">
        <v>50</v>
      </c>
      <c r="I14" s="96">
        <f>E14/G14</f>
        <v>9.7139830508474585</v>
      </c>
      <c r="J14" s="18"/>
      <c r="K14" s="128">
        <v>4.9400000000000004</v>
      </c>
      <c r="L14" s="26"/>
      <c r="M14" s="96">
        <f>E14/K14</f>
        <v>9.2813765182186234</v>
      </c>
      <c r="N14" s="18"/>
      <c r="O14" s="128">
        <v>4.72</v>
      </c>
      <c r="P14" s="153" t="s">
        <v>50</v>
      </c>
      <c r="Q14" s="96">
        <f>M14/O14</f>
        <v>1.9663933301310643</v>
      </c>
      <c r="R14" s="18"/>
      <c r="S14" s="129">
        <v>3.43</v>
      </c>
      <c r="T14" s="96">
        <f t="shared" si="0"/>
        <v>13.36734693877551</v>
      </c>
      <c r="U14" s="95"/>
      <c r="V14" s="130">
        <f>(S14-K14)/K14</f>
        <v>-0.30566801619433198</v>
      </c>
      <c r="W14" s="131"/>
      <c r="X14" s="129">
        <v>1.87</v>
      </c>
      <c r="Y14" s="132"/>
      <c r="Z14" s="96">
        <f t="shared" si="1"/>
        <v>24.518716577540108</v>
      </c>
      <c r="AA14" s="95"/>
      <c r="AB14" s="133">
        <f>+(+X14-AS75)/AS75</f>
        <v>0.2808219178082193</v>
      </c>
      <c r="AC14" s="134">
        <v>0.17399999999999999</v>
      </c>
      <c r="AD14" s="95"/>
      <c r="AE14" s="129">
        <v>2.42</v>
      </c>
      <c r="AF14" s="132"/>
      <c r="AG14" s="96">
        <f t="shared" si="2"/>
        <v>18.946280991735538</v>
      </c>
      <c r="AH14" s="95"/>
      <c r="AJ14" s="95"/>
      <c r="AK14" s="130">
        <f t="shared" ref="AK14:AK22" si="3">(X14-S14)/S14</f>
        <v>-0.45481049562682213</v>
      </c>
      <c r="AL14" s="131"/>
      <c r="AM14" s="100">
        <f t="shared" ref="AM14:AM22" si="4">((+AX14+E14-AY14)/AY14)</f>
        <v>2.1857923497268072E-3</v>
      </c>
      <c r="AN14" s="131"/>
      <c r="AO14" s="131">
        <f t="shared" ref="AO14:AO22" si="5">((+AZ14+E14-BA14)/BA14)</f>
        <v>-8.2265812650120076E-2</v>
      </c>
      <c r="AP14" s="131"/>
      <c r="AQ14" s="135">
        <f t="shared" ref="AQ14:AQ22" si="6">((+BB14+E14-BC14)/BC14)</f>
        <v>-0.17200902934537243</v>
      </c>
      <c r="AS14" s="158">
        <f t="shared" ref="AS14:AS22" si="7">AU14/E14</f>
        <v>0</v>
      </c>
      <c r="AT14" s="159"/>
      <c r="AU14" s="3">
        <f>[1]!'AES,DIVIDEND'</f>
        <v>0</v>
      </c>
      <c r="AV14" s="160" t="s">
        <v>68</v>
      </c>
      <c r="AW14" s="102">
        <v>0</v>
      </c>
      <c r="AX14" s="151"/>
      <c r="AY14" s="140">
        <v>45.75</v>
      </c>
      <c r="AZ14" s="151"/>
      <c r="BA14" s="140">
        <v>49.96</v>
      </c>
      <c r="BB14" s="151"/>
      <c r="BC14" s="140">
        <v>55.375</v>
      </c>
    </row>
    <row r="15" spans="1:56" x14ac:dyDescent="0.25">
      <c r="A15" s="17" t="s">
        <v>53</v>
      </c>
      <c r="B15" s="162"/>
      <c r="C15" s="41" t="s">
        <v>1</v>
      </c>
      <c r="D15" s="18"/>
      <c r="E15" s="145">
        <f>[1]!DUK</f>
        <v>44.67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15.142372881355932</v>
      </c>
      <c r="N15" s="18"/>
      <c r="O15" s="128"/>
      <c r="P15" s="153"/>
      <c r="Q15" s="96"/>
      <c r="R15" s="18"/>
      <c r="S15" s="129">
        <v>3.38</v>
      </c>
      <c r="T15" s="96">
        <f t="shared" si="0"/>
        <v>13.215976331360947</v>
      </c>
      <c r="U15" s="95"/>
      <c r="V15" s="130">
        <f>(S15-K15)/K15</f>
        <v>0.14576271186440667</v>
      </c>
      <c r="W15" s="131"/>
      <c r="X15" s="129">
        <v>2.46</v>
      </c>
      <c r="Y15" s="132"/>
      <c r="Z15" s="96">
        <f t="shared" si="1"/>
        <v>18.158536585365855</v>
      </c>
      <c r="AA15" s="95"/>
      <c r="AB15" s="133">
        <f>+(+X15-AS77)/AS77</f>
        <v>0.17142857142857137</v>
      </c>
      <c r="AC15" s="134">
        <v>0.18140000000000001</v>
      </c>
      <c r="AD15" s="95"/>
      <c r="AE15" s="129">
        <v>2.76</v>
      </c>
      <c r="AF15" s="132"/>
      <c r="AG15" s="96">
        <f t="shared" si="2"/>
        <v>16.184782608695652</v>
      </c>
      <c r="AH15" s="95"/>
      <c r="AJ15" s="95"/>
      <c r="AK15" s="130">
        <f t="shared" si="3"/>
        <v>-0.27218934911242604</v>
      </c>
      <c r="AL15" s="131"/>
      <c r="AM15" s="100">
        <f t="shared" si="4"/>
        <v>-2.9756733275412631E-2</v>
      </c>
      <c r="AN15" s="131"/>
      <c r="AO15" s="131">
        <f t="shared" si="5"/>
        <v>5.1591015442208663E-2</v>
      </c>
      <c r="AP15" s="131"/>
      <c r="AQ15" s="135">
        <f t="shared" si="6"/>
        <v>6.1004223369310218E-2</v>
      </c>
      <c r="AS15" s="158">
        <f t="shared" si="7"/>
        <v>2.4625027982986346E-2</v>
      </c>
      <c r="AT15" s="159"/>
      <c r="AU15" s="3">
        <f>[1]!'DUK,DIVIDEND'</f>
        <v>1.1000000000000001</v>
      </c>
      <c r="AV15" s="163">
        <v>37020</v>
      </c>
      <c r="AW15" s="102">
        <v>0.27500000000000002</v>
      </c>
      <c r="AX15" s="151"/>
      <c r="AY15" s="140">
        <v>46.04</v>
      </c>
      <c r="AZ15" s="151">
        <v>0.27500000000000002</v>
      </c>
      <c r="BA15" s="140">
        <v>42.74</v>
      </c>
      <c r="BB15" s="151">
        <f>0.275*2</f>
        <v>0.55000000000000004</v>
      </c>
      <c r="BC15" s="140">
        <v>42.62</v>
      </c>
    </row>
    <row r="16" spans="1:56" ht="15.6" x14ac:dyDescent="0.3">
      <c r="A16" s="17" t="s">
        <v>108</v>
      </c>
      <c r="B16" s="162"/>
      <c r="C16" s="41" t="s">
        <v>54</v>
      </c>
      <c r="D16" s="18"/>
      <c r="E16" s="145">
        <f>[1]!DYN</f>
        <v>50.65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72.357142857142861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87.327586206896555</v>
      </c>
      <c r="U16" s="95"/>
      <c r="V16" s="130">
        <f>(S16-K16)/K16</f>
        <v>-0.17142857142857143</v>
      </c>
      <c r="W16" s="131"/>
      <c r="X16" s="129">
        <v>1.99</v>
      </c>
      <c r="Y16" s="132"/>
      <c r="Z16" s="96">
        <f t="shared" si="1"/>
        <v>25.452261306532662</v>
      </c>
      <c r="AA16" s="95"/>
      <c r="AB16" s="133">
        <f>+(+X16-AS78)/AS78</f>
        <v>0.39160839160839167</v>
      </c>
      <c r="AC16" s="134">
        <v>0.20399999999999999</v>
      </c>
      <c r="AD16" s="95"/>
      <c r="AE16" s="129">
        <v>2.38</v>
      </c>
      <c r="AF16" s="164"/>
      <c r="AG16" s="96">
        <f t="shared" si="2"/>
        <v>21.281512605042018</v>
      </c>
      <c r="AH16" s="95"/>
      <c r="AJ16" s="95"/>
      <c r="AK16" s="130">
        <f t="shared" si="3"/>
        <v>2.431034482758621</v>
      </c>
      <c r="AL16" s="131"/>
      <c r="AM16" s="100">
        <f t="shared" si="4"/>
        <v>-0.11109161109161107</v>
      </c>
      <c r="AN16" s="131"/>
      <c r="AO16" s="131">
        <f t="shared" si="5"/>
        <v>-7.0574397177024005E-3</v>
      </c>
      <c r="AP16" s="131"/>
      <c r="AQ16" s="135">
        <f t="shared" si="6"/>
        <v>-9.5206243032329968E-2</v>
      </c>
      <c r="AS16" s="158">
        <f t="shared" si="7"/>
        <v>5.9230009871668312E-3</v>
      </c>
      <c r="AT16" s="159"/>
      <c r="AU16" s="3">
        <f>[1]!'DYN,DIVIDEND'</f>
        <v>0.3</v>
      </c>
      <c r="AV16" s="160">
        <v>37040</v>
      </c>
      <c r="AW16" s="102">
        <v>7.4999999999999997E-2</v>
      </c>
      <c r="AX16" s="151"/>
      <c r="AY16" s="140">
        <v>56.98</v>
      </c>
      <c r="AZ16" s="151"/>
      <c r="BA16" s="140">
        <v>51.01</v>
      </c>
      <c r="BB16" s="151">
        <v>7.4999999999999997E-2</v>
      </c>
      <c r="BC16" s="140">
        <v>56.0625</v>
      </c>
    </row>
    <row r="17" spans="1:55" x14ac:dyDescent="0.25">
      <c r="A17" s="17" t="s">
        <v>55</v>
      </c>
      <c r="B17" s="6"/>
      <c r="C17" s="41" t="s">
        <v>2</v>
      </c>
      <c r="D17" s="18"/>
      <c r="E17" s="145">
        <f>[1]!EPG</f>
        <v>61.7</v>
      </c>
      <c r="F17" s="18"/>
      <c r="G17" s="128">
        <v>2.85</v>
      </c>
      <c r="H17" s="153" t="s">
        <v>50</v>
      </c>
      <c r="I17" s="96">
        <f>E17/G17</f>
        <v>21.649122807017545</v>
      </c>
      <c r="J17" s="18"/>
      <c r="K17" s="128">
        <v>3.18</v>
      </c>
      <c r="L17" s="26"/>
      <c r="M17" s="96">
        <f>E17/K17</f>
        <v>19.40251572327044</v>
      </c>
      <c r="N17" s="18"/>
      <c r="O17" s="128">
        <v>2.85</v>
      </c>
      <c r="P17" s="153" t="s">
        <v>50</v>
      </c>
      <c r="Q17" s="96">
        <f>M17/O17</f>
        <v>6.8079002537791018</v>
      </c>
      <c r="R17" s="18"/>
      <c r="S17" s="129">
        <v>1.83</v>
      </c>
      <c r="T17" s="96">
        <f t="shared" si="0"/>
        <v>33.715846994535518</v>
      </c>
      <c r="U17" s="95"/>
      <c r="V17" s="130">
        <f>(S17-K17)/K17</f>
        <v>-0.42452830188679247</v>
      </c>
      <c r="W17" s="131"/>
      <c r="X17" s="129">
        <v>3.34</v>
      </c>
      <c r="Y17" s="132"/>
      <c r="Z17" s="96">
        <f t="shared" si="1"/>
        <v>18.473053892215571</v>
      </c>
      <c r="AA17" s="95"/>
      <c r="AB17" s="133">
        <f>+(+X17-AS79)/AS79</f>
        <v>0.24163568773234198</v>
      </c>
      <c r="AC17" s="134">
        <v>0.18629999999999999</v>
      </c>
      <c r="AD17" s="95"/>
      <c r="AE17" s="129">
        <v>3.91</v>
      </c>
      <c r="AF17" s="132"/>
      <c r="AG17" s="96">
        <f t="shared" si="2"/>
        <v>15.78005115089514</v>
      </c>
      <c r="AH17" s="95"/>
      <c r="AJ17" s="95"/>
      <c r="AK17" s="130">
        <f t="shared" si="3"/>
        <v>0.82513661202185773</v>
      </c>
      <c r="AL17" s="131"/>
      <c r="AM17" s="100">
        <f t="shared" si="4"/>
        <v>-5.0769230769230726E-2</v>
      </c>
      <c r="AN17" s="131"/>
      <c r="AO17" s="131">
        <f t="shared" si="5"/>
        <v>-5.5130168453292411E-2</v>
      </c>
      <c r="AP17" s="131"/>
      <c r="AQ17" s="135">
        <f t="shared" si="6"/>
        <v>-0.13560209424083769</v>
      </c>
      <c r="AS17" s="158">
        <f t="shared" si="7"/>
        <v>1.3776337115072932E-2</v>
      </c>
      <c r="AT17" s="159"/>
      <c r="AU17" s="3">
        <f>[1]!'EPG,DIVIDEND'</f>
        <v>0.85</v>
      </c>
      <c r="AV17" s="160">
        <v>37041</v>
      </c>
      <c r="AW17" s="102">
        <v>0.21249999999999999</v>
      </c>
      <c r="AX17" s="151"/>
      <c r="AY17" s="140">
        <v>65</v>
      </c>
      <c r="AZ17" s="151"/>
      <c r="BA17" s="140">
        <v>65.3</v>
      </c>
      <c r="BB17" s="151">
        <v>0.21249999999999999</v>
      </c>
      <c r="BC17" s="140">
        <v>71.625</v>
      </c>
    </row>
    <row r="18" spans="1:55" x14ac:dyDescent="0.25">
      <c r="A18" s="17" t="s">
        <v>64</v>
      </c>
      <c r="B18" s="6"/>
      <c r="C18" s="41" t="s">
        <v>65</v>
      </c>
      <c r="D18" s="18"/>
      <c r="E18" s="145">
        <f>[1]!KMI</f>
        <v>56.98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23.44855967078189</v>
      </c>
      <c r="N18" s="18"/>
      <c r="O18" s="128"/>
      <c r="P18" s="153"/>
      <c r="Q18" s="96"/>
      <c r="R18" s="18"/>
      <c r="S18" s="129">
        <v>1.17</v>
      </c>
      <c r="T18" s="96">
        <f t="shared" si="0"/>
        <v>48.700854700854698</v>
      </c>
      <c r="U18" s="95"/>
      <c r="V18" s="130"/>
      <c r="W18" s="131"/>
      <c r="X18" s="129">
        <v>1.81</v>
      </c>
      <c r="Y18" s="132"/>
      <c r="Z18" s="96">
        <f t="shared" si="1"/>
        <v>31.480662983425411</v>
      </c>
      <c r="AA18" s="95"/>
      <c r="AB18" s="133">
        <f>+(+X18-AS80)/AS80</f>
        <v>0.4140625</v>
      </c>
      <c r="AC18" s="134">
        <v>0.1061</v>
      </c>
      <c r="AD18" s="95"/>
      <c r="AE18" s="129">
        <v>2.27</v>
      </c>
      <c r="AF18" s="132"/>
      <c r="AG18" s="96">
        <f t="shared" si="2"/>
        <v>25.101321585903083</v>
      </c>
      <c r="AH18" s="95"/>
      <c r="AJ18" s="95"/>
      <c r="AK18" s="130">
        <f t="shared" si="3"/>
        <v>0.54700854700854717</v>
      </c>
      <c r="AL18" s="131"/>
      <c r="AM18" s="100">
        <f t="shared" si="4"/>
        <v>-3.0127659574468137E-2</v>
      </c>
      <c r="AN18" s="131"/>
      <c r="AO18" s="131">
        <f t="shared" si="5"/>
        <v>7.1992481203007344E-2</v>
      </c>
      <c r="AP18" s="131"/>
      <c r="AQ18" s="135">
        <f t="shared" si="6"/>
        <v>9.374850299401194E-2</v>
      </c>
      <c r="AS18" s="158">
        <f t="shared" si="7"/>
        <v>3.5100035100035106E-3</v>
      </c>
      <c r="AT18" s="159"/>
      <c r="AU18" s="3">
        <f>[1]!'KMI,DIVIDEND'</f>
        <v>0.2</v>
      </c>
      <c r="AV18" s="160">
        <v>37007</v>
      </c>
      <c r="AW18" s="102">
        <v>0.05</v>
      </c>
      <c r="AX18" s="151"/>
      <c r="AY18" s="140">
        <v>58.75</v>
      </c>
      <c r="AZ18" s="151">
        <v>0.05</v>
      </c>
      <c r="BA18" s="140">
        <v>53.2</v>
      </c>
      <c r="BB18" s="151">
        <f>0.05+0.05</f>
        <v>0.1</v>
      </c>
      <c r="BC18" s="140">
        <v>52.1875</v>
      </c>
    </row>
    <row r="19" spans="1:55" x14ac:dyDescent="0.25">
      <c r="A19" s="165" t="s">
        <v>120</v>
      </c>
      <c r="B19" s="166"/>
      <c r="C19" s="64" t="s">
        <v>119</v>
      </c>
      <c r="D19" s="18"/>
      <c r="E19" s="145">
        <f>[1]!MIR</f>
        <v>40.950000000000003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1.93</v>
      </c>
      <c r="Y19" s="132"/>
      <c r="Z19" s="96">
        <f>E19/X19</f>
        <v>21.217616580310882</v>
      </c>
      <c r="AA19" s="95"/>
      <c r="AB19" s="133">
        <f>+(+X19-AS83)/AS83</f>
        <v>0.96938775510204078</v>
      </c>
      <c r="AC19" s="134">
        <v>8.8800000000000004E-2</v>
      </c>
      <c r="AD19" s="95"/>
      <c r="AE19" s="129">
        <v>2.35</v>
      </c>
      <c r="AF19" s="132"/>
      <c r="AG19" s="96">
        <f>E19/AE19</f>
        <v>17.425531914893618</v>
      </c>
      <c r="AH19" s="95"/>
      <c r="AJ19" s="95"/>
      <c r="AK19" s="130" t="e">
        <f>(X19-S19)/S19</f>
        <v>#DIV/0!</v>
      </c>
      <c r="AL19" s="131"/>
      <c r="AM19" s="100">
        <f>((+AX19+E19-AY19)/AY19)</f>
        <v>-9.8811619718309748E-2</v>
      </c>
      <c r="AN19" s="131"/>
      <c r="AO19" s="131">
        <f>((+AZ19+E19-BA19)/BA19)</f>
        <v>0.15352112676056345</v>
      </c>
      <c r="AP19" s="131"/>
      <c r="AQ19" s="135">
        <f>((+BB19+E19-BC19)/BC19)</f>
        <v>0.44635761589403983</v>
      </c>
      <c r="AS19" s="158">
        <f>AU19/E19</f>
        <v>0</v>
      </c>
      <c r="AT19" s="159"/>
      <c r="AU19" s="3">
        <v>0</v>
      </c>
      <c r="AV19" s="160" t="s">
        <v>68</v>
      </c>
      <c r="AW19" s="102">
        <v>0</v>
      </c>
      <c r="AX19" s="151"/>
      <c r="AY19" s="140">
        <v>45.44</v>
      </c>
      <c r="AZ19" s="151"/>
      <c r="BA19" s="140">
        <v>35.5</v>
      </c>
      <c r="BB19" s="151"/>
      <c r="BC19" s="140">
        <v>28.3125</v>
      </c>
    </row>
    <row r="20" spans="1:55" x14ac:dyDescent="0.25">
      <c r="A20" s="17" t="s">
        <v>99</v>
      </c>
      <c r="B20" s="166"/>
      <c r="C20" s="19" t="s">
        <v>98</v>
      </c>
      <c r="D20" s="5"/>
      <c r="E20" s="145">
        <f>[1]!NRG</f>
        <v>30.8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1.36</v>
      </c>
      <c r="Y20" s="132"/>
      <c r="Z20" s="96">
        <f>E20/X20</f>
        <v>22.647058823529409</v>
      </c>
      <c r="AA20" s="95"/>
      <c r="AB20" s="133">
        <f>+(+X20-AS81)/AS81</f>
        <v>0.23636363636363636</v>
      </c>
      <c r="AC20" s="134">
        <v>0.15529999999999999</v>
      </c>
      <c r="AD20" s="95"/>
      <c r="AE20" s="129">
        <v>1.67</v>
      </c>
      <c r="AF20" s="132"/>
      <c r="AG20" s="96">
        <f>E20/AE20</f>
        <v>18.443113772455092</v>
      </c>
      <c r="AH20" s="95"/>
      <c r="AJ20" s="95"/>
      <c r="AK20" s="130" t="e">
        <f>(X20-S20)/S20</f>
        <v>#DIV/0!</v>
      </c>
      <c r="AL20" s="131"/>
      <c r="AM20" s="100">
        <f t="shared" si="4"/>
        <v>-0.10072992700729926</v>
      </c>
      <c r="AN20" s="131"/>
      <c r="AO20" s="131">
        <f t="shared" si="5"/>
        <v>-0.1538461538461538</v>
      </c>
      <c r="AP20" s="131"/>
      <c r="AQ20" s="135">
        <f t="shared" si="6"/>
        <v>0.10741573033707867</v>
      </c>
      <c r="AS20" s="158">
        <f t="shared" si="7"/>
        <v>0</v>
      </c>
      <c r="AT20" s="159"/>
      <c r="AU20" s="3">
        <v>0</v>
      </c>
      <c r="AV20" s="160" t="s">
        <v>68</v>
      </c>
      <c r="AW20" s="102">
        <v>0</v>
      </c>
      <c r="AX20" s="151"/>
      <c r="AY20" s="140">
        <v>34.25</v>
      </c>
      <c r="AZ20" s="151"/>
      <c r="BA20" s="140">
        <v>36.4</v>
      </c>
      <c r="BB20" s="151"/>
      <c r="BC20" s="140">
        <v>27.8125</v>
      </c>
    </row>
    <row r="21" spans="1:55" x14ac:dyDescent="0.25">
      <c r="A21" s="17" t="s">
        <v>129</v>
      </c>
      <c r="B21" s="18"/>
      <c r="C21" s="41" t="s">
        <v>128</v>
      </c>
      <c r="D21" s="18"/>
      <c r="E21" s="145">
        <f>[1]!RRI</f>
        <v>34.200000000000003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29.739130434782613</v>
      </c>
      <c r="U21" s="95"/>
      <c r="V21" s="130"/>
      <c r="W21" s="131"/>
      <c r="X21" s="141">
        <v>1.55</v>
      </c>
      <c r="Y21" s="154"/>
      <c r="Z21" s="96">
        <f t="shared" si="1"/>
        <v>22.06451612903226</v>
      </c>
      <c r="AA21" s="143"/>
      <c r="AB21" s="155" t="s">
        <v>76</v>
      </c>
      <c r="AC21" s="156" t="s">
        <v>76</v>
      </c>
      <c r="AD21" s="144"/>
      <c r="AE21" s="141">
        <v>1.9</v>
      </c>
      <c r="AF21" s="154"/>
      <c r="AG21" s="96">
        <f t="shared" si="2"/>
        <v>18.000000000000004</v>
      </c>
      <c r="AH21" s="95"/>
      <c r="AJ21" s="95"/>
      <c r="AK21" s="130">
        <f>(X21-S21)/S21</f>
        <v>0.3478260869565219</v>
      </c>
      <c r="AL21" s="131"/>
      <c r="AM21" s="100">
        <f t="shared" si="4"/>
        <v>-2.8409090909090908E-2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v>0</v>
      </c>
      <c r="AV21" s="160" t="s">
        <v>68</v>
      </c>
      <c r="AW21" s="102">
        <v>0</v>
      </c>
      <c r="AX21" s="151"/>
      <c r="AY21" s="140">
        <v>35.200000000000003</v>
      </c>
      <c r="AZ21" s="151"/>
      <c r="BA21" s="161" t="s">
        <v>76</v>
      </c>
      <c r="BB21" s="151">
        <v>0</v>
      </c>
      <c r="BC21" s="161" t="s">
        <v>76</v>
      </c>
    </row>
    <row r="22" spans="1:55" x14ac:dyDescent="0.25">
      <c r="A22" s="17" t="s">
        <v>86</v>
      </c>
      <c r="B22" s="18"/>
      <c r="C22" s="41" t="s">
        <v>4</v>
      </c>
      <c r="D22" s="18"/>
      <c r="E22" s="145">
        <f>[1]!WMB</f>
        <v>41.3</v>
      </c>
      <c r="F22" s="18"/>
      <c r="G22" s="128">
        <v>2.08</v>
      </c>
      <c r="H22" s="153" t="s">
        <v>50</v>
      </c>
      <c r="I22" s="96">
        <f>E22/G22</f>
        <v>19.85576923076923</v>
      </c>
      <c r="J22" s="18"/>
      <c r="K22" s="128">
        <v>1.04</v>
      </c>
      <c r="L22" s="26"/>
      <c r="M22" s="96">
        <f>E22/K22</f>
        <v>39.71153846153846</v>
      </c>
      <c r="N22" s="18"/>
      <c r="O22" s="128">
        <v>2.08</v>
      </c>
      <c r="P22" s="153" t="s">
        <v>50</v>
      </c>
      <c r="Q22" s="96">
        <f>M22/O22</f>
        <v>19.092085798816566</v>
      </c>
      <c r="R22" s="18"/>
      <c r="S22" s="129">
        <v>0.82</v>
      </c>
      <c r="T22" s="96">
        <f>E22/S22</f>
        <v>50.365853658536587</v>
      </c>
      <c r="U22" s="95"/>
      <c r="V22" s="130">
        <f>(S22-K22)/K22</f>
        <v>-0.21153846153846162</v>
      </c>
      <c r="W22" s="131"/>
      <c r="X22" s="129">
        <v>2.31</v>
      </c>
      <c r="Y22" s="132"/>
      <c r="Z22" s="96">
        <f t="shared" si="1"/>
        <v>17.878787878787879</v>
      </c>
      <c r="AA22" s="95"/>
      <c r="AB22" s="133">
        <f>+(+X22-AS85)/AS85</f>
        <v>0.34302325581395354</v>
      </c>
      <c r="AC22" s="134">
        <v>0.14749999999999999</v>
      </c>
      <c r="AD22" s="95"/>
      <c r="AE22" s="129">
        <v>2.6</v>
      </c>
      <c r="AF22" s="132"/>
      <c r="AG22" s="96">
        <f t="shared" si="2"/>
        <v>15.884615384615383</v>
      </c>
      <c r="AH22" s="95"/>
      <c r="AJ22" s="95"/>
      <c r="AK22" s="130">
        <f t="shared" si="3"/>
        <v>1.8170731707317076</v>
      </c>
      <c r="AL22" s="131"/>
      <c r="AM22" s="100">
        <f t="shared" si="4"/>
        <v>-1.1015325670498104E-2</v>
      </c>
      <c r="AN22" s="131"/>
      <c r="AO22" s="131">
        <f t="shared" si="5"/>
        <v>-3.6172695449241642E-2</v>
      </c>
      <c r="AP22" s="131"/>
      <c r="AQ22" s="135">
        <f t="shared" si="6"/>
        <v>3.7871674491392691E-2</v>
      </c>
      <c r="AS22" s="158">
        <f t="shared" si="7"/>
        <v>1.4527845036319613E-2</v>
      </c>
      <c r="AT22" s="159"/>
      <c r="AU22" s="3">
        <f>[1]!'WMB,DIVIDEND'</f>
        <v>0.6</v>
      </c>
      <c r="AV22" s="160">
        <v>37048</v>
      </c>
      <c r="AW22" s="102">
        <v>0.15</v>
      </c>
      <c r="AX22" s="151"/>
      <c r="AY22" s="140">
        <v>41.76</v>
      </c>
      <c r="AZ22" s="151"/>
      <c r="BA22" s="140">
        <v>42.85</v>
      </c>
      <c r="BB22" s="151">
        <v>0.15</v>
      </c>
      <c r="BC22" s="140">
        <v>39.9375</v>
      </c>
    </row>
    <row r="23" spans="1:55" ht="10.5" customHeight="1" x14ac:dyDescent="0.25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5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17.072958362878079</v>
      </c>
      <c r="J24" s="26"/>
      <c r="K24" s="177"/>
      <c r="L24" s="178"/>
      <c r="M24" s="179">
        <f>AVERAGE(M14:M22)</f>
        <v>29.890584352051366</v>
      </c>
      <c r="N24" s="18"/>
      <c r="O24" s="177"/>
      <c r="P24" s="178"/>
      <c r="Q24" s="179">
        <f>AVERAGE(Q14:Q22)</f>
        <v>9.2887931275755786</v>
      </c>
      <c r="R24" s="26"/>
      <c r="S24" s="177"/>
      <c r="T24" s="179">
        <f>AVERAGE(T14:T22)</f>
        <v>39.490370752248921</v>
      </c>
      <c r="U24" s="95"/>
      <c r="V24" s="180">
        <f>AVERAGE(V14:V22)</f>
        <v>-0.19348012783675017</v>
      </c>
      <c r="W24" s="131"/>
      <c r="X24" s="181"/>
      <c r="Y24" s="182"/>
      <c r="Z24" s="179">
        <f>AVERAGE(Z14:Z22)</f>
        <v>22.432356750748895</v>
      </c>
      <c r="AA24" s="95"/>
      <c r="AB24" s="183"/>
      <c r="AC24" s="179"/>
      <c r="AD24" s="95"/>
      <c r="AE24" s="184"/>
      <c r="AF24" s="185"/>
      <c r="AG24" s="179">
        <f>AVERAGE(AG14:AG22)</f>
        <v>18.560801112692836</v>
      </c>
      <c r="AH24" s="95"/>
      <c r="AJ24" s="95"/>
      <c r="AK24" s="180" t="e">
        <f>AVERAGE(AK14:AK22)</f>
        <v>#DIV/0!</v>
      </c>
      <c r="AL24" s="131"/>
      <c r="AM24" s="186">
        <f>AVERAGE(AM14:AM22)</f>
        <v>-5.0947267296243749E-2</v>
      </c>
      <c r="AN24" s="187"/>
      <c r="AO24" s="188">
        <f>AVERAGE(AO14:AO22)</f>
        <v>-7.1709558388413598E-3</v>
      </c>
      <c r="AP24" s="187"/>
      <c r="AQ24" s="189">
        <f>AVERAGE(AQ14:AQ22)</f>
        <v>4.294754755841166E-2</v>
      </c>
      <c r="AS24" s="180">
        <f>AVERAGE(AS14:AS22)</f>
        <v>6.929134959061025E-3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5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5">
      <c r="A26" s="351" t="s">
        <v>131</v>
      </c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7.5" customHeight="1" x14ac:dyDescent="0.25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5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5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1.790588235294118</v>
      </c>
      <c r="Y29" s="18"/>
      <c r="Z29" s="18"/>
      <c r="AA29" s="18"/>
      <c r="AB29" s="18"/>
      <c r="AC29" s="18"/>
      <c r="AD29" s="18"/>
      <c r="AE29" s="213">
        <f>AVERAGE(AE68:AE85)</f>
        <v>2.1142857142857143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5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1.82</v>
      </c>
      <c r="Y30" s="18"/>
      <c r="Z30" s="18"/>
      <c r="AA30" s="18"/>
      <c r="AB30" s="18"/>
      <c r="AC30" s="18"/>
      <c r="AD30" s="18"/>
      <c r="AE30" s="213">
        <f>MAX(AE68:AE85)</f>
        <v>2.25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5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1.75</v>
      </c>
      <c r="Y31" s="18"/>
      <c r="Z31" s="18"/>
      <c r="AA31" s="18"/>
      <c r="AB31" s="18"/>
      <c r="AC31" s="18"/>
      <c r="AD31" s="18"/>
      <c r="AE31" s="214">
        <f>MIN(AE68:AE85)</f>
        <v>2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5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5">
        <v>2000</v>
      </c>
      <c r="Y33" s="396"/>
      <c r="Z33" s="397"/>
      <c r="AA33" s="202"/>
      <c r="AB33" s="202"/>
      <c r="AC33" s="202"/>
      <c r="AD33" s="202"/>
      <c r="AE33" s="395">
        <v>2001</v>
      </c>
      <c r="AF33" s="396"/>
      <c r="AG33" s="397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37029</v>
      </c>
      <c r="BA34" s="226">
        <f>+BA5</f>
        <v>36980</v>
      </c>
      <c r="BC34" s="226" t="str">
        <f>+BC6</f>
        <v xml:space="preserve">12/29/00 Closing </v>
      </c>
    </row>
    <row r="35" spans="1:55" s="10" customFormat="1" ht="9.9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5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[1]!AKAM.O</f>
        <v>10.95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13.30339643652561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6.3075237592397029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9.3906093906093863E-2</v>
      </c>
      <c r="AN36" s="241"/>
      <c r="AO36" s="131">
        <f t="shared" ref="AO36:AO42" si="9">((+AZ36+E36-BA36)/BA36)</f>
        <v>0.27883211678832109</v>
      </c>
      <c r="AP36" s="112"/>
      <c r="AQ36" s="135">
        <f t="shared" ref="AQ36:AQ42" si="10">((+BB36+E36-BC36)/BC36)</f>
        <v>-0.48011869436201782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10.01</v>
      </c>
      <c r="BA36" s="140">
        <v>8.5625</v>
      </c>
      <c r="BC36" s="140">
        <v>21.0625</v>
      </c>
    </row>
    <row r="37" spans="1:55" x14ac:dyDescent="0.25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[1]!ISLD.O</f>
        <v>3.35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4.6593908629441625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1.5522547914317926</v>
      </c>
      <c r="AH37" s="239"/>
      <c r="AI37" s="240">
        <v>82.2</v>
      </c>
      <c r="AJ37" s="18"/>
      <c r="AK37" s="167"/>
      <c r="AL37" s="112"/>
      <c r="AM37" s="100">
        <f t="shared" si="8"/>
        <v>0</v>
      </c>
      <c r="AN37" s="241"/>
      <c r="AO37" s="131">
        <f t="shared" si="9"/>
        <v>0.84827586206896555</v>
      </c>
      <c r="AP37" s="112"/>
      <c r="AQ37" s="135">
        <f t="shared" si="10"/>
        <v>-0.17538461538461536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3.35</v>
      </c>
      <c r="BA37" s="140">
        <v>1.8125</v>
      </c>
      <c r="BC37" s="140">
        <v>4.0625</v>
      </c>
    </row>
    <row r="38" spans="1:55" x14ac:dyDescent="0.25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[1]!INAP.O</f>
        <v>3.42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7.3756034482758626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2.5139177277179239</v>
      </c>
      <c r="AH38" s="239"/>
      <c r="AI38" s="240">
        <v>150.1</v>
      </c>
      <c r="AJ38" s="18"/>
      <c r="AK38" s="167"/>
      <c r="AL38" s="112"/>
      <c r="AM38" s="100">
        <f t="shared" si="8"/>
        <v>0.19163763066202083</v>
      </c>
      <c r="AN38" s="241"/>
      <c r="AO38" s="131">
        <f t="shared" si="9"/>
        <v>0.76516129032258062</v>
      </c>
      <c r="AP38" s="112"/>
      <c r="AQ38" s="135">
        <f t="shared" si="10"/>
        <v>-0.52827586206896548</v>
      </c>
      <c r="AS38" s="158">
        <f t="shared" si="11"/>
        <v>0</v>
      </c>
      <c r="AU38" s="198">
        <v>0</v>
      </c>
      <c r="AV38" s="199"/>
      <c r="AW38" s="200"/>
      <c r="AX38" s="36"/>
      <c r="AY38" s="140">
        <v>2.87</v>
      </c>
      <c r="BA38" s="140">
        <v>1.9375</v>
      </c>
      <c r="BC38" s="140">
        <v>7.25</v>
      </c>
    </row>
    <row r="39" spans="1:55" ht="15.6" x14ac:dyDescent="0.25">
      <c r="A39" s="165" t="str">
        <f>'[2]7-07-00'!$A$33</f>
        <v>Williams Communications**</v>
      </c>
      <c r="B39" s="18"/>
      <c r="C39" s="19" t="str">
        <f>'[2]7-07-00'!$B$33</f>
        <v>WCG</v>
      </c>
      <c r="D39" s="18"/>
      <c r="E39" s="145">
        <f>[1]!WCG</f>
        <v>5.05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2.9423727803599089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7.2186836518046679E-2</v>
      </c>
      <c r="AN39" s="241"/>
      <c r="AO39" s="131">
        <f t="shared" si="9"/>
        <v>-0.43888888888888888</v>
      </c>
      <c r="AP39" s="112"/>
      <c r="AQ39" s="135">
        <f t="shared" si="10"/>
        <v>-0.57021276595744685</v>
      </c>
      <c r="AS39" s="158">
        <f t="shared" si="11"/>
        <v>0</v>
      </c>
      <c r="AU39" s="198">
        <v>0</v>
      </c>
      <c r="AV39" s="199"/>
      <c r="AW39" s="200"/>
      <c r="AX39" s="36"/>
      <c r="AY39" s="140">
        <v>4.71</v>
      </c>
      <c r="BA39" s="140">
        <v>9</v>
      </c>
      <c r="BC39" s="140">
        <v>11.75</v>
      </c>
    </row>
    <row r="40" spans="1:55" ht="15.6" x14ac:dyDescent="0.25">
      <c r="A40" s="165" t="s">
        <v>104</v>
      </c>
      <c r="B40" s="18"/>
      <c r="C40" s="19" t="str">
        <f>'[2]7-07-00'!$B$34</f>
        <v>LVLT</v>
      </c>
      <c r="D40" s="18"/>
      <c r="E40" s="145">
        <f>[1]!LVLT.O</f>
        <v>13.39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4.1605046413502116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2.4385191413591851</v>
      </c>
      <c r="AH40" s="245"/>
      <c r="AI40" s="240">
        <v>368.2</v>
      </c>
      <c r="AJ40" s="18"/>
      <c r="AK40" s="167"/>
      <c r="AL40" s="112"/>
      <c r="AM40" s="100">
        <f t="shared" si="8"/>
        <v>-2.6181818181818139E-2</v>
      </c>
      <c r="AN40" s="241"/>
      <c r="AO40" s="131">
        <f t="shared" si="9"/>
        <v>-0.22935251798561149</v>
      </c>
      <c r="AP40" s="112"/>
      <c r="AQ40" s="135">
        <f t="shared" si="10"/>
        <v>-0.59192380952380952</v>
      </c>
      <c r="AS40" s="158">
        <f t="shared" si="11"/>
        <v>0</v>
      </c>
      <c r="AU40" s="198">
        <v>0</v>
      </c>
      <c r="AV40" s="199"/>
      <c r="AW40" s="200"/>
      <c r="AX40" s="36"/>
      <c r="AY40" s="140">
        <v>13.75</v>
      </c>
      <c r="BA40" s="140">
        <v>17.375</v>
      </c>
      <c r="BC40" s="140">
        <v>32.8125</v>
      </c>
    </row>
    <row r="41" spans="1:55" ht="15.6" x14ac:dyDescent="0.25">
      <c r="A41" s="165" t="s">
        <v>105</v>
      </c>
      <c r="B41" s="18"/>
      <c r="C41" s="19" t="s">
        <v>106</v>
      </c>
      <c r="D41" s="18"/>
      <c r="E41" s="145">
        <f>[1]!GX</f>
        <v>14.22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3.3270071258907365</v>
      </c>
      <c r="AA41" s="18"/>
      <c r="AB41" s="18"/>
      <c r="AC41" s="18"/>
      <c r="AD41" s="18"/>
      <c r="AE41" s="237">
        <v>6400</v>
      </c>
      <c r="AF41" s="26"/>
      <c r="AG41" s="238">
        <f t="shared" si="13"/>
        <v>1.9696921875000002</v>
      </c>
      <c r="AH41" s="245"/>
      <c r="AI41" s="240">
        <v>886.5</v>
      </c>
      <c r="AJ41" s="18"/>
      <c r="AK41" s="167"/>
      <c r="AL41" s="112"/>
      <c r="AM41" s="100">
        <f t="shared" si="8"/>
        <v>-8.8461538461538397E-2</v>
      </c>
      <c r="AN41" s="241"/>
      <c r="AO41" s="131">
        <f t="shared" si="9"/>
        <v>5.411415863602672E-2</v>
      </c>
      <c r="AP41" s="112"/>
      <c r="AQ41" s="135">
        <f t="shared" si="10"/>
        <v>-6.4628820960698245E-3</v>
      </c>
      <c r="AS41" s="158">
        <f t="shared" si="11"/>
        <v>0</v>
      </c>
      <c r="AU41" s="198">
        <v>0</v>
      </c>
      <c r="AV41" s="199"/>
      <c r="AW41" s="200"/>
      <c r="AX41" s="36"/>
      <c r="AY41" s="140">
        <v>15.6</v>
      </c>
      <c r="BA41" s="140">
        <v>13.49</v>
      </c>
      <c r="BC41" s="140">
        <v>14.3125</v>
      </c>
    </row>
    <row r="42" spans="1:55" ht="15.6" x14ac:dyDescent="0.25">
      <c r="A42" s="165" t="str">
        <f>'[2]7-07-00'!$A$36</f>
        <v>Qwest</v>
      </c>
      <c r="B42" s="18"/>
      <c r="C42" s="19" t="str">
        <f>'[2]7-07-00'!$B$36</f>
        <v>Q</v>
      </c>
      <c r="D42" s="18"/>
      <c r="E42" s="145">
        <f>[1]!Q</f>
        <v>37.75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3.7756818181818179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2.9236922094329683</v>
      </c>
      <c r="AH42" s="245"/>
      <c r="AI42" s="240">
        <v>1661.3</v>
      </c>
      <c r="AJ42" s="18"/>
      <c r="AK42" s="167"/>
      <c r="AL42" s="112"/>
      <c r="AM42" s="100">
        <f t="shared" si="8"/>
        <v>-2.2020725388601073E-2</v>
      </c>
      <c r="AN42" s="241"/>
      <c r="AO42" s="131">
        <f t="shared" si="9"/>
        <v>7.703281027104146E-2</v>
      </c>
      <c r="AP42" s="112"/>
      <c r="AQ42" s="135">
        <f t="shared" si="10"/>
        <v>-7.64525993883792E-2</v>
      </c>
      <c r="AS42" s="158">
        <f t="shared" si="11"/>
        <v>0</v>
      </c>
      <c r="AU42" s="198">
        <v>0</v>
      </c>
      <c r="AV42" s="199"/>
      <c r="AW42" s="200"/>
      <c r="AX42" s="36"/>
      <c r="AY42" s="140">
        <v>38.6</v>
      </c>
      <c r="BA42" s="140">
        <v>35.049999999999997</v>
      </c>
      <c r="BC42" s="140">
        <v>40.875</v>
      </c>
    </row>
    <row r="43" spans="1:55" ht="15.6" x14ac:dyDescent="0.25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5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3.158092557917197E-2</v>
      </c>
      <c r="AN44" s="188" t="e">
        <f>AVERAGE(AN36:AN42)</f>
        <v>#DIV/0!</v>
      </c>
      <c r="AO44" s="188">
        <f>AVERAGE(AO36:AO42)</f>
        <v>0.19359640445891929</v>
      </c>
      <c r="AP44" s="258"/>
      <c r="AQ44" s="189">
        <f>AVERAGE(AQ36:AQ42)</f>
        <v>-0.34697588982590061</v>
      </c>
      <c r="AS44" s="259">
        <f>AVERAGE(AS36:AS42)</f>
        <v>0</v>
      </c>
      <c r="AU44" s="198"/>
      <c r="AV44" s="199"/>
      <c r="AW44" s="200"/>
      <c r="AX44" s="36"/>
    </row>
    <row r="45" spans="1:55" x14ac:dyDescent="0.25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2">
        <v>2001</v>
      </c>
      <c r="Y46" s="393"/>
      <c r="Z46" s="394"/>
      <c r="AA46" s="264"/>
      <c r="AB46" s="264"/>
      <c r="AC46" s="264"/>
      <c r="AD46" s="264"/>
      <c r="AE46" s="392">
        <v>2002</v>
      </c>
      <c r="AF46" s="393"/>
      <c r="AG46" s="394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>
        <f>+BA5</f>
        <v>36980</v>
      </c>
      <c r="BB47" s="275"/>
      <c r="BC47" s="276"/>
    </row>
    <row r="48" spans="1:55" s="10" customFormat="1" ht="9.9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 t="s">
        <v>47</v>
      </c>
      <c r="BB48" s="76" t="s">
        <v>48</v>
      </c>
      <c r="BC48" s="75" t="s">
        <v>94</v>
      </c>
    </row>
    <row r="49" spans="1:55" x14ac:dyDescent="0.25">
      <c r="A49" s="64" t="s">
        <v>100</v>
      </c>
      <c r="B49" s="166"/>
      <c r="C49" s="64" t="s">
        <v>97</v>
      </c>
      <c r="D49" s="18"/>
      <c r="E49" s="145">
        <f>[1]!NPW</f>
        <v>10.029999999999999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-4.01</v>
      </c>
      <c r="Y49" s="283"/>
      <c r="Z49" s="284" t="s">
        <v>76</v>
      </c>
      <c r="AA49" s="95"/>
      <c r="AB49" s="95"/>
      <c r="AC49" s="95"/>
      <c r="AD49" s="95"/>
      <c r="AE49" s="282">
        <v>-0.51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7.1581196581196577E-2</v>
      </c>
      <c r="AN49" s="187"/>
      <c r="AO49" s="187">
        <f>((+AZ49+E49-BA49)/BA49)</f>
        <v>0.54307692307692301</v>
      </c>
      <c r="AP49" s="187"/>
      <c r="AQ49" s="286">
        <f>((+BB49+E49-BC49)/BC49)</f>
        <v>2.2165605095541337E-2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9.36</v>
      </c>
      <c r="AZ49" s="291"/>
      <c r="BA49" s="292">
        <v>6.5</v>
      </c>
      <c r="BB49" s="291">
        <v>0</v>
      </c>
      <c r="BC49" s="292">
        <v>9.8125</v>
      </c>
    </row>
    <row r="50" spans="1:55" x14ac:dyDescent="0.25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5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5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" customHeight="1" x14ac:dyDescent="0.25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" customHeight="1" x14ac:dyDescent="0.25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" customHeight="1" x14ac:dyDescent="0.25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" customHeight="1" x14ac:dyDescent="0.25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" customHeight="1" x14ac:dyDescent="0.25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5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" customHeight="1" x14ac:dyDescent="0.25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" customHeight="1" x14ac:dyDescent="0.25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" customHeight="1" x14ac:dyDescent="0.25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5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5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5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3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6" x14ac:dyDescent="0.3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89">
        <v>2000</v>
      </c>
      <c r="AT66" s="390"/>
      <c r="AU66" s="391"/>
      <c r="AW66" s="307"/>
    </row>
    <row r="67" spans="1:50" ht="12.75" customHeight="1" x14ac:dyDescent="0.3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2" thickBot="1" x14ac:dyDescent="0.35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1.75</v>
      </c>
      <c r="Y68" s="316"/>
      <c r="Z68" s="306"/>
      <c r="AA68" s="306"/>
      <c r="AB68" s="306"/>
      <c r="AC68" s="306"/>
      <c r="AD68" s="306"/>
      <c r="AE68" s="317">
        <v>2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2" thickBot="1" x14ac:dyDescent="0.35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1.75</v>
      </c>
      <c r="Y69" s="318"/>
      <c r="Z69" s="306"/>
      <c r="AA69" s="306"/>
      <c r="AB69" s="306"/>
      <c r="AC69" s="306"/>
      <c r="AD69" s="306"/>
      <c r="AE69" s="319"/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6" x14ac:dyDescent="0.3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>
        <v>1.8</v>
      </c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6" x14ac:dyDescent="0.3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</v>
      </c>
      <c r="Y71" s="318"/>
      <c r="Z71" s="306"/>
      <c r="AA71" s="306"/>
      <c r="AB71" s="306"/>
      <c r="AC71" s="306"/>
      <c r="AD71" s="306"/>
      <c r="AE71" s="319">
        <v>2.1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6" x14ac:dyDescent="0.3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1.78</v>
      </c>
      <c r="Y72" s="318"/>
      <c r="Z72" s="306"/>
      <c r="AA72" s="306"/>
      <c r="AB72" s="306"/>
      <c r="AC72" s="306"/>
      <c r="AD72" s="306"/>
      <c r="AE72" s="319">
        <v>2.0499999999999998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6" x14ac:dyDescent="0.3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6" x14ac:dyDescent="0.3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6" x14ac:dyDescent="0.3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1.79</v>
      </c>
      <c r="Y75" s="318"/>
      <c r="Z75" s="322"/>
      <c r="AA75" s="322"/>
      <c r="AB75" s="322"/>
      <c r="AC75" s="322"/>
      <c r="AD75" s="322"/>
      <c r="AE75" s="319">
        <v>2.08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6" x14ac:dyDescent="0.3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</v>
      </c>
      <c r="Y76" s="318"/>
      <c r="Z76" s="324"/>
      <c r="AA76" s="324"/>
      <c r="AB76" s="324"/>
      <c r="AC76" s="324"/>
      <c r="AD76" s="324"/>
      <c r="AE76" s="319"/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6" x14ac:dyDescent="0.3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1.78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6" x14ac:dyDescent="0.3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1.77</v>
      </c>
      <c r="Y78" s="318"/>
      <c r="Z78" s="324"/>
      <c r="AA78" s="324">
        <v>0</v>
      </c>
      <c r="AB78" s="324"/>
      <c r="AC78" s="324"/>
      <c r="AD78" s="324"/>
      <c r="AE78" s="319">
        <v>2.08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6" x14ac:dyDescent="0.3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</v>
      </c>
      <c r="Y79" s="318"/>
      <c r="Z79" s="324"/>
      <c r="AA79" s="324"/>
      <c r="AB79" s="324"/>
      <c r="AC79" s="324"/>
      <c r="AD79" s="324"/>
      <c r="AE79" s="319">
        <v>2.1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6" x14ac:dyDescent="0.3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6" x14ac:dyDescent="0.3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6" x14ac:dyDescent="0.3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1.8</v>
      </c>
      <c r="Y82" s="318"/>
      <c r="Z82" s="322"/>
      <c r="AA82" s="322"/>
      <c r="AB82" s="322"/>
      <c r="AC82" s="322"/>
      <c r="AD82" s="322"/>
      <c r="AE82" s="319">
        <v>2.1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6" x14ac:dyDescent="0.3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2.0499999999999998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6" x14ac:dyDescent="0.3">
      <c r="A84" s="323"/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/>
      <c r="Y84" s="318"/>
      <c r="Z84" s="322"/>
      <c r="AA84" s="322"/>
      <c r="AB84" s="322"/>
      <c r="AC84" s="322"/>
      <c r="AD84" s="322"/>
      <c r="AE84" s="319"/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6" x14ac:dyDescent="0.3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>
        <v>1.82</v>
      </c>
      <c r="Y85" s="318"/>
      <c r="Z85" s="322"/>
      <c r="AA85" s="322"/>
      <c r="AB85" s="322"/>
      <c r="AC85" s="322"/>
      <c r="AD85" s="322"/>
      <c r="AE85" s="319">
        <v>2.2000000000000002</v>
      </c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6" x14ac:dyDescent="0.3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6" x14ac:dyDescent="0.3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6" x14ac:dyDescent="0.3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1.7911111111111113</v>
      </c>
      <c r="Y88" s="341"/>
      <c r="Z88" s="339"/>
      <c r="AA88" s="339"/>
      <c r="AB88" s="339"/>
      <c r="AC88" s="339"/>
      <c r="AD88" s="339"/>
      <c r="AE88" s="342">
        <f>AVERAGE(AE68:AE86)</f>
        <v>2.1133333333333337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6" x14ac:dyDescent="0.3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6" x14ac:dyDescent="0.3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6" x14ac:dyDescent="0.3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6" x14ac:dyDescent="0.3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6" x14ac:dyDescent="0.3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6" x14ac:dyDescent="0.3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5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5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5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5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5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5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5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5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5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5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5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5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5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5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5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5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5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5">
      <c r="C112" s="350"/>
    </row>
    <row r="113" spans="3:3" x14ac:dyDescent="0.25">
      <c r="C113" s="350"/>
    </row>
    <row r="114" spans="3:3" x14ac:dyDescent="0.25">
      <c r="C114" s="350"/>
    </row>
    <row r="115" spans="3:3" x14ac:dyDescent="0.25">
      <c r="C115" s="350"/>
    </row>
    <row r="116" spans="3:3" x14ac:dyDescent="0.25">
      <c r="C116" s="350"/>
    </row>
    <row r="117" spans="3:3" x14ac:dyDescent="0.25">
      <c r="C117" s="350"/>
    </row>
    <row r="118" spans="3:3" x14ac:dyDescent="0.25">
      <c r="C118" s="350"/>
    </row>
    <row r="119" spans="3:3" x14ac:dyDescent="0.25">
      <c r="C119" s="350"/>
    </row>
    <row r="120" spans="3:3" x14ac:dyDescent="0.25">
      <c r="C120" s="350"/>
    </row>
    <row r="121" spans="3:3" x14ac:dyDescent="0.25">
      <c r="C121" s="350"/>
    </row>
    <row r="122" spans="3:3" x14ac:dyDescent="0.25">
      <c r="C122" s="350"/>
    </row>
    <row r="123" spans="3:3" x14ac:dyDescent="0.25">
      <c r="C123" s="350"/>
    </row>
    <row r="124" spans="3:3" x14ac:dyDescent="0.25">
      <c r="C124" s="350"/>
    </row>
    <row r="125" spans="3:3" x14ac:dyDescent="0.25">
      <c r="C125" s="350"/>
    </row>
    <row r="126" spans="3:3" x14ac:dyDescent="0.25">
      <c r="C126" s="350"/>
    </row>
    <row r="127" spans="3:3" x14ac:dyDescent="0.25">
      <c r="C127" s="350"/>
    </row>
    <row r="128" spans="3:3" x14ac:dyDescent="0.25">
      <c r="C128" s="350"/>
    </row>
    <row r="129" spans="3:3" x14ac:dyDescent="0.25">
      <c r="C129" s="350"/>
    </row>
    <row r="130" spans="3:3" x14ac:dyDescent="0.25">
      <c r="C130" s="350"/>
    </row>
    <row r="131" spans="3:3" x14ac:dyDescent="0.25">
      <c r="C131" s="350"/>
    </row>
    <row r="132" spans="3:3" x14ac:dyDescent="0.25">
      <c r="C132" s="350"/>
    </row>
    <row r="133" spans="3:3" x14ac:dyDescent="0.25">
      <c r="C133" s="350"/>
    </row>
    <row r="134" spans="3:3" x14ac:dyDescent="0.25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2001-05-04T20:56:24Z</cp:lastPrinted>
  <dcterms:created xsi:type="dcterms:W3CDTF">1997-07-25T21:14:12Z</dcterms:created>
  <dcterms:modified xsi:type="dcterms:W3CDTF">2023-09-10T15:45:03Z</dcterms:modified>
</cp:coreProperties>
</file>