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456" yWindow="0" windowWidth="14220" windowHeight="8328" activeTab="4"/>
  </bookViews>
  <sheets>
    <sheet name="Net 284" sheetId="49" r:id="rId1"/>
    <sheet name="NFUL_daily" sheetId="51" r:id="rId2"/>
    <sheet name="Trco_NFUL" sheetId="47" r:id="rId3"/>
    <sheet name="Tickets" sheetId="1" r:id="rId4"/>
    <sheet name="price_calc" sheetId="3" r:id="rId5"/>
    <sheet name="Sheet1" sheetId="53" r:id="rId6"/>
    <sheet name="5th" sheetId="52" r:id="rId7"/>
    <sheet name="2nd" sheetId="48" r:id="rId8"/>
    <sheet name="1st" sheetId="30" r:id="rId9"/>
    <sheet name="Trco" sheetId="31" r:id="rId10"/>
  </sheets>
  <calcPr calcId="92512"/>
</workbook>
</file>

<file path=xl/calcChain.xml><?xml version="1.0" encoding="utf-8"?>
<calcChain xmlns="http://schemas.openxmlformats.org/spreadsheetml/2006/main">
  <c r="E8" i="30" l="1"/>
  <c r="F8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2" i="30"/>
  <c r="F22" i="30"/>
  <c r="E23" i="30"/>
  <c r="F23" i="30"/>
  <c r="E25" i="30"/>
  <c r="F25" i="30"/>
  <c r="E26" i="30"/>
  <c r="F26" i="30"/>
  <c r="E27" i="30"/>
  <c r="F27" i="30"/>
  <c r="E28" i="30"/>
  <c r="F28" i="30"/>
  <c r="E29" i="30"/>
  <c r="F29" i="30"/>
  <c r="E31" i="30"/>
  <c r="F31" i="30"/>
  <c r="E32" i="30"/>
  <c r="F32" i="30"/>
  <c r="E34" i="30"/>
  <c r="F34" i="30"/>
  <c r="E35" i="30"/>
  <c r="F35" i="30"/>
  <c r="E37" i="30"/>
  <c r="F37" i="30"/>
  <c r="E38" i="30"/>
  <c r="F38" i="30"/>
  <c r="E40" i="30"/>
  <c r="F40" i="30"/>
  <c r="E41" i="30"/>
  <c r="F41" i="30"/>
  <c r="C43" i="30"/>
  <c r="E43" i="30"/>
  <c r="F43" i="30"/>
  <c r="E44" i="30"/>
  <c r="F44" i="30"/>
  <c r="C45" i="30"/>
  <c r="E45" i="30"/>
  <c r="F45" i="30"/>
  <c r="B46" i="30"/>
  <c r="E46" i="30"/>
  <c r="F46" i="30"/>
  <c r="E47" i="30"/>
  <c r="F47" i="30"/>
  <c r="B48" i="30"/>
  <c r="C48" i="30"/>
  <c r="E48" i="30"/>
  <c r="F48" i="30"/>
  <c r="E49" i="30"/>
  <c r="F49" i="30"/>
  <c r="B50" i="30"/>
  <c r="E50" i="30"/>
  <c r="F50" i="30"/>
  <c r="B51" i="30"/>
  <c r="E51" i="30"/>
  <c r="F51" i="30"/>
  <c r="C54" i="30"/>
  <c r="E54" i="30"/>
  <c r="F54" i="30"/>
  <c r="B55" i="30"/>
  <c r="E55" i="30"/>
  <c r="F55" i="30"/>
  <c r="C56" i="30"/>
  <c r="E56" i="30"/>
  <c r="F56" i="30"/>
  <c r="E57" i="30"/>
  <c r="F57" i="30"/>
  <c r="B58" i="30"/>
  <c r="E58" i="30"/>
  <c r="F58" i="30"/>
  <c r="E65" i="30"/>
  <c r="F65" i="30"/>
  <c r="E66" i="30"/>
  <c r="F66" i="30"/>
  <c r="E67" i="30"/>
  <c r="F67" i="30"/>
  <c r="E70" i="30"/>
  <c r="F70" i="30"/>
  <c r="B71" i="30"/>
  <c r="E72" i="30"/>
  <c r="F72" i="30"/>
  <c r="E73" i="30"/>
  <c r="F73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5" i="30"/>
  <c r="F85" i="30"/>
  <c r="E86" i="30"/>
  <c r="F86" i="30"/>
  <c r="B87" i="30"/>
  <c r="C89" i="30"/>
  <c r="F89" i="30"/>
  <c r="C90" i="30"/>
  <c r="F90" i="30"/>
  <c r="C91" i="30"/>
  <c r="F91" i="30"/>
  <c r="C92" i="30"/>
  <c r="F92" i="30"/>
  <c r="B93" i="30"/>
  <c r="C93" i="30"/>
  <c r="B94" i="30"/>
  <c r="E98" i="30"/>
  <c r="F98" i="30"/>
  <c r="E99" i="30"/>
  <c r="F99" i="30"/>
  <c r="B100" i="30"/>
  <c r="C102" i="30"/>
  <c r="F102" i="30"/>
  <c r="C103" i="30"/>
  <c r="F103" i="30"/>
  <c r="C104" i="30"/>
  <c r="F104" i="30"/>
  <c r="C105" i="30"/>
  <c r="F105" i="30"/>
  <c r="C106" i="30"/>
  <c r="F106" i="30"/>
  <c r="C107" i="30"/>
  <c r="F107" i="30"/>
  <c r="C108" i="30"/>
  <c r="F108" i="30"/>
  <c r="C109" i="30"/>
  <c r="F109" i="30"/>
  <c r="C110" i="30"/>
  <c r="F110" i="30"/>
  <c r="B111" i="30"/>
  <c r="C111" i="30"/>
  <c r="B112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B121" i="30"/>
  <c r="C123" i="30"/>
  <c r="F123" i="30"/>
  <c r="C124" i="30"/>
  <c r="F124" i="30"/>
  <c r="C125" i="30"/>
  <c r="F125" i="30"/>
  <c r="C126" i="30"/>
  <c r="F126" i="30"/>
  <c r="C127" i="30"/>
  <c r="F127" i="30"/>
  <c r="C128" i="30"/>
  <c r="F128" i="30"/>
  <c r="C129" i="30"/>
  <c r="F129" i="30"/>
  <c r="C130" i="30"/>
  <c r="F130" i="30"/>
  <c r="C131" i="30"/>
  <c r="F131" i="30"/>
  <c r="C132" i="30"/>
  <c r="F132" i="30"/>
  <c r="C133" i="30"/>
  <c r="F133" i="30"/>
  <c r="C134" i="30"/>
  <c r="F134" i="30"/>
  <c r="C135" i="30"/>
  <c r="F135" i="30"/>
  <c r="C136" i="30"/>
  <c r="F136" i="30"/>
  <c r="B137" i="30"/>
  <c r="C137" i="30"/>
  <c r="B138" i="30"/>
  <c r="B140" i="30"/>
  <c r="B143" i="30"/>
  <c r="E143" i="30"/>
  <c r="F143" i="30"/>
  <c r="B145" i="30"/>
  <c r="E145" i="30"/>
  <c r="F145" i="30"/>
  <c r="G145" i="30"/>
  <c r="G147" i="30"/>
  <c r="G148" i="30"/>
  <c r="C156" i="30"/>
  <c r="C157" i="30"/>
  <c r="E8" i="48"/>
  <c r="F8" i="48"/>
  <c r="E9" i="48"/>
  <c r="F9" i="48"/>
  <c r="E10" i="48"/>
  <c r="F10" i="48"/>
  <c r="E11" i="48"/>
  <c r="F11" i="48"/>
  <c r="E12" i="48"/>
  <c r="F12" i="48"/>
  <c r="E13" i="48"/>
  <c r="F13" i="48"/>
  <c r="E14" i="48"/>
  <c r="F14" i="48"/>
  <c r="E15" i="48"/>
  <c r="F15" i="48"/>
  <c r="E16" i="48"/>
  <c r="F16" i="48"/>
  <c r="E17" i="48"/>
  <c r="F17" i="48"/>
  <c r="E18" i="48"/>
  <c r="F18" i="48"/>
  <c r="E19" i="48"/>
  <c r="F19" i="48"/>
  <c r="E20" i="48"/>
  <c r="F20" i="48"/>
  <c r="E22" i="48"/>
  <c r="F22" i="48"/>
  <c r="E23" i="48"/>
  <c r="F23" i="48"/>
  <c r="E25" i="48"/>
  <c r="F25" i="48"/>
  <c r="E26" i="48"/>
  <c r="F26" i="48"/>
  <c r="E27" i="48"/>
  <c r="F27" i="48"/>
  <c r="E28" i="48"/>
  <c r="F28" i="48"/>
  <c r="E29" i="48"/>
  <c r="F29" i="48"/>
  <c r="E31" i="48"/>
  <c r="F31" i="48"/>
  <c r="E32" i="48"/>
  <c r="F32" i="48"/>
  <c r="E33" i="48"/>
  <c r="F33" i="48"/>
  <c r="E34" i="48"/>
  <c r="F34" i="48"/>
  <c r="E36" i="48"/>
  <c r="F36" i="48"/>
  <c r="E37" i="48"/>
  <c r="F37" i="48"/>
  <c r="E39" i="48"/>
  <c r="F39" i="48"/>
  <c r="E40" i="48"/>
  <c r="F40" i="48"/>
  <c r="C42" i="48"/>
  <c r="E42" i="48"/>
  <c r="F42" i="48"/>
  <c r="E43" i="48"/>
  <c r="F43" i="48"/>
  <c r="C44" i="48"/>
  <c r="E44" i="48"/>
  <c r="F44" i="48"/>
  <c r="B45" i="48"/>
  <c r="E45" i="48"/>
  <c r="F45" i="48"/>
  <c r="E46" i="48"/>
  <c r="F46" i="48"/>
  <c r="B47" i="48"/>
  <c r="C47" i="48"/>
  <c r="E47" i="48"/>
  <c r="F47" i="48"/>
  <c r="E48" i="48"/>
  <c r="F48" i="48"/>
  <c r="B49" i="48"/>
  <c r="E49" i="48"/>
  <c r="F49" i="48"/>
  <c r="B50" i="48"/>
  <c r="E50" i="48"/>
  <c r="F50" i="48"/>
  <c r="C53" i="48"/>
  <c r="E53" i="48"/>
  <c r="F53" i="48"/>
  <c r="B54" i="48"/>
  <c r="E54" i="48"/>
  <c r="F54" i="48"/>
  <c r="C55" i="48"/>
  <c r="E55" i="48"/>
  <c r="F55" i="48"/>
  <c r="B56" i="48"/>
  <c r="E56" i="48"/>
  <c r="F56" i="48"/>
  <c r="E63" i="48"/>
  <c r="F63" i="48"/>
  <c r="E64" i="48"/>
  <c r="F64" i="48"/>
  <c r="E65" i="48"/>
  <c r="F65" i="48"/>
  <c r="E68" i="48"/>
  <c r="F68" i="48"/>
  <c r="B69" i="48"/>
  <c r="E70" i="48"/>
  <c r="F70" i="48"/>
  <c r="B71" i="48"/>
  <c r="E72" i="48"/>
  <c r="F72" i="48"/>
  <c r="E73" i="48"/>
  <c r="F73" i="48"/>
  <c r="E76" i="48"/>
  <c r="F76" i="48"/>
  <c r="E77" i="48"/>
  <c r="F77" i="48"/>
  <c r="E78" i="48"/>
  <c r="F78" i="48"/>
  <c r="E79" i="48"/>
  <c r="F79" i="48"/>
  <c r="E80" i="48"/>
  <c r="F80" i="48"/>
  <c r="E81" i="48"/>
  <c r="F81" i="48"/>
  <c r="E85" i="48"/>
  <c r="F85" i="48"/>
  <c r="E86" i="48"/>
  <c r="F86" i="48"/>
  <c r="B87" i="48"/>
  <c r="C89" i="48"/>
  <c r="F89" i="48"/>
  <c r="C90" i="48"/>
  <c r="F90" i="48"/>
  <c r="C91" i="48"/>
  <c r="F91" i="48"/>
  <c r="C92" i="48"/>
  <c r="F92" i="48"/>
  <c r="B93" i="48"/>
  <c r="C93" i="48"/>
  <c r="B94" i="48"/>
  <c r="E98" i="48"/>
  <c r="F98" i="48"/>
  <c r="E99" i="48"/>
  <c r="F99" i="48"/>
  <c r="B100" i="48"/>
  <c r="C102" i="48"/>
  <c r="F102" i="48"/>
  <c r="C103" i="48"/>
  <c r="F103" i="48"/>
  <c r="C104" i="48"/>
  <c r="F104" i="48"/>
  <c r="C105" i="48"/>
  <c r="F105" i="48"/>
  <c r="C106" i="48"/>
  <c r="F106" i="48"/>
  <c r="C107" i="48"/>
  <c r="F107" i="48"/>
  <c r="C108" i="48"/>
  <c r="F108" i="48"/>
  <c r="C109" i="48"/>
  <c r="F109" i="48"/>
  <c r="C110" i="48"/>
  <c r="F110" i="48"/>
  <c r="B111" i="48"/>
  <c r="C111" i="48"/>
  <c r="B112" i="48"/>
  <c r="E115" i="48"/>
  <c r="F115" i="48"/>
  <c r="E116" i="48"/>
  <c r="F116" i="48"/>
  <c r="E117" i="48"/>
  <c r="F117" i="48"/>
  <c r="E118" i="48"/>
  <c r="F118" i="48"/>
  <c r="E119" i="48"/>
  <c r="F119" i="48"/>
  <c r="E120" i="48"/>
  <c r="F120" i="48"/>
  <c r="B121" i="48"/>
  <c r="C123" i="48"/>
  <c r="F123" i="48"/>
  <c r="C124" i="48"/>
  <c r="F124" i="48"/>
  <c r="C125" i="48"/>
  <c r="F125" i="48"/>
  <c r="C126" i="48"/>
  <c r="F126" i="48"/>
  <c r="C127" i="48"/>
  <c r="F127" i="48"/>
  <c r="C128" i="48"/>
  <c r="F128" i="48"/>
  <c r="C129" i="48"/>
  <c r="F129" i="48"/>
  <c r="C130" i="48"/>
  <c r="F130" i="48"/>
  <c r="C131" i="48"/>
  <c r="F131" i="48"/>
  <c r="C132" i="48"/>
  <c r="F132" i="48"/>
  <c r="C133" i="48"/>
  <c r="F133" i="48"/>
  <c r="C134" i="48"/>
  <c r="F134" i="48"/>
  <c r="C135" i="48"/>
  <c r="F135" i="48"/>
  <c r="C136" i="48"/>
  <c r="F136" i="48"/>
  <c r="B137" i="48"/>
  <c r="C137" i="48"/>
  <c r="B138" i="48"/>
  <c r="B140" i="48"/>
  <c r="B143" i="48"/>
  <c r="E143" i="48"/>
  <c r="F143" i="48"/>
  <c r="B145" i="48"/>
  <c r="E145" i="48"/>
  <c r="F145" i="48"/>
  <c r="G145" i="48"/>
  <c r="G147" i="48"/>
  <c r="G148" i="48"/>
  <c r="C156" i="48"/>
  <c r="C157" i="48"/>
  <c r="E8" i="52"/>
  <c r="F8" i="52"/>
  <c r="E9" i="52"/>
  <c r="F9" i="52"/>
  <c r="E10" i="52"/>
  <c r="F10" i="52"/>
  <c r="E11" i="52"/>
  <c r="F11" i="52"/>
  <c r="E12" i="52"/>
  <c r="F12" i="52"/>
  <c r="E13" i="52"/>
  <c r="F13" i="52"/>
  <c r="E14" i="52"/>
  <c r="F14" i="52"/>
  <c r="E15" i="52"/>
  <c r="F15" i="52"/>
  <c r="E16" i="52"/>
  <c r="F16" i="52"/>
  <c r="E17" i="52"/>
  <c r="F17" i="52"/>
  <c r="E18" i="52"/>
  <c r="F18" i="52"/>
  <c r="E20" i="52"/>
  <c r="F20" i="52"/>
  <c r="E21" i="52"/>
  <c r="F21" i="52"/>
  <c r="E23" i="52"/>
  <c r="F23" i="52"/>
  <c r="E24" i="52"/>
  <c r="F24" i="52"/>
  <c r="E25" i="52"/>
  <c r="F25" i="52"/>
  <c r="E26" i="52"/>
  <c r="F26" i="52"/>
  <c r="E27" i="52"/>
  <c r="F27" i="52"/>
  <c r="E29" i="52"/>
  <c r="F29" i="52"/>
  <c r="E30" i="52"/>
  <c r="F30" i="52"/>
  <c r="E31" i="52"/>
  <c r="F31" i="52"/>
  <c r="E32" i="52"/>
  <c r="F32" i="52"/>
  <c r="E34" i="52"/>
  <c r="F34" i="52"/>
  <c r="E35" i="52"/>
  <c r="F35" i="52"/>
  <c r="E37" i="52"/>
  <c r="F37" i="52"/>
  <c r="E38" i="52"/>
  <c r="F38" i="52"/>
  <c r="C40" i="52"/>
  <c r="E40" i="52"/>
  <c r="F40" i="52"/>
  <c r="E41" i="52"/>
  <c r="F41" i="52"/>
  <c r="C42" i="52"/>
  <c r="E42" i="52"/>
  <c r="F42" i="52"/>
  <c r="B43" i="52"/>
  <c r="E43" i="52"/>
  <c r="F43" i="52"/>
  <c r="E44" i="52"/>
  <c r="F44" i="52"/>
  <c r="B45" i="52"/>
  <c r="C45" i="52"/>
  <c r="E45" i="52"/>
  <c r="F45" i="52"/>
  <c r="E46" i="52"/>
  <c r="F46" i="52"/>
  <c r="B47" i="52"/>
  <c r="E47" i="52"/>
  <c r="F47" i="52"/>
  <c r="B48" i="52"/>
  <c r="E48" i="52"/>
  <c r="F48" i="52"/>
  <c r="C51" i="52"/>
  <c r="E51" i="52"/>
  <c r="F51" i="52"/>
  <c r="B52" i="52"/>
  <c r="E52" i="52"/>
  <c r="F52" i="52"/>
  <c r="C53" i="52"/>
  <c r="E53" i="52"/>
  <c r="F53" i="52"/>
  <c r="B54" i="52"/>
  <c r="E54" i="52"/>
  <c r="F54" i="52"/>
  <c r="E61" i="52"/>
  <c r="F61" i="52"/>
  <c r="E62" i="52"/>
  <c r="F62" i="52"/>
  <c r="E63" i="52"/>
  <c r="F63" i="52"/>
  <c r="E66" i="52"/>
  <c r="F66" i="52"/>
  <c r="B67" i="52"/>
  <c r="E68" i="52"/>
  <c r="F68" i="52"/>
  <c r="B69" i="52"/>
  <c r="E70" i="52"/>
  <c r="F70" i="52"/>
  <c r="B71" i="52"/>
  <c r="E72" i="52"/>
  <c r="F72" i="52"/>
  <c r="E73" i="52"/>
  <c r="F73" i="52"/>
  <c r="E76" i="52"/>
  <c r="F76" i="52"/>
  <c r="E77" i="52"/>
  <c r="F77" i="52"/>
  <c r="E78" i="52"/>
  <c r="F78" i="52"/>
  <c r="E79" i="52"/>
  <c r="F79" i="52"/>
  <c r="E80" i="52"/>
  <c r="F80" i="52"/>
  <c r="E81" i="52"/>
  <c r="F81" i="52"/>
  <c r="E85" i="52"/>
  <c r="F85" i="52"/>
  <c r="E86" i="52"/>
  <c r="F86" i="52"/>
  <c r="B87" i="52"/>
  <c r="C89" i="52"/>
  <c r="F89" i="52"/>
  <c r="C90" i="52"/>
  <c r="F90" i="52"/>
  <c r="C91" i="52"/>
  <c r="F91" i="52"/>
  <c r="C92" i="52"/>
  <c r="F92" i="52"/>
  <c r="B93" i="52"/>
  <c r="C93" i="52"/>
  <c r="B94" i="52"/>
  <c r="E98" i="52"/>
  <c r="F98" i="52"/>
  <c r="E99" i="52"/>
  <c r="F99" i="52"/>
  <c r="B100" i="52"/>
  <c r="C102" i="52"/>
  <c r="F102" i="52"/>
  <c r="C103" i="52"/>
  <c r="F103" i="52"/>
  <c r="C104" i="52"/>
  <c r="F104" i="52"/>
  <c r="C105" i="52"/>
  <c r="F105" i="52"/>
  <c r="C106" i="52"/>
  <c r="F106" i="52"/>
  <c r="C107" i="52"/>
  <c r="F107" i="52"/>
  <c r="C108" i="52"/>
  <c r="F108" i="52"/>
  <c r="C109" i="52"/>
  <c r="F109" i="52"/>
  <c r="C110" i="52"/>
  <c r="F110" i="52"/>
  <c r="B111" i="52"/>
  <c r="C111" i="52"/>
  <c r="B112" i="52"/>
  <c r="E115" i="52"/>
  <c r="F115" i="52"/>
  <c r="E116" i="52"/>
  <c r="F116" i="52"/>
  <c r="E117" i="52"/>
  <c r="F117" i="52"/>
  <c r="E118" i="52"/>
  <c r="F118" i="52"/>
  <c r="E119" i="52"/>
  <c r="F119" i="52"/>
  <c r="E120" i="52"/>
  <c r="F120" i="52"/>
  <c r="B121" i="52"/>
  <c r="C123" i="52"/>
  <c r="F123" i="52"/>
  <c r="C124" i="52"/>
  <c r="F124" i="52"/>
  <c r="C125" i="52"/>
  <c r="F125" i="52"/>
  <c r="C126" i="52"/>
  <c r="F126" i="52"/>
  <c r="C127" i="52"/>
  <c r="F127" i="52"/>
  <c r="C128" i="52"/>
  <c r="F128" i="52"/>
  <c r="C129" i="52"/>
  <c r="F129" i="52"/>
  <c r="C130" i="52"/>
  <c r="F130" i="52"/>
  <c r="C131" i="52"/>
  <c r="F131" i="52"/>
  <c r="C132" i="52"/>
  <c r="F132" i="52"/>
  <c r="C133" i="52"/>
  <c r="F133" i="52"/>
  <c r="C134" i="52"/>
  <c r="F134" i="52"/>
  <c r="C135" i="52"/>
  <c r="F135" i="52"/>
  <c r="C136" i="52"/>
  <c r="F136" i="52"/>
  <c r="B137" i="52"/>
  <c r="C137" i="52"/>
  <c r="B138" i="52"/>
  <c r="B140" i="52"/>
  <c r="B143" i="52"/>
  <c r="E143" i="52"/>
  <c r="F143" i="52"/>
  <c r="B145" i="52"/>
  <c r="E145" i="52"/>
  <c r="F145" i="52"/>
  <c r="G145" i="52"/>
  <c r="G147" i="52"/>
  <c r="G148" i="52"/>
  <c r="C156" i="52"/>
  <c r="C157" i="52"/>
  <c r="C11" i="49"/>
  <c r="D11" i="49"/>
  <c r="E14" i="49"/>
  <c r="C19" i="49"/>
  <c r="D19" i="49"/>
  <c r="C22" i="49"/>
  <c r="D22" i="49"/>
  <c r="E4" i="51"/>
  <c r="D6" i="51"/>
  <c r="E6" i="51"/>
  <c r="D10" i="51"/>
  <c r="E10" i="51"/>
  <c r="D11" i="51"/>
  <c r="E11" i="51"/>
  <c r="D12" i="51"/>
  <c r="E12" i="51"/>
  <c r="D14" i="51"/>
  <c r="E14" i="51"/>
  <c r="D17" i="51"/>
  <c r="E17" i="51"/>
  <c r="D18" i="51"/>
  <c r="E18" i="51"/>
  <c r="D19" i="51"/>
  <c r="E19" i="51"/>
  <c r="D21" i="51"/>
  <c r="E21" i="51"/>
  <c r="D24" i="51"/>
  <c r="E24" i="51"/>
  <c r="D25" i="51"/>
  <c r="E25" i="51"/>
  <c r="D26" i="51"/>
  <c r="E26" i="51"/>
  <c r="D27" i="51"/>
  <c r="E27" i="51"/>
  <c r="D28" i="51"/>
  <c r="E28" i="51"/>
  <c r="D33" i="51"/>
  <c r="E33" i="51"/>
  <c r="E34" i="51"/>
  <c r="D35" i="51"/>
  <c r="E35" i="51"/>
  <c r="D37" i="51"/>
  <c r="D39" i="51"/>
  <c r="F4" i="3"/>
  <c r="G4" i="3"/>
  <c r="I4" i="3"/>
  <c r="J4" i="3"/>
  <c r="L4" i="3"/>
  <c r="F6" i="3"/>
  <c r="I6" i="3"/>
  <c r="J6" i="3"/>
  <c r="M6" i="3"/>
  <c r="J7" i="3"/>
  <c r="F8" i="3"/>
  <c r="G8" i="3"/>
  <c r="I8" i="3"/>
  <c r="J8" i="3"/>
  <c r="M8" i="3"/>
  <c r="N8" i="3"/>
  <c r="O8" i="3"/>
  <c r="R8" i="3"/>
  <c r="F9" i="3"/>
  <c r="G9" i="3"/>
  <c r="I9" i="3"/>
  <c r="J9" i="3"/>
  <c r="L9" i="3"/>
  <c r="N9" i="3"/>
  <c r="O9" i="3"/>
  <c r="Q9" i="3"/>
  <c r="R9" i="3"/>
  <c r="G10" i="3"/>
  <c r="I10" i="3"/>
  <c r="J10" i="3"/>
  <c r="L10" i="3"/>
  <c r="M10" i="3"/>
  <c r="O10" i="3"/>
  <c r="Q10" i="3"/>
  <c r="R10" i="3"/>
  <c r="G11" i="3"/>
  <c r="I11" i="3"/>
  <c r="J11" i="3"/>
  <c r="L11" i="3"/>
  <c r="M11" i="3"/>
  <c r="N11" i="3"/>
  <c r="Q11" i="3"/>
  <c r="R11" i="3"/>
  <c r="B12" i="3"/>
  <c r="I12" i="3"/>
  <c r="C14" i="3"/>
  <c r="G14" i="3"/>
  <c r="I14" i="3"/>
  <c r="J14" i="3"/>
  <c r="M14" i="3"/>
  <c r="N14" i="3"/>
  <c r="O14" i="3"/>
  <c r="R14" i="3"/>
  <c r="C15" i="3"/>
  <c r="G15" i="3"/>
  <c r="I15" i="3"/>
  <c r="J15" i="3"/>
  <c r="L15" i="3"/>
  <c r="N15" i="3"/>
  <c r="O15" i="3"/>
  <c r="Q15" i="3"/>
  <c r="R15" i="3"/>
  <c r="C16" i="3"/>
  <c r="G16" i="3"/>
  <c r="I16" i="3"/>
  <c r="J16" i="3"/>
  <c r="L16" i="3"/>
  <c r="M16" i="3"/>
  <c r="O16" i="3"/>
  <c r="Q16" i="3"/>
  <c r="R16" i="3"/>
  <c r="C17" i="3"/>
  <c r="G17" i="3"/>
  <c r="I17" i="3"/>
  <c r="J17" i="3"/>
  <c r="L17" i="3"/>
  <c r="M17" i="3"/>
  <c r="N17" i="3"/>
  <c r="Q17" i="3"/>
  <c r="R17" i="3"/>
  <c r="B18" i="3"/>
  <c r="I18" i="3"/>
  <c r="C20" i="3"/>
  <c r="F20" i="3"/>
  <c r="G20" i="3"/>
  <c r="I20" i="3"/>
  <c r="J20" i="3"/>
  <c r="C21" i="3"/>
  <c r="F21" i="3"/>
  <c r="G21" i="3"/>
  <c r="I21" i="3"/>
  <c r="J21" i="3"/>
  <c r="C22" i="3"/>
  <c r="F22" i="3"/>
  <c r="G22" i="3"/>
  <c r="I22" i="3"/>
  <c r="J22" i="3"/>
  <c r="B23" i="3"/>
  <c r="I23" i="3"/>
  <c r="F28" i="3"/>
  <c r="G28" i="3"/>
  <c r="I28" i="3"/>
  <c r="J28" i="3"/>
  <c r="L28" i="3"/>
  <c r="M28" i="3"/>
  <c r="N28" i="3"/>
  <c r="F29" i="3"/>
  <c r="G29" i="3"/>
  <c r="I29" i="3"/>
  <c r="J29" i="3"/>
  <c r="L29" i="3"/>
  <c r="M29" i="3"/>
  <c r="N29" i="3"/>
  <c r="A30" i="3"/>
  <c r="F30" i="3"/>
  <c r="G30" i="3"/>
  <c r="I30" i="3"/>
  <c r="J30" i="3"/>
  <c r="M30" i="3"/>
  <c r="N30" i="3"/>
  <c r="F31" i="3"/>
  <c r="G31" i="3"/>
  <c r="I31" i="3"/>
  <c r="J31" i="3"/>
  <c r="L31" i="3"/>
  <c r="N31" i="3"/>
  <c r="F32" i="3"/>
  <c r="G32" i="3"/>
  <c r="I32" i="3"/>
  <c r="J32" i="3"/>
  <c r="L32" i="3"/>
  <c r="M32" i="3"/>
  <c r="F33" i="3"/>
  <c r="G33" i="3"/>
  <c r="I33" i="3"/>
  <c r="J33" i="3"/>
  <c r="F34" i="3"/>
  <c r="G34" i="3"/>
  <c r="I34" i="3"/>
  <c r="J34" i="3"/>
  <c r="G35" i="3"/>
  <c r="I35" i="3"/>
  <c r="J35" i="3"/>
  <c r="G36" i="3"/>
  <c r="I36" i="3"/>
  <c r="J36" i="3"/>
  <c r="I37" i="3"/>
  <c r="J37" i="3"/>
  <c r="B38" i="3"/>
  <c r="I38" i="3"/>
  <c r="F40" i="3"/>
  <c r="I40" i="3"/>
  <c r="F45" i="3"/>
  <c r="G45" i="3"/>
  <c r="I45" i="3"/>
  <c r="J45" i="3"/>
  <c r="C46" i="3"/>
  <c r="F46" i="3"/>
  <c r="G46" i="3"/>
  <c r="J46" i="3"/>
  <c r="L46" i="3"/>
  <c r="F47" i="3"/>
  <c r="G47" i="3"/>
  <c r="J47" i="3"/>
  <c r="L47" i="3"/>
  <c r="J48" i="3"/>
  <c r="F53" i="3"/>
  <c r="G53" i="3"/>
  <c r="I53" i="3"/>
  <c r="J53" i="3"/>
  <c r="C55" i="3"/>
  <c r="F55" i="3"/>
  <c r="G55" i="3"/>
  <c r="I55" i="3"/>
  <c r="J55" i="3"/>
  <c r="M55" i="3"/>
  <c r="C56" i="3"/>
  <c r="F56" i="3"/>
  <c r="G56" i="3"/>
  <c r="I56" i="3"/>
  <c r="J56" i="3"/>
  <c r="F58" i="3"/>
  <c r="G62" i="3"/>
  <c r="I62" i="3"/>
  <c r="J62" i="3"/>
  <c r="G63" i="3"/>
  <c r="I63" i="3"/>
  <c r="J63" i="3"/>
  <c r="C65" i="3"/>
  <c r="G65" i="3"/>
  <c r="I65" i="3"/>
  <c r="J65" i="3"/>
  <c r="G66" i="3"/>
  <c r="I66" i="3"/>
  <c r="J66" i="3"/>
  <c r="E8" i="53"/>
  <c r="F8" i="53"/>
  <c r="E9" i="53"/>
  <c r="F9" i="53"/>
  <c r="E10" i="53"/>
  <c r="F10" i="53"/>
  <c r="E11" i="53"/>
  <c r="F11" i="53"/>
  <c r="E12" i="53"/>
  <c r="F12" i="53"/>
  <c r="E13" i="53"/>
  <c r="F13" i="53"/>
  <c r="E14" i="53"/>
  <c r="F14" i="53"/>
  <c r="E15" i="53"/>
  <c r="F15" i="53"/>
  <c r="E16" i="53"/>
  <c r="F16" i="53"/>
  <c r="E17" i="53"/>
  <c r="F17" i="53"/>
  <c r="E18" i="53"/>
  <c r="F18" i="53"/>
  <c r="E20" i="53"/>
  <c r="F20" i="53"/>
  <c r="E21" i="53"/>
  <c r="F21" i="53"/>
  <c r="E23" i="53"/>
  <c r="F23" i="53"/>
  <c r="E24" i="53"/>
  <c r="F24" i="53"/>
  <c r="E25" i="53"/>
  <c r="F25" i="53"/>
  <c r="E26" i="53"/>
  <c r="F26" i="53"/>
  <c r="E27" i="53"/>
  <c r="F27" i="53"/>
  <c r="E29" i="53"/>
  <c r="F29" i="53"/>
  <c r="E30" i="53"/>
  <c r="F30" i="53"/>
  <c r="E31" i="53"/>
  <c r="F31" i="53"/>
  <c r="E32" i="53"/>
  <c r="F32" i="53"/>
  <c r="E34" i="53"/>
  <c r="F34" i="53"/>
  <c r="E35" i="53"/>
  <c r="F35" i="53"/>
  <c r="E37" i="53"/>
  <c r="F37" i="53"/>
  <c r="E38" i="53"/>
  <c r="F38" i="53"/>
  <c r="C40" i="53"/>
  <c r="E40" i="53"/>
  <c r="F40" i="53"/>
  <c r="E41" i="53"/>
  <c r="F41" i="53"/>
  <c r="C42" i="53"/>
  <c r="E42" i="53"/>
  <c r="F42" i="53"/>
  <c r="B43" i="53"/>
  <c r="E43" i="53"/>
  <c r="F43" i="53"/>
  <c r="E44" i="53"/>
  <c r="F44" i="53"/>
  <c r="B45" i="53"/>
  <c r="C45" i="53"/>
  <c r="E45" i="53"/>
  <c r="F45" i="53"/>
  <c r="E46" i="53"/>
  <c r="F46" i="53"/>
  <c r="B47" i="53"/>
  <c r="E47" i="53"/>
  <c r="F47" i="53"/>
  <c r="B48" i="53"/>
  <c r="E48" i="53"/>
  <c r="F48" i="53"/>
  <c r="C51" i="53"/>
  <c r="E51" i="53"/>
  <c r="F51" i="53"/>
  <c r="B52" i="53"/>
  <c r="E52" i="53"/>
  <c r="F52" i="53"/>
  <c r="C53" i="53"/>
  <c r="E53" i="53"/>
  <c r="F53" i="53"/>
  <c r="B54" i="53"/>
  <c r="E54" i="53"/>
  <c r="F54" i="53"/>
  <c r="E61" i="53"/>
  <c r="F61" i="53"/>
  <c r="E62" i="53"/>
  <c r="F62" i="53"/>
  <c r="E63" i="53"/>
  <c r="F63" i="53"/>
  <c r="E66" i="53"/>
  <c r="F66" i="53"/>
  <c r="B67" i="53"/>
  <c r="E68" i="53"/>
  <c r="F68" i="53"/>
  <c r="B69" i="53"/>
  <c r="E70" i="53"/>
  <c r="F70" i="53"/>
  <c r="B71" i="53"/>
  <c r="E72" i="53"/>
  <c r="F72" i="53"/>
  <c r="E73" i="53"/>
  <c r="F73" i="53"/>
  <c r="E76" i="53"/>
  <c r="F76" i="53"/>
  <c r="E77" i="53"/>
  <c r="F77" i="53"/>
  <c r="E78" i="53"/>
  <c r="F78" i="53"/>
  <c r="E79" i="53"/>
  <c r="F79" i="53"/>
  <c r="E80" i="53"/>
  <c r="F80" i="53"/>
  <c r="E81" i="53"/>
  <c r="F81" i="53"/>
  <c r="E85" i="53"/>
  <c r="F85" i="53"/>
  <c r="E86" i="53"/>
  <c r="F86" i="53"/>
  <c r="B87" i="53"/>
  <c r="C89" i="53"/>
  <c r="F89" i="53"/>
  <c r="C90" i="53"/>
  <c r="F90" i="53"/>
  <c r="C91" i="53"/>
  <c r="F91" i="53"/>
  <c r="C92" i="53"/>
  <c r="F92" i="53"/>
  <c r="B93" i="53"/>
  <c r="C93" i="53"/>
  <c r="B94" i="53"/>
  <c r="E98" i="53"/>
  <c r="F98" i="53"/>
  <c r="E99" i="53"/>
  <c r="F99" i="53"/>
  <c r="B100" i="53"/>
  <c r="C102" i="53"/>
  <c r="F102" i="53"/>
  <c r="C103" i="53"/>
  <c r="F103" i="53"/>
  <c r="C104" i="53"/>
  <c r="F104" i="53"/>
  <c r="C105" i="53"/>
  <c r="F105" i="53"/>
  <c r="C106" i="53"/>
  <c r="F106" i="53"/>
  <c r="C107" i="53"/>
  <c r="F107" i="53"/>
  <c r="C108" i="53"/>
  <c r="F108" i="53"/>
  <c r="C109" i="53"/>
  <c r="F109" i="53"/>
  <c r="C110" i="53"/>
  <c r="F110" i="53"/>
  <c r="B111" i="53"/>
  <c r="C111" i="53"/>
  <c r="B112" i="53"/>
  <c r="E115" i="53"/>
  <c r="F115" i="53"/>
  <c r="E116" i="53"/>
  <c r="F116" i="53"/>
  <c r="E117" i="53"/>
  <c r="F117" i="53"/>
  <c r="E118" i="53"/>
  <c r="F118" i="53"/>
  <c r="E119" i="53"/>
  <c r="F119" i="53"/>
  <c r="E120" i="53"/>
  <c r="F120" i="53"/>
  <c r="B121" i="53"/>
  <c r="C123" i="53"/>
  <c r="F123" i="53"/>
  <c r="C124" i="53"/>
  <c r="F124" i="53"/>
  <c r="C125" i="53"/>
  <c r="F125" i="53"/>
  <c r="C126" i="53"/>
  <c r="F126" i="53"/>
  <c r="C127" i="53"/>
  <c r="F127" i="53"/>
  <c r="C128" i="53"/>
  <c r="F128" i="53"/>
  <c r="C129" i="53"/>
  <c r="F129" i="53"/>
  <c r="C130" i="53"/>
  <c r="F130" i="53"/>
  <c r="C131" i="53"/>
  <c r="F131" i="53"/>
  <c r="C132" i="53"/>
  <c r="F132" i="53"/>
  <c r="C133" i="53"/>
  <c r="F133" i="53"/>
  <c r="C134" i="53"/>
  <c r="F134" i="53"/>
  <c r="C135" i="53"/>
  <c r="F135" i="53"/>
  <c r="C136" i="53"/>
  <c r="F136" i="53"/>
  <c r="B137" i="53"/>
  <c r="C137" i="53"/>
  <c r="B138" i="53"/>
  <c r="B140" i="53"/>
  <c r="B143" i="53"/>
  <c r="E143" i="53"/>
  <c r="F143" i="53"/>
  <c r="B145" i="53"/>
  <c r="E145" i="53"/>
  <c r="F145" i="53"/>
  <c r="G145" i="53"/>
  <c r="G147" i="53"/>
  <c r="G148" i="53"/>
  <c r="C156" i="53"/>
  <c r="C157" i="53"/>
  <c r="H2" i="1"/>
  <c r="I2" i="1"/>
  <c r="J16" i="1"/>
  <c r="J18" i="1"/>
  <c r="J27" i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M3" i="47"/>
  <c r="N3" i="47"/>
  <c r="Q3" i="47"/>
  <c r="R3" i="47"/>
  <c r="F4" i="47"/>
  <c r="I4" i="47"/>
  <c r="J4" i="47"/>
  <c r="M4" i="47"/>
  <c r="N4" i="47"/>
  <c r="Q4" i="47"/>
  <c r="R4" i="47"/>
  <c r="E6" i="47"/>
  <c r="F6" i="47"/>
  <c r="H6" i="47"/>
  <c r="I6" i="47"/>
  <c r="J6" i="47"/>
  <c r="L6" i="47"/>
  <c r="M6" i="47"/>
  <c r="N6" i="47"/>
  <c r="P6" i="47"/>
  <c r="Q6" i="47"/>
  <c r="R6" i="47"/>
  <c r="E10" i="47"/>
  <c r="F10" i="47"/>
  <c r="H10" i="47"/>
  <c r="I10" i="47"/>
  <c r="L10" i="47"/>
  <c r="M10" i="47"/>
  <c r="P10" i="47"/>
  <c r="Q10" i="47"/>
  <c r="E11" i="47"/>
  <c r="F11" i="47"/>
  <c r="H11" i="47"/>
  <c r="I11" i="47"/>
  <c r="L11" i="47"/>
  <c r="M11" i="47"/>
  <c r="P11" i="47"/>
  <c r="Q11" i="47"/>
  <c r="E12" i="47"/>
  <c r="F12" i="47"/>
  <c r="H12" i="47"/>
  <c r="I12" i="47"/>
  <c r="L12" i="47"/>
  <c r="M12" i="47"/>
  <c r="P12" i="47"/>
  <c r="Q12" i="47"/>
  <c r="E14" i="47"/>
  <c r="F14" i="47"/>
  <c r="H14" i="47"/>
  <c r="I14" i="47"/>
  <c r="L14" i="47"/>
  <c r="M14" i="47"/>
  <c r="P14" i="47"/>
  <c r="Q14" i="47"/>
  <c r="E17" i="47"/>
  <c r="F17" i="47"/>
  <c r="H17" i="47"/>
  <c r="I17" i="47"/>
  <c r="J17" i="47"/>
  <c r="L17" i="47"/>
  <c r="M17" i="47"/>
  <c r="N17" i="47"/>
  <c r="P17" i="47"/>
  <c r="Q17" i="47"/>
  <c r="R17" i="47"/>
  <c r="E18" i="47"/>
  <c r="F18" i="47"/>
  <c r="H18" i="47"/>
  <c r="I18" i="47"/>
  <c r="J18" i="47"/>
  <c r="L18" i="47"/>
  <c r="M18" i="47"/>
  <c r="N18" i="47"/>
  <c r="P18" i="47"/>
  <c r="Q18" i="47"/>
  <c r="R18" i="47"/>
  <c r="E19" i="47"/>
  <c r="F19" i="47"/>
  <c r="H19" i="47"/>
  <c r="I19" i="47"/>
  <c r="J19" i="47"/>
  <c r="L19" i="47"/>
  <c r="M19" i="47"/>
  <c r="N19" i="47"/>
  <c r="P19" i="47"/>
  <c r="Q19" i="47"/>
  <c r="R19" i="47"/>
  <c r="E21" i="47"/>
  <c r="F21" i="47"/>
  <c r="H21" i="47"/>
  <c r="I21" i="47"/>
  <c r="J21" i="47"/>
  <c r="L21" i="47"/>
  <c r="M21" i="47"/>
  <c r="N21" i="47"/>
  <c r="P21" i="47"/>
  <c r="Q21" i="47"/>
  <c r="R21" i="47"/>
  <c r="E24" i="47"/>
  <c r="F24" i="47"/>
  <c r="H24" i="47"/>
  <c r="I24" i="47"/>
  <c r="J24" i="47"/>
  <c r="L24" i="47"/>
  <c r="M24" i="47"/>
  <c r="N24" i="47"/>
  <c r="P24" i="47"/>
  <c r="Q24" i="47"/>
  <c r="R24" i="47"/>
  <c r="E25" i="47"/>
  <c r="F25" i="47"/>
  <c r="H25" i="47"/>
  <c r="I25" i="47"/>
  <c r="J25" i="47"/>
  <c r="L25" i="47"/>
  <c r="M25" i="47"/>
  <c r="N25" i="47"/>
  <c r="P25" i="47"/>
  <c r="Q25" i="47"/>
  <c r="R25" i="47"/>
  <c r="E26" i="47"/>
  <c r="F26" i="47"/>
  <c r="H26" i="47"/>
  <c r="I26" i="47"/>
  <c r="J26" i="47"/>
  <c r="L26" i="47"/>
  <c r="M26" i="47"/>
  <c r="N26" i="47"/>
  <c r="P26" i="47"/>
  <c r="Q26" i="47"/>
  <c r="R26" i="47"/>
  <c r="E27" i="47"/>
  <c r="F27" i="47"/>
  <c r="H27" i="47"/>
  <c r="I27" i="47"/>
  <c r="J27" i="47"/>
  <c r="L27" i="47"/>
  <c r="M27" i="47"/>
  <c r="N27" i="47"/>
  <c r="P27" i="47"/>
  <c r="Q27" i="47"/>
  <c r="R27" i="47"/>
  <c r="E28" i="47"/>
  <c r="F28" i="47"/>
  <c r="H28" i="47"/>
  <c r="I28" i="47"/>
  <c r="J28" i="47"/>
  <c r="L28" i="47"/>
  <c r="M28" i="47"/>
  <c r="N28" i="47"/>
  <c r="P28" i="47"/>
  <c r="Q28" i="47"/>
  <c r="R28" i="47"/>
  <c r="I31" i="47"/>
  <c r="J31" i="47"/>
  <c r="M31" i="47"/>
  <c r="N31" i="47"/>
  <c r="Q31" i="47"/>
  <c r="R31" i="47"/>
  <c r="E33" i="47"/>
  <c r="F33" i="47"/>
  <c r="H33" i="47"/>
  <c r="I33" i="47"/>
  <c r="J33" i="47"/>
  <c r="L33" i="47"/>
  <c r="M33" i="47"/>
  <c r="N33" i="47"/>
  <c r="P33" i="47"/>
  <c r="Q33" i="47"/>
  <c r="R33" i="47"/>
  <c r="F34" i="47"/>
  <c r="I34" i="47"/>
  <c r="J34" i="47"/>
  <c r="M34" i="47"/>
  <c r="N34" i="47"/>
  <c r="Q34" i="47"/>
  <c r="R34" i="47"/>
  <c r="E35" i="47"/>
  <c r="F35" i="47"/>
  <c r="H35" i="47"/>
  <c r="I35" i="47"/>
  <c r="J35" i="47"/>
  <c r="L35" i="47"/>
  <c r="M35" i="47"/>
  <c r="N35" i="47"/>
  <c r="P35" i="47"/>
  <c r="Q35" i="47"/>
  <c r="R35" i="47"/>
  <c r="E37" i="47"/>
  <c r="H37" i="47"/>
  <c r="L37" i="47"/>
  <c r="P37" i="47"/>
  <c r="E39" i="47"/>
</calcChain>
</file>

<file path=xl/sharedStrings.xml><?xml version="1.0" encoding="utf-8"?>
<sst xmlns="http://schemas.openxmlformats.org/spreadsheetml/2006/main" count="719" uniqueCount="243">
  <si>
    <t>TP2 Deal tickets</t>
  </si>
  <si>
    <t>TRCO</t>
  </si>
  <si>
    <t>Buy</t>
  </si>
  <si>
    <t>TU</t>
  </si>
  <si>
    <t>Sell</t>
  </si>
  <si>
    <t>St 45</t>
  </si>
  <si>
    <t>St 65</t>
  </si>
  <si>
    <t>Comment</t>
  </si>
  <si>
    <t>GD buy from Gulf 1 at St 45</t>
  </si>
  <si>
    <t>Zone 2</t>
  </si>
  <si>
    <t>Z2 WH-Other</t>
  </si>
  <si>
    <t>Z2 WH to St 65 - sell at ST 65 at GD</t>
  </si>
  <si>
    <t>Zone 3</t>
  </si>
  <si>
    <t>Z3 WH</t>
  </si>
  <si>
    <t>Z3 WH to St 65 - sell at ST 65 IF</t>
  </si>
  <si>
    <t>All other Z2 wh to St 45, sell at St 45 at IF</t>
  </si>
  <si>
    <t>All other Z2 WH purch from Gulf 1 at IF</t>
  </si>
  <si>
    <t xml:space="preserve">TP2-Tp2 </t>
  </si>
  <si>
    <t>Ragley - move balance from Tetco to Trco</t>
  </si>
  <si>
    <t>Zone 4</t>
  </si>
  <si>
    <t>GD buy from Gulf 1 at St 65</t>
  </si>
  <si>
    <t>Ragley</t>
  </si>
  <si>
    <t>Bridgeline</t>
  </si>
  <si>
    <t>TP2 buy from Gulf 1 at Bridgeline</t>
  </si>
  <si>
    <t>3-3 FT to St 65</t>
  </si>
  <si>
    <t>3-3 IT to St 65</t>
  </si>
  <si>
    <t>Buy from Gulf 1</t>
  </si>
  <si>
    <t>Negotiated sell to Gulf 1 at St 65</t>
  </si>
  <si>
    <t>Z3 Wh GD</t>
  </si>
  <si>
    <t>GD buy from Gulf 1 at Z3 WH</t>
  </si>
  <si>
    <t>Z2 WH to Bammel - normail IT</t>
  </si>
  <si>
    <t>Sell to Gulf 1 at Bammel</t>
  </si>
  <si>
    <t>Ela</t>
  </si>
  <si>
    <t>VNG-Rag</t>
  </si>
  <si>
    <t>TGT</t>
  </si>
  <si>
    <t>Purchases</t>
  </si>
  <si>
    <t>Comm</t>
  </si>
  <si>
    <t>Vari</t>
  </si>
  <si>
    <t>Amt</t>
  </si>
  <si>
    <t>Transport</t>
  </si>
  <si>
    <t>Fuel</t>
  </si>
  <si>
    <t>Tot Purch</t>
  </si>
  <si>
    <t>Tot Sales</t>
  </si>
  <si>
    <t>Net</t>
  </si>
  <si>
    <t>Ela-Stx</t>
  </si>
  <si>
    <t>Ela Wla</t>
  </si>
  <si>
    <t>Wla Stx</t>
  </si>
  <si>
    <t>IT</t>
  </si>
  <si>
    <t>Daily Demand</t>
  </si>
  <si>
    <t>Total Demand</t>
  </si>
  <si>
    <t>Trco</t>
  </si>
  <si>
    <t>Tetco</t>
  </si>
  <si>
    <t>Volume</t>
  </si>
  <si>
    <t>Price</t>
  </si>
  <si>
    <t>Receipt</t>
  </si>
  <si>
    <t>Delivery</t>
  </si>
  <si>
    <t>Ela - M3</t>
  </si>
  <si>
    <t>Ela - M2</t>
  </si>
  <si>
    <t>Net Physical</t>
  </si>
  <si>
    <t>Ela - Mamou</t>
  </si>
  <si>
    <t>Wla - M2</t>
  </si>
  <si>
    <t>GD sell to Gulf 1 at St 65</t>
  </si>
  <si>
    <t>Date</t>
  </si>
  <si>
    <t>Wla</t>
  </si>
  <si>
    <t>Wla - M3</t>
  </si>
  <si>
    <t>Stx - M2</t>
  </si>
  <si>
    <t>Stx - M3</t>
  </si>
  <si>
    <t>Etx QT</t>
  </si>
  <si>
    <t>Stx QT</t>
  </si>
  <si>
    <t>Sales</t>
  </si>
  <si>
    <t>St 45 GD</t>
  </si>
  <si>
    <t>St 65 QT</t>
  </si>
  <si>
    <t>Ela - Strg</t>
  </si>
  <si>
    <t>Wla - Strg</t>
  </si>
  <si>
    <t>Stx - Strg</t>
  </si>
  <si>
    <t>IT Comm</t>
  </si>
  <si>
    <t>Del Price</t>
  </si>
  <si>
    <t>M2  Im TCO</t>
  </si>
  <si>
    <t>M2  Dominion Baseload</t>
  </si>
  <si>
    <t xml:space="preserve">M3  </t>
  </si>
  <si>
    <t>Stx FT / Fuel</t>
  </si>
  <si>
    <t>Wla FT / Fuel</t>
  </si>
  <si>
    <t>Ela FT / Fuel</t>
  </si>
  <si>
    <t>Etx FT / Fuel</t>
  </si>
  <si>
    <t>Total M2 Deliveries</t>
  </si>
  <si>
    <t>Deal #</t>
  </si>
  <si>
    <t>Stx IT / Fuel</t>
  </si>
  <si>
    <t>Etx IT / Fuel</t>
  </si>
  <si>
    <t>Wla IT / Fuel</t>
  </si>
  <si>
    <t>Ela IT / Fuel</t>
  </si>
  <si>
    <t>Transport and Fuel</t>
  </si>
  <si>
    <t xml:space="preserve">TGT </t>
  </si>
  <si>
    <t>Ela DD</t>
  </si>
  <si>
    <t>Stx</t>
  </si>
  <si>
    <t>NFUL</t>
  </si>
  <si>
    <t>Ela QT</t>
  </si>
  <si>
    <t xml:space="preserve">M3 </t>
  </si>
  <si>
    <t>Wla Imbalance</t>
  </si>
  <si>
    <t>M3 Im New York Baseload</t>
  </si>
  <si>
    <t>M1 - M2</t>
  </si>
  <si>
    <t>M1 - M3</t>
  </si>
  <si>
    <t>Enterfin Sale</t>
  </si>
  <si>
    <t>Wla Delivered</t>
  </si>
  <si>
    <t>Total WLA Deliveries</t>
  </si>
  <si>
    <t>M1 QT</t>
  </si>
  <si>
    <t>M1</t>
  </si>
  <si>
    <t>M1 FT / Fuel</t>
  </si>
  <si>
    <t>Total M3 Deliveries</t>
  </si>
  <si>
    <t>M3 balance</t>
  </si>
  <si>
    <t>Ela Onyxx</t>
  </si>
  <si>
    <t>M3</t>
  </si>
  <si>
    <t>VNG-Ragley</t>
  </si>
  <si>
    <t>Etx Onyx</t>
  </si>
  <si>
    <t>Trading for Gas Day 1st</t>
  </si>
  <si>
    <t>Stx FT Strg</t>
  </si>
  <si>
    <t>Wla FT Strg</t>
  </si>
  <si>
    <t>Ela FT Strg</t>
  </si>
  <si>
    <t>Etx FT Strg</t>
  </si>
  <si>
    <t>M1 FT Strg</t>
  </si>
  <si>
    <t>Stx Baseload 5000</t>
  </si>
  <si>
    <t>Stx Baseload 485</t>
  </si>
  <si>
    <t>Etx</t>
  </si>
  <si>
    <t>Stx FT / Fuel baseload 5000</t>
  </si>
  <si>
    <t>Ela FT / Fuel baseload 10000</t>
  </si>
  <si>
    <t>St 65 GD using BG&amp;E transport</t>
  </si>
  <si>
    <t>Can move sale to Wla or Ela</t>
  </si>
  <si>
    <t>Wla QT</t>
  </si>
  <si>
    <t xml:space="preserve">Ela </t>
  </si>
  <si>
    <t>Trco Ragley  St 65 GD</t>
  </si>
  <si>
    <t>Z1 GD + .06</t>
  </si>
  <si>
    <t>Z2 GD + .02</t>
  </si>
  <si>
    <t>Z3 GD</t>
  </si>
  <si>
    <t>Z6 NY GD</t>
  </si>
  <si>
    <t>Z1 - Z6</t>
  </si>
  <si>
    <t>Z2 - Z6</t>
  </si>
  <si>
    <t>Z3 - Z6</t>
  </si>
  <si>
    <t>Z4 - Z6</t>
  </si>
  <si>
    <t>Z1 - Z2</t>
  </si>
  <si>
    <t>Z2 - Z3</t>
  </si>
  <si>
    <t>Z3 - Z3</t>
  </si>
  <si>
    <t>Z4 - 3 Bhaul</t>
  </si>
  <si>
    <t>Z1 - Z3</t>
  </si>
  <si>
    <t xml:space="preserve"> Includes surcharges  ACA = $.0022, GRI = $.0070, GP = $.0097</t>
  </si>
  <si>
    <t>Excludes Surcharges</t>
  </si>
  <si>
    <t>Transco</t>
  </si>
  <si>
    <t>Z6 - Z6</t>
  </si>
  <si>
    <t>Z3</t>
  </si>
  <si>
    <t>Z4</t>
  </si>
  <si>
    <t>Z6</t>
  </si>
  <si>
    <t>Ela cashout</t>
  </si>
  <si>
    <t>Tetco to TGT deal tickets  657194 (Iowa)  657223 (Evaqngeline) Ela to Wla Citygate 778220</t>
  </si>
  <si>
    <t>St 85 GD sale to Ogy</t>
  </si>
  <si>
    <t>Exch sale to Ogy at Doyle</t>
  </si>
  <si>
    <t>Exch buy from Ogy at St 85</t>
  </si>
  <si>
    <t>Buy from Gulf 1 at St 85</t>
  </si>
  <si>
    <t>Transport St 85 to Ogy</t>
  </si>
  <si>
    <t>Sale to Gulf 1 at Doyle</t>
  </si>
  <si>
    <t>Transport Destin to Ogy</t>
  </si>
  <si>
    <t>Buy from Gulf 1 at Destin</t>
  </si>
  <si>
    <t>Z3 WH to WSS sale to Gulf1</t>
  </si>
  <si>
    <t>Transco VNG  Zone 3 to Emporia</t>
  </si>
  <si>
    <t>Z3 - Z5</t>
  </si>
  <si>
    <t>Reg fuel</t>
  </si>
  <si>
    <t>CGAS Emp</t>
  </si>
  <si>
    <t>Cgas Pool</t>
  </si>
  <si>
    <t>Disc Fuel</t>
  </si>
  <si>
    <t>Z2 wh to St 30</t>
  </si>
  <si>
    <t>Zone 1</t>
  </si>
  <si>
    <t>Niag-Leidy</t>
  </si>
  <si>
    <t>Leidy - Z6</t>
  </si>
  <si>
    <t>Sheet 40 E capacity</t>
  </si>
  <si>
    <t>NFGS</t>
  </si>
  <si>
    <t>comm</t>
  </si>
  <si>
    <t>s/c</t>
  </si>
  <si>
    <t>June</t>
  </si>
  <si>
    <t xml:space="preserve">NYMX </t>
  </si>
  <si>
    <t>Basis</t>
  </si>
  <si>
    <t>FT</t>
  </si>
  <si>
    <t>Spread</t>
  </si>
  <si>
    <t>NY</t>
  </si>
  <si>
    <t>Variable</t>
  </si>
  <si>
    <t>Demand</t>
  </si>
  <si>
    <t>Profit/Loss</t>
  </si>
  <si>
    <t>July</t>
  </si>
  <si>
    <t>FTLR</t>
  </si>
  <si>
    <t>FTAR</t>
  </si>
  <si>
    <t>Womens</t>
  </si>
  <si>
    <t>Young</t>
  </si>
  <si>
    <t>August</t>
  </si>
  <si>
    <t>Sep</t>
  </si>
  <si>
    <t>Days</t>
  </si>
  <si>
    <t>Tot Profit/(Loss)</t>
  </si>
  <si>
    <t>Z6 vs Z5</t>
  </si>
  <si>
    <t>Z6 vs Z4</t>
  </si>
  <si>
    <t>Z6 Price =&gt;</t>
  </si>
  <si>
    <t>&lt;= Z5 Price</t>
  </si>
  <si>
    <t>june</t>
  </si>
  <si>
    <t>Rag - St 65 FT</t>
  </si>
  <si>
    <t>Tetco to St 65</t>
  </si>
  <si>
    <t>St 66</t>
  </si>
  <si>
    <t>St 67</t>
  </si>
  <si>
    <t>Ela to Wla #816520,  Wla to Z3 #816387,  Ragley to St 65 822129</t>
  </si>
  <si>
    <t>Deal</t>
  </si>
  <si>
    <t>Type</t>
  </si>
  <si>
    <t>tu</t>
  </si>
  <si>
    <t>dd</t>
  </si>
  <si>
    <t>iroq/tenn wright</t>
  </si>
  <si>
    <t>Wright to Z5 City meter 020816</t>
  </si>
  <si>
    <t>Wright to Z6 City meter 020102</t>
  </si>
  <si>
    <t>TP1 to New England Z6  meter 020102</t>
  </si>
  <si>
    <t>Dracut to Z6 City meter 020102</t>
  </si>
  <si>
    <t>IROQ/Tenn</t>
  </si>
  <si>
    <t>M3  Baseload</t>
  </si>
  <si>
    <t>Trading for Gas Day 2nd</t>
  </si>
  <si>
    <t>Variable 6-6</t>
  </si>
  <si>
    <t>Zone 6</t>
  </si>
  <si>
    <t>TP2 to TP3 at Leidy</t>
  </si>
  <si>
    <t>TU Leidy to Z6 NY</t>
  </si>
  <si>
    <t>Sell back TP3 to TP2 at Leidy</t>
  </si>
  <si>
    <t>TU Niagara to Leidy</t>
  </si>
  <si>
    <t>Sell to Ontario at Niagara</t>
  </si>
  <si>
    <t>Buy ontario at Wadd</t>
  </si>
  <si>
    <t>New Eng to TP1 at dracut 020909</t>
  </si>
  <si>
    <t>Baseload sale for indeck -  do not touch</t>
  </si>
  <si>
    <t>Baseload sale for EES -  do not touch</t>
  </si>
  <si>
    <t>Niagara</t>
  </si>
  <si>
    <t>Niagara Baseload</t>
  </si>
  <si>
    <t>Leidy Baseload</t>
  </si>
  <si>
    <t>Leidy fuel Baseload</t>
  </si>
  <si>
    <t>Z6 NY Baseload</t>
  </si>
  <si>
    <t>Z6 Fuel</t>
  </si>
  <si>
    <t>New England to TP1 at wright.</t>
  </si>
  <si>
    <t>Young Women supply</t>
  </si>
  <si>
    <t>Nat Fuel fuel</t>
  </si>
  <si>
    <t>Trading for Gas Day 5th</t>
  </si>
  <si>
    <t>CGLF</t>
  </si>
  <si>
    <t>On-Ml FT</t>
  </si>
  <si>
    <t>ON-Ml IT</t>
  </si>
  <si>
    <t>Ml-Leach FT</t>
  </si>
  <si>
    <t xml:space="preserve">Wla </t>
  </si>
  <si>
    <t>Z6 NY</t>
  </si>
  <si>
    <t>Niagara #822746</t>
  </si>
  <si>
    <t>Trading for Gas Day 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</si>
</sst>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4" formatCode="&quot;$&quot;#,##0.000_);[Red]\(&quot;$&quot;#,##0.000\)"/>
    <numFmt numFmtId="175" formatCode="&quot;$&quot;#,##0.0000_);[Red]\(&quot;$&quot;#,##0.0000\)"/>
    <numFmt numFmtId="176" formatCode="0.0000%"/>
    <numFmt numFmtId="178" formatCode="_(* #,##0_);_(* \(#,##0\);_(* &quot;-&quot;??_);_(@_)"/>
    <numFmt numFmtId="179" formatCode="_(&quot;$&quot;* #,##0.000_);_(&quot;$&quot;* \(#,##0.000\);_(&quot;$&quot;* &quot;-&quot;??_);_(@_)"/>
    <numFmt numFmtId="180" formatCode="_(&quot;$&quot;* #,##0.0000_);_(&quot;$&quot;* \(#,##0.0000\);_(&quot;$&quot;* &quot;-&quot;??_);_(@_)"/>
    <numFmt numFmtId="184" formatCode="_(* #,##0.00000_);_(* \(#,##0.00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u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3" fillId="0" borderId="8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5" xfId="0" quotePrefix="1" applyBorder="1"/>
    <xf numFmtId="44" fontId="0" fillId="0" borderId="0" xfId="2" applyFont="1"/>
    <xf numFmtId="44" fontId="0" fillId="2" borderId="0" xfId="0" applyNumberFormat="1" applyFill="1"/>
    <xf numFmtId="1" fontId="0" fillId="2" borderId="0" xfId="0" applyNumberFormat="1" applyFill="1"/>
    <xf numFmtId="1" fontId="0" fillId="3" borderId="9" xfId="0" applyNumberFormat="1" applyFill="1" applyBorder="1"/>
    <xf numFmtId="0" fontId="0" fillId="0" borderId="0" xfId="0" applyFill="1" applyBorder="1"/>
    <xf numFmtId="175" fontId="0" fillId="0" borderId="0" xfId="0" applyNumberFormat="1" applyFill="1" applyBorder="1"/>
    <xf numFmtId="176" fontId="7" fillId="0" borderId="0" xfId="3" applyNumberFormat="1" applyFont="1" applyFill="1" applyBorder="1"/>
    <xf numFmtId="0" fontId="0" fillId="0" borderId="0" xfId="0" applyFill="1"/>
    <xf numFmtId="178" fontId="0" fillId="0" borderId="0" xfId="1" applyNumberFormat="1" applyFont="1"/>
    <xf numFmtId="178" fontId="0" fillId="0" borderId="0" xfId="1" applyNumberFormat="1" applyFont="1" applyAlignment="1">
      <alignment horizontal="center"/>
    </xf>
    <xf numFmtId="179" fontId="0" fillId="0" borderId="0" xfId="2" applyNumberFormat="1" applyFont="1"/>
    <xf numFmtId="180" fontId="0" fillId="0" borderId="0" xfId="2" applyNumberFormat="1" applyFont="1"/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Fill="1" applyBorder="1"/>
    <xf numFmtId="180" fontId="5" fillId="0" borderId="0" xfId="2" applyNumberFormat="1" applyFont="1" applyFill="1" applyBorder="1"/>
    <xf numFmtId="180" fontId="6" fillId="0" borderId="0" xfId="2" applyNumberFormat="1" applyFont="1" applyFill="1" applyBorder="1"/>
    <xf numFmtId="178" fontId="2" fillId="0" borderId="9" xfId="1" applyNumberFormat="1" applyFont="1" applyBorder="1"/>
    <xf numFmtId="43" fontId="0" fillId="0" borderId="0" xfId="0" applyNumberFormat="1"/>
    <xf numFmtId="0" fontId="0" fillId="4" borderId="0" xfId="0" applyFill="1" applyBorder="1"/>
    <xf numFmtId="178" fontId="0" fillId="0" borderId="0" xfId="1" applyNumberFormat="1" applyFont="1" applyFill="1"/>
    <xf numFmtId="0" fontId="0" fillId="2" borderId="0" xfId="0" applyFill="1"/>
    <xf numFmtId="178" fontId="0" fillId="2" borderId="0" xfId="1" applyNumberFormat="1" applyFont="1" applyFill="1"/>
    <xf numFmtId="180" fontId="0" fillId="2" borderId="0" xfId="2" applyNumberFormat="1" applyFont="1" applyFill="1"/>
    <xf numFmtId="0" fontId="2" fillId="2" borderId="0" xfId="0" applyFont="1" applyFill="1"/>
    <xf numFmtId="43" fontId="0" fillId="2" borderId="0" xfId="0" applyNumberFormat="1" applyFill="1"/>
    <xf numFmtId="179" fontId="0" fillId="2" borderId="0" xfId="2" applyNumberFormat="1" applyFont="1" applyFill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4" borderId="0" xfId="0" applyFont="1" applyFill="1" applyAlignment="1">
      <alignment horizontal="left"/>
    </xf>
    <xf numFmtId="178" fontId="0" fillId="4" borderId="0" xfId="1" applyNumberFormat="1" applyFont="1" applyFill="1"/>
    <xf numFmtId="180" fontId="0" fillId="4" borderId="0" xfId="2" applyNumberFormat="1" applyFont="1" applyFill="1"/>
    <xf numFmtId="0" fontId="0" fillId="4" borderId="0" xfId="0" applyFill="1"/>
    <xf numFmtId="44" fontId="0" fillId="4" borderId="0" xfId="2" applyFont="1" applyFill="1"/>
    <xf numFmtId="0" fontId="0" fillId="4" borderId="10" xfId="0" applyFill="1" applyBorder="1"/>
    <xf numFmtId="178" fontId="0" fillId="4" borderId="11" xfId="1" applyNumberFormat="1" applyFont="1" applyFill="1" applyBorder="1"/>
    <xf numFmtId="180" fontId="0" fillId="4" borderId="11" xfId="2" applyNumberFormat="1" applyFont="1" applyFill="1" applyBorder="1"/>
    <xf numFmtId="0" fontId="0" fillId="4" borderId="11" xfId="0" applyFill="1" applyBorder="1"/>
    <xf numFmtId="44" fontId="0" fillId="4" borderId="11" xfId="2" applyFont="1" applyFill="1" applyBorder="1"/>
    <xf numFmtId="0" fontId="0" fillId="4" borderId="12" xfId="0" applyFill="1" applyBorder="1"/>
    <xf numFmtId="0" fontId="0" fillId="4" borderId="13" xfId="0" applyFill="1" applyBorder="1"/>
    <xf numFmtId="178" fontId="0" fillId="4" borderId="0" xfId="1" applyNumberFormat="1" applyFont="1" applyFill="1" applyBorder="1"/>
    <xf numFmtId="180" fontId="0" fillId="4" borderId="0" xfId="2" applyNumberFormat="1" applyFont="1" applyFill="1" applyBorder="1"/>
    <xf numFmtId="44" fontId="0" fillId="4" borderId="0" xfId="2" applyFont="1" applyFill="1" applyBorder="1"/>
    <xf numFmtId="0" fontId="0" fillId="4" borderId="14" xfId="0" applyFill="1" applyBorder="1"/>
    <xf numFmtId="0" fontId="2" fillId="4" borderId="13" xfId="0" applyFont="1" applyFill="1" applyBorder="1"/>
    <xf numFmtId="178" fontId="0" fillId="4" borderId="15" xfId="1" applyNumberFormat="1" applyFont="1" applyFill="1" applyBorder="1"/>
    <xf numFmtId="0" fontId="0" fillId="4" borderId="16" xfId="0" applyFill="1" applyBorder="1"/>
    <xf numFmtId="178" fontId="0" fillId="4" borderId="17" xfId="1" applyNumberFormat="1" applyFont="1" applyFill="1" applyBorder="1"/>
    <xf numFmtId="180" fontId="0" fillId="4" borderId="17" xfId="2" applyNumberFormat="1" applyFont="1" applyFill="1" applyBorder="1"/>
    <xf numFmtId="0" fontId="0" fillId="4" borderId="17" xfId="0" applyFill="1" applyBorder="1"/>
    <xf numFmtId="44" fontId="0" fillId="4" borderId="17" xfId="2" applyFont="1" applyFill="1" applyBorder="1"/>
    <xf numFmtId="0" fontId="0" fillId="4" borderId="18" xfId="0" applyFill="1" applyBorder="1"/>
    <xf numFmtId="178" fontId="0" fillId="4" borderId="19" xfId="1" applyNumberFormat="1" applyFont="1" applyFill="1" applyBorder="1"/>
    <xf numFmtId="0" fontId="2" fillId="4" borderId="0" xfId="0" applyFont="1" applyFill="1"/>
    <xf numFmtId="0" fontId="0" fillId="5" borderId="0" xfId="0" applyFill="1"/>
    <xf numFmtId="178" fontId="0" fillId="5" borderId="0" xfId="1" applyNumberFormat="1" applyFont="1" applyFill="1"/>
    <xf numFmtId="180" fontId="0" fillId="5" borderId="0" xfId="2" applyNumberFormat="1" applyFont="1" applyFill="1"/>
    <xf numFmtId="44" fontId="0" fillId="5" borderId="0" xfId="2" applyFont="1" applyFill="1"/>
    <xf numFmtId="44" fontId="0" fillId="5" borderId="0" xfId="0" applyNumberFormat="1" applyFill="1"/>
    <xf numFmtId="0" fontId="2" fillId="5" borderId="0" xfId="0" applyFont="1" applyFill="1"/>
    <xf numFmtId="184" fontId="0" fillId="0" borderId="0" xfId="1" applyNumberFormat="1" applyFont="1"/>
    <xf numFmtId="184" fontId="0" fillId="2" borderId="0" xfId="1" applyNumberFormat="1" applyFont="1" applyFill="1"/>
    <xf numFmtId="184" fontId="0" fillId="0" borderId="0" xfId="1" applyNumberFormat="1" applyFont="1" applyFill="1" applyBorder="1"/>
    <xf numFmtId="0" fontId="9" fillId="0" borderId="20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179" fontId="10" fillId="0" borderId="1" xfId="2" applyNumberFormat="1" applyFont="1" applyBorder="1"/>
    <xf numFmtId="179" fontId="10" fillId="0" borderId="2" xfId="2" applyNumberFormat="1" applyFont="1" applyBorder="1"/>
    <xf numFmtId="179" fontId="10" fillId="0" borderId="3" xfId="2" applyNumberFormat="1" applyFont="1" applyBorder="1"/>
    <xf numFmtId="179" fontId="10" fillId="0" borderId="4" xfId="2" applyNumberFormat="1" applyFont="1" applyBorder="1"/>
    <xf numFmtId="179" fontId="10" fillId="0" borderId="0" xfId="2" applyNumberFormat="1" applyFont="1" applyBorder="1"/>
    <xf numFmtId="179" fontId="10" fillId="0" borderId="5" xfId="2" applyNumberFormat="1" applyFont="1" applyBorder="1"/>
    <xf numFmtId="179" fontId="10" fillId="2" borderId="6" xfId="2" applyNumberFormat="1" applyFont="1" applyFill="1" applyBorder="1"/>
    <xf numFmtId="179" fontId="10" fillId="2" borderId="7" xfId="2" applyNumberFormat="1" applyFont="1" applyFill="1" applyBorder="1"/>
    <xf numFmtId="179" fontId="10" fillId="2" borderId="8" xfId="2" applyNumberFormat="1" applyFont="1" applyFill="1" applyBorder="1"/>
    <xf numFmtId="0" fontId="2" fillId="5" borderId="13" xfId="0" applyFont="1" applyFill="1" applyBorder="1"/>
    <xf numFmtId="0" fontId="0" fillId="3" borderId="1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80" fontId="0" fillId="0" borderId="0" xfId="2" applyNumberFormat="1" applyFont="1" applyFill="1"/>
    <xf numFmtId="0" fontId="2" fillId="0" borderId="0" xfId="0" applyFont="1" applyFill="1"/>
    <xf numFmtId="184" fontId="0" fillId="0" borderId="0" xfId="1" applyNumberFormat="1" applyFont="1" applyFill="1"/>
    <xf numFmtId="184" fontId="0" fillId="6" borderId="0" xfId="1" applyNumberFormat="1" applyFont="1" applyFill="1"/>
    <xf numFmtId="180" fontId="0" fillId="6" borderId="0" xfId="2" applyNumberFormat="1" applyFont="1" applyFill="1"/>
    <xf numFmtId="0" fontId="0" fillId="6" borderId="0" xfId="0" applyFill="1"/>
    <xf numFmtId="180" fontId="0" fillId="7" borderId="0" xfId="2" applyNumberFormat="1" applyFont="1" applyFill="1"/>
    <xf numFmtId="178" fontId="2" fillId="7" borderId="0" xfId="1" applyNumberFormat="1" applyFont="1" applyFill="1"/>
    <xf numFmtId="180" fontId="2" fillId="6" borderId="0" xfId="2" applyNumberFormat="1" applyFont="1" applyFill="1"/>
    <xf numFmtId="0" fontId="9" fillId="0" borderId="0" xfId="0" applyFont="1" applyBorder="1" applyAlignment="1">
      <alignment horizontal="center"/>
    </xf>
    <xf numFmtId="179" fontId="10" fillId="0" borderId="0" xfId="2" applyNumberFormat="1" applyFont="1" applyFill="1" applyBorder="1"/>
    <xf numFmtId="0" fontId="0" fillId="3" borderId="0" xfId="0" applyFill="1" applyBorder="1"/>
    <xf numFmtId="175" fontId="1" fillId="5" borderId="5" xfId="0" applyNumberFormat="1" applyFont="1" applyFill="1" applyBorder="1"/>
    <xf numFmtId="0" fontId="11" fillId="0" borderId="0" xfId="0" applyFont="1" applyFill="1" applyBorder="1"/>
    <xf numFmtId="0" fontId="5" fillId="0" borderId="0" xfId="0" applyFont="1" applyFill="1" applyBorder="1"/>
    <xf numFmtId="174" fontId="0" fillId="0" borderId="0" xfId="0" applyNumberFormat="1" applyFill="1" applyBorder="1"/>
    <xf numFmtId="175" fontId="6" fillId="0" borderId="0" xfId="0" applyNumberFormat="1" applyFont="1" applyFill="1" applyBorder="1"/>
    <xf numFmtId="175" fontId="5" fillId="0" borderId="0" xfId="0" applyNumberFormat="1" applyFont="1" applyFill="1" applyBorder="1"/>
    <xf numFmtId="176" fontId="0" fillId="0" borderId="0" xfId="0" applyNumberFormat="1" applyFill="1" applyBorder="1"/>
    <xf numFmtId="8" fontId="0" fillId="0" borderId="0" xfId="0" applyNumberFormat="1" applyBorder="1"/>
    <xf numFmtId="175" fontId="0" fillId="0" borderId="0" xfId="0" applyNumberFormat="1"/>
    <xf numFmtId="8" fontId="0" fillId="0" borderId="0" xfId="0" applyNumberFormat="1"/>
    <xf numFmtId="180" fontId="0" fillId="0" borderId="0" xfId="0" applyNumberFormat="1"/>
    <xf numFmtId="173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/>
    <xf numFmtId="178" fontId="2" fillId="0" borderId="0" xfId="1" applyNumberFormat="1" applyFont="1" applyAlignment="1">
      <alignment horizontal="right"/>
    </xf>
    <xf numFmtId="184" fontId="2" fillId="0" borderId="0" xfId="1" applyNumberFormat="1" applyFont="1"/>
    <xf numFmtId="0" fontId="0" fillId="2" borderId="0" xfId="0" applyFill="1" applyBorder="1"/>
    <xf numFmtId="0" fontId="2" fillId="0" borderId="4" xfId="0" applyFont="1" applyBorder="1"/>
    <xf numFmtId="0" fontId="0" fillId="5" borderId="1" xfId="0" applyFill="1" applyBorder="1"/>
    <xf numFmtId="178" fontId="0" fillId="5" borderId="2" xfId="1" applyNumberFormat="1" applyFont="1" applyFill="1" applyBorder="1"/>
    <xf numFmtId="180" fontId="0" fillId="5" borderId="2" xfId="2" applyNumberFormat="1" applyFont="1" applyFill="1" applyBorder="1"/>
    <xf numFmtId="0" fontId="0" fillId="5" borderId="2" xfId="0" applyFill="1" applyBorder="1"/>
    <xf numFmtId="44" fontId="0" fillId="5" borderId="2" xfId="2" applyFont="1" applyFill="1" applyBorder="1"/>
    <xf numFmtId="44" fontId="0" fillId="5" borderId="2" xfId="0" applyNumberFormat="1" applyFill="1" applyBorder="1"/>
    <xf numFmtId="0" fontId="0" fillId="5" borderId="3" xfId="0" applyFill="1" applyBorder="1"/>
    <xf numFmtId="0" fontId="0" fillId="5" borderId="4" xfId="0" applyFill="1" applyBorder="1"/>
    <xf numFmtId="178" fontId="0" fillId="5" borderId="0" xfId="1" applyNumberFormat="1" applyFont="1" applyFill="1" applyBorder="1"/>
    <xf numFmtId="180" fontId="0" fillId="5" borderId="0" xfId="2" applyNumberFormat="1" applyFont="1" applyFill="1" applyBorder="1"/>
    <xf numFmtId="0" fontId="0" fillId="5" borderId="0" xfId="0" applyFill="1" applyBorder="1"/>
    <xf numFmtId="44" fontId="0" fillId="5" borderId="0" xfId="2" applyFont="1" applyFill="1" applyBorder="1"/>
    <xf numFmtId="44" fontId="0" fillId="5" borderId="0" xfId="0" applyNumberFormat="1" applyFill="1" applyBorder="1"/>
    <xf numFmtId="0" fontId="0" fillId="5" borderId="5" xfId="0" applyFill="1" applyBorder="1"/>
    <xf numFmtId="0" fontId="0" fillId="5" borderId="6" xfId="0" applyFill="1" applyBorder="1"/>
    <xf numFmtId="178" fontId="0" fillId="5" borderId="7" xfId="1" applyNumberFormat="1" applyFont="1" applyFill="1" applyBorder="1"/>
    <xf numFmtId="180" fontId="0" fillId="5" borderId="7" xfId="2" applyNumberFormat="1" applyFont="1" applyFill="1" applyBorder="1"/>
    <xf numFmtId="0" fontId="0" fillId="5" borderId="7" xfId="0" applyFill="1" applyBorder="1"/>
    <xf numFmtId="44" fontId="0" fillId="5" borderId="7" xfId="2" applyFont="1" applyFill="1" applyBorder="1"/>
    <xf numFmtId="44" fontId="0" fillId="5" borderId="7" xfId="0" applyNumberFormat="1" applyFill="1" applyBorder="1"/>
    <xf numFmtId="0" fontId="0" fillId="5" borderId="8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14" sqref="D14"/>
    </sheetView>
  </sheetViews>
  <sheetFormatPr defaultRowHeight="13.2" x14ac:dyDescent="0.25"/>
  <sheetData>
    <row r="3" spans="2:5" x14ac:dyDescent="0.25">
      <c r="C3">
        <v>1216</v>
      </c>
      <c r="D3">
        <v>1200</v>
      </c>
    </row>
    <row r="5" spans="2:5" x14ac:dyDescent="0.25">
      <c r="B5">
        <v>12181</v>
      </c>
      <c r="C5" s="42">
        <v>1695</v>
      </c>
      <c r="D5" s="42">
        <v>1673</v>
      </c>
    </row>
    <row r="6" spans="2:5" x14ac:dyDescent="0.25">
      <c r="C6" s="42">
        <v>67</v>
      </c>
      <c r="D6" s="42">
        <v>66</v>
      </c>
    </row>
    <row r="7" spans="2:5" x14ac:dyDescent="0.25">
      <c r="C7">
        <v>507</v>
      </c>
      <c r="D7">
        <v>500</v>
      </c>
    </row>
    <row r="8" spans="2:5" x14ac:dyDescent="0.25">
      <c r="C8">
        <v>253</v>
      </c>
      <c r="D8">
        <v>250</v>
      </c>
    </row>
    <row r="9" spans="2:5" x14ac:dyDescent="0.25">
      <c r="C9">
        <v>28</v>
      </c>
      <c r="D9">
        <v>28</v>
      </c>
    </row>
    <row r="10" spans="2:5" x14ac:dyDescent="0.25">
      <c r="C10">
        <v>30</v>
      </c>
      <c r="D10">
        <v>30</v>
      </c>
    </row>
    <row r="11" spans="2:5" x14ac:dyDescent="0.25">
      <c r="C11">
        <f>SUM(C5:C10)</f>
        <v>2580</v>
      </c>
      <c r="D11">
        <f>SUM(D5:D10)</f>
        <v>2547</v>
      </c>
    </row>
    <row r="14" spans="2:5" x14ac:dyDescent="0.25">
      <c r="B14">
        <v>20871</v>
      </c>
      <c r="C14">
        <v>1896</v>
      </c>
      <c r="D14">
        <v>1871</v>
      </c>
      <c r="E14">
        <f>+C14-D14</f>
        <v>25</v>
      </c>
    </row>
    <row r="15" spans="2:5" x14ac:dyDescent="0.25">
      <c r="C15">
        <v>478</v>
      </c>
      <c r="D15">
        <v>472</v>
      </c>
    </row>
    <row r="16" spans="2:5" x14ac:dyDescent="0.25">
      <c r="C16">
        <v>728</v>
      </c>
      <c r="D16">
        <v>718</v>
      </c>
    </row>
    <row r="17" spans="3:4" x14ac:dyDescent="0.25">
      <c r="C17">
        <v>590</v>
      </c>
      <c r="D17">
        <v>582</v>
      </c>
    </row>
    <row r="18" spans="3:4" x14ac:dyDescent="0.25">
      <c r="C18">
        <v>1308</v>
      </c>
      <c r="D18">
        <v>1291</v>
      </c>
    </row>
    <row r="19" spans="3:4" x14ac:dyDescent="0.25">
      <c r="C19">
        <f>SUM(C14:C18)</f>
        <v>5000</v>
      </c>
      <c r="D19">
        <f>SUM(D14:D18)</f>
        <v>4934</v>
      </c>
    </row>
    <row r="22" spans="3:4" x14ac:dyDescent="0.25">
      <c r="C22">
        <f>+C19+C11+C3</f>
        <v>8796</v>
      </c>
      <c r="D22">
        <f>+D19+D11+D3</f>
        <v>8681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G9"/>
  <sheetViews>
    <sheetView workbookViewId="0">
      <selection activeCell="C4" sqref="C4"/>
    </sheetView>
  </sheetViews>
  <sheetFormatPr defaultRowHeight="13.2" x14ac:dyDescent="0.25"/>
  <cols>
    <col min="2" max="2" width="13.5546875" customWidth="1"/>
  </cols>
  <sheetData>
    <row r="3" spans="1:33" x14ac:dyDescent="0.25">
      <c r="B3" t="s">
        <v>62</v>
      </c>
      <c r="C3">
        <v>1</v>
      </c>
      <c r="D3">
        <f>+C3+1</f>
        <v>2</v>
      </c>
      <c r="E3">
        <f t="shared" ref="E3:AG3" si="0">+D3+1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</row>
    <row r="4" spans="1:33" x14ac:dyDescent="0.25">
      <c r="A4" t="s">
        <v>129</v>
      </c>
    </row>
    <row r="5" spans="1:33" x14ac:dyDescent="0.25">
      <c r="A5" t="s">
        <v>130</v>
      </c>
    </row>
    <row r="6" spans="1:33" x14ac:dyDescent="0.25">
      <c r="A6" t="s">
        <v>131</v>
      </c>
    </row>
    <row r="9" spans="1:33" x14ac:dyDescent="0.25">
      <c r="A9" t="s">
        <v>132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workbookViewId="0">
      <selection activeCell="C18" sqref="C18"/>
    </sheetView>
  </sheetViews>
  <sheetFormatPr defaultRowHeight="13.2" x14ac:dyDescent="0.25"/>
  <cols>
    <col min="4" max="5" width="10.88671875" customWidth="1"/>
    <col min="6" max="6" width="4.33203125" customWidth="1"/>
  </cols>
  <sheetData>
    <row r="3" spans="1:6" x14ac:dyDescent="0.25">
      <c r="E3" t="s">
        <v>174</v>
      </c>
    </row>
    <row r="4" spans="1:6" x14ac:dyDescent="0.25">
      <c r="D4" s="33"/>
      <c r="E4" s="33">
        <f>+D4</f>
        <v>0</v>
      </c>
    </row>
    <row r="5" spans="1:6" x14ac:dyDescent="0.25">
      <c r="A5">
        <v>1</v>
      </c>
      <c r="D5" s="33"/>
      <c r="E5" s="33"/>
    </row>
    <row r="6" spans="1:6" x14ac:dyDescent="0.25">
      <c r="C6" t="s">
        <v>225</v>
      </c>
      <c r="D6" s="33">
        <f>3.738+0.23</f>
        <v>3.968</v>
      </c>
      <c r="E6" s="33">
        <f>+D6</f>
        <v>3.968</v>
      </c>
    </row>
    <row r="7" spans="1:6" x14ac:dyDescent="0.25">
      <c r="C7" s="4"/>
      <c r="D7" s="4"/>
      <c r="E7" s="4"/>
      <c r="F7" s="4"/>
    </row>
    <row r="8" spans="1:6" x14ac:dyDescent="0.25">
      <c r="C8" s="118" t="s">
        <v>171</v>
      </c>
      <c r="D8" s="119" t="s">
        <v>177</v>
      </c>
      <c r="E8" s="119" t="s">
        <v>177</v>
      </c>
      <c r="F8" s="4"/>
    </row>
    <row r="9" spans="1:6" x14ac:dyDescent="0.25">
      <c r="C9" s="120" t="s">
        <v>172</v>
      </c>
      <c r="D9" s="27">
        <v>1.2999999999999999E-3</v>
      </c>
      <c r="E9" s="27">
        <v>1.2999999999999999E-3</v>
      </c>
      <c r="F9" s="4"/>
    </row>
    <row r="10" spans="1:6" x14ac:dyDescent="0.25">
      <c r="C10" s="120" t="s">
        <v>173</v>
      </c>
      <c r="D10" s="27">
        <f>0.0022</f>
        <v>2.2000000000000001E-3</v>
      </c>
      <c r="E10" s="27">
        <f>0.0022</f>
        <v>2.2000000000000001E-3</v>
      </c>
      <c r="F10" s="4"/>
    </row>
    <row r="11" spans="1:6" x14ac:dyDescent="0.25">
      <c r="C11" s="123">
        <v>0.02</v>
      </c>
      <c r="D11" s="121">
        <f>+D6/(1-C11)-D6</f>
        <v>8.0979591836734421E-2</v>
      </c>
      <c r="E11" s="121">
        <f>+E6/(1-$D11)-E6</f>
        <v>0.34964078877242688</v>
      </c>
      <c r="F11" s="4"/>
    </row>
    <row r="12" spans="1:6" x14ac:dyDescent="0.25">
      <c r="C12" s="26"/>
      <c r="D12" s="122">
        <f>SUM(D9:D11)</f>
        <v>8.4479591836734425E-2</v>
      </c>
      <c r="E12" s="122">
        <f>SUM(E9:E11)</f>
        <v>0.35314078877242688</v>
      </c>
      <c r="F12" s="4"/>
    </row>
    <row r="13" spans="1:6" x14ac:dyDescent="0.25">
      <c r="C13" s="4"/>
      <c r="D13" s="4"/>
      <c r="E13" s="4"/>
      <c r="F13" s="4"/>
    </row>
    <row r="14" spans="1:6" x14ac:dyDescent="0.25">
      <c r="C14" s="4"/>
      <c r="D14" s="124">
        <f>+D6+D12</f>
        <v>4.0524795918367342</v>
      </c>
      <c r="E14" s="124">
        <f>+E6+E12</f>
        <v>4.3211407887724267</v>
      </c>
      <c r="F14" s="4"/>
    </row>
    <row r="15" spans="1:6" x14ac:dyDescent="0.25">
      <c r="C15" s="4"/>
      <c r="D15" s="4" t="s">
        <v>184</v>
      </c>
      <c r="E15" s="4" t="s">
        <v>185</v>
      </c>
      <c r="F15" s="4"/>
    </row>
    <row r="16" spans="1:6" x14ac:dyDescent="0.25">
      <c r="C16" s="120" t="s">
        <v>172</v>
      </c>
      <c r="D16" s="27">
        <v>7.6E-3</v>
      </c>
      <c r="E16" s="27">
        <v>7.7999999999999996E-3</v>
      </c>
    </row>
    <row r="17" spans="3:6" x14ac:dyDescent="0.25">
      <c r="C17" s="120" t="s">
        <v>173</v>
      </c>
      <c r="D17" s="27">
        <f>0.0022+0.0097</f>
        <v>1.1900000000000001E-2</v>
      </c>
      <c r="E17" s="27">
        <f>0.0022+0.007</f>
        <v>9.1999999999999998E-3</v>
      </c>
    </row>
    <row r="18" spans="3:6" x14ac:dyDescent="0.25">
      <c r="C18" s="123">
        <v>8.0999999999999996E-3</v>
      </c>
      <c r="D18" s="121">
        <f>+D14/(1-C18)-D14</f>
        <v>3.3093139120755843E-2</v>
      </c>
      <c r="E18" s="121">
        <f>+E14/(1-$D18)-E14</f>
        <v>0.14789440334840886</v>
      </c>
    </row>
    <row r="19" spans="3:6" x14ac:dyDescent="0.25">
      <c r="C19" s="26"/>
      <c r="D19" s="122">
        <f>SUM(D16:D18)</f>
        <v>5.2593139120755847E-2</v>
      </c>
      <c r="E19" s="122">
        <f>SUM(E16:E18)</f>
        <v>0.16489440334840888</v>
      </c>
    </row>
    <row r="21" spans="3:6" x14ac:dyDescent="0.25">
      <c r="D21" s="126">
        <f>+D14+D19</f>
        <v>4.1050727309574899</v>
      </c>
      <c r="E21" s="126">
        <f>+E14+E19</f>
        <v>4.4860351921208359</v>
      </c>
    </row>
    <row r="23" spans="3:6" x14ac:dyDescent="0.25">
      <c r="C23" t="s">
        <v>179</v>
      </c>
      <c r="D23" s="127">
        <v>0.42499999999999999</v>
      </c>
      <c r="E23" s="127">
        <v>0.42499999999999999</v>
      </c>
    </row>
    <row r="24" spans="3:6" x14ac:dyDescent="0.25">
      <c r="C24" t="s">
        <v>178</v>
      </c>
      <c r="D24" s="39">
        <f>+D23-D5</f>
        <v>0.42499999999999999</v>
      </c>
      <c r="E24" s="39">
        <f>+E23-E5</f>
        <v>0.42499999999999999</v>
      </c>
    </row>
    <row r="25" spans="3:6" x14ac:dyDescent="0.25">
      <c r="C25" t="s">
        <v>180</v>
      </c>
      <c r="D25" s="125">
        <f>+D12+D19</f>
        <v>0.13707273095749029</v>
      </c>
      <c r="E25" s="125">
        <f>+E12+E19</f>
        <v>0.51803519212083571</v>
      </c>
    </row>
    <row r="26" spans="3:6" x14ac:dyDescent="0.25">
      <c r="D26" s="126">
        <f>+D24-D25</f>
        <v>0.2879272690425097</v>
      </c>
      <c r="E26" s="126">
        <f>+E24-E25</f>
        <v>-9.3035192120835719E-2</v>
      </c>
    </row>
    <row r="27" spans="3:6" x14ac:dyDescent="0.25">
      <c r="C27" t="s">
        <v>181</v>
      </c>
      <c r="D27" s="128">
        <f>3.2903/30</f>
        <v>0.10967666666666666</v>
      </c>
      <c r="E27" s="128">
        <f>3.2903/30</f>
        <v>0.10967666666666666</v>
      </c>
      <c r="F27" s="128"/>
    </row>
    <row r="28" spans="3:6" x14ac:dyDescent="0.25">
      <c r="C28" t="s">
        <v>182</v>
      </c>
      <c r="D28" s="126">
        <f>+D26-D27</f>
        <v>0.17825060237584306</v>
      </c>
      <c r="E28" s="126">
        <f>+E26-E27</f>
        <v>-0.20271185878750236</v>
      </c>
    </row>
    <row r="31" spans="3:6" x14ac:dyDescent="0.25">
      <c r="C31" t="s">
        <v>52</v>
      </c>
      <c r="D31">
        <v>2100</v>
      </c>
      <c r="E31">
        <v>3900</v>
      </c>
    </row>
    <row r="33" spans="3:6" x14ac:dyDescent="0.25">
      <c r="D33" s="126">
        <f>+D31*D28</f>
        <v>374.32626498927044</v>
      </c>
      <c r="E33" s="126">
        <f>+E31*E28</f>
        <v>-790.57624927125926</v>
      </c>
    </row>
    <row r="34" spans="3:6" x14ac:dyDescent="0.25">
      <c r="C34" t="s">
        <v>190</v>
      </c>
      <c r="D34">
        <v>30</v>
      </c>
      <c r="E34">
        <f>+D34</f>
        <v>30</v>
      </c>
    </row>
    <row r="35" spans="3:6" x14ac:dyDescent="0.25">
      <c r="C35" s="129" t="s">
        <v>191</v>
      </c>
      <c r="D35" s="130">
        <f>+D34*D33</f>
        <v>11229.787949678113</v>
      </c>
      <c r="E35" s="130">
        <f>+E34*E33</f>
        <v>-23717.287478137776</v>
      </c>
      <c r="F35" s="130"/>
    </row>
    <row r="37" spans="3:6" x14ac:dyDescent="0.25">
      <c r="D37" s="130">
        <f>SUM(D35:E35)</f>
        <v>-12487.499528459663</v>
      </c>
    </row>
    <row r="39" spans="3:6" x14ac:dyDescent="0.25">
      <c r="D39" s="130">
        <f>SUM(D37:Q37)</f>
        <v>-12487.499528459663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9"/>
  <sheetViews>
    <sheetView topLeftCell="A10" workbookViewId="0">
      <selection activeCell="E37" sqref="E37"/>
    </sheetView>
  </sheetViews>
  <sheetFormatPr defaultRowHeight="13.2" x14ac:dyDescent="0.25"/>
  <cols>
    <col min="5" max="6" width="10.88671875" customWidth="1"/>
    <col min="7" max="7" width="4.33203125" customWidth="1"/>
    <col min="8" max="10" width="10.88671875" customWidth="1"/>
    <col min="11" max="11" width="4.33203125" customWidth="1"/>
    <col min="12" max="14" width="10.88671875" customWidth="1"/>
    <col min="15" max="15" width="4.33203125" customWidth="1"/>
    <col min="16" max="18" width="10.88671875" customWidth="1"/>
  </cols>
  <sheetData>
    <row r="3" spans="3:18" x14ac:dyDescent="0.25">
      <c r="E3" t="s">
        <v>174</v>
      </c>
      <c r="F3" t="s">
        <v>174</v>
      </c>
      <c r="H3" t="s">
        <v>183</v>
      </c>
      <c r="I3" t="s">
        <v>183</v>
      </c>
      <c r="J3" t="s">
        <v>183</v>
      </c>
      <c r="L3" t="s">
        <v>188</v>
      </c>
      <c r="M3" t="str">
        <f>+L3</f>
        <v>August</v>
      </c>
      <c r="N3" t="str">
        <f>+L3</f>
        <v>August</v>
      </c>
      <c r="P3" t="s">
        <v>189</v>
      </c>
      <c r="Q3" t="str">
        <f>+P3</f>
        <v>Sep</v>
      </c>
      <c r="R3" t="str">
        <f>+P3</f>
        <v>Sep</v>
      </c>
    </row>
    <row r="4" spans="3:18" x14ac:dyDescent="0.25">
      <c r="C4" t="s">
        <v>175</v>
      </c>
      <c r="E4" s="33">
        <v>4.07</v>
      </c>
      <c r="F4" s="33">
        <f>+E4</f>
        <v>4.07</v>
      </c>
      <c r="H4" s="33">
        <v>3.93</v>
      </c>
      <c r="I4" s="33">
        <f>+H4</f>
        <v>3.93</v>
      </c>
      <c r="J4" s="33">
        <f>+I4</f>
        <v>3.93</v>
      </c>
      <c r="L4" s="33">
        <v>4</v>
      </c>
      <c r="M4" s="33">
        <f>+L4</f>
        <v>4</v>
      </c>
      <c r="N4" s="33">
        <f>+M4</f>
        <v>4</v>
      </c>
      <c r="P4" s="33">
        <v>4.05</v>
      </c>
      <c r="Q4" s="33">
        <f>+P4</f>
        <v>4.05</v>
      </c>
      <c r="R4" s="33">
        <f>+Q4</f>
        <v>4.05</v>
      </c>
    </row>
    <row r="5" spans="3:18" x14ac:dyDescent="0.25">
      <c r="C5" t="s">
        <v>176</v>
      </c>
      <c r="E5" s="33">
        <v>0.23</v>
      </c>
      <c r="F5" s="33">
        <v>0.23</v>
      </c>
      <c r="H5" s="33">
        <v>0.20499999999999999</v>
      </c>
      <c r="I5" s="33">
        <v>0.20499999999999999</v>
      </c>
      <c r="J5" s="33">
        <v>0.27500000000000002</v>
      </c>
      <c r="L5" s="33">
        <v>0.20499999999999999</v>
      </c>
      <c r="M5" s="33">
        <v>0.20499999999999999</v>
      </c>
      <c r="N5" s="33">
        <v>0.27500000000000002</v>
      </c>
      <c r="P5" s="33">
        <v>0.20499999999999999</v>
      </c>
      <c r="Q5" s="33">
        <v>0.20499999999999999</v>
      </c>
      <c r="R5" s="33">
        <v>0.27500000000000002</v>
      </c>
    </row>
    <row r="6" spans="3:18" x14ac:dyDescent="0.25">
      <c r="E6" s="33">
        <f>SUM(E4:E5)</f>
        <v>4.3000000000000007</v>
      </c>
      <c r="F6" s="33">
        <f>SUM(F4:F5)</f>
        <v>4.3000000000000007</v>
      </c>
      <c r="H6" s="33">
        <f>SUM(H4:H5)</f>
        <v>4.1349999999999998</v>
      </c>
      <c r="I6" s="33">
        <f>SUM(I4:I5)</f>
        <v>4.1349999999999998</v>
      </c>
      <c r="J6" s="33">
        <f>SUM(J4:J5)</f>
        <v>4.2050000000000001</v>
      </c>
      <c r="L6" s="33">
        <f>SUM(L4:L5)</f>
        <v>4.2050000000000001</v>
      </c>
      <c r="M6" s="33">
        <f>SUM(M4:M5)</f>
        <v>4.2050000000000001</v>
      </c>
      <c r="N6" s="33">
        <f>SUM(N4:N5)</f>
        <v>4.2750000000000004</v>
      </c>
      <c r="P6" s="33">
        <f>SUM(P4:P5)</f>
        <v>4.2549999999999999</v>
      </c>
      <c r="Q6" s="33">
        <f>SUM(Q4:Q5)</f>
        <v>4.2549999999999999</v>
      </c>
      <c r="R6" s="33">
        <f>SUM(R4:R5)</f>
        <v>4.3250000000000002</v>
      </c>
    </row>
    <row r="7" spans="3:18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3:18" x14ac:dyDescent="0.25">
      <c r="C8" s="4"/>
      <c r="D8" s="118" t="s">
        <v>171</v>
      </c>
      <c r="E8" s="119" t="s">
        <v>177</v>
      </c>
      <c r="F8" s="119" t="s">
        <v>177</v>
      </c>
      <c r="G8" s="4"/>
      <c r="H8" s="119" t="s">
        <v>177</v>
      </c>
      <c r="I8" s="119" t="s">
        <v>177</v>
      </c>
      <c r="J8" s="119" t="s">
        <v>187</v>
      </c>
      <c r="K8" s="4"/>
      <c r="L8" s="119" t="s">
        <v>177</v>
      </c>
      <c r="M8" s="119" t="s">
        <v>177</v>
      </c>
      <c r="N8" s="119" t="s">
        <v>187</v>
      </c>
      <c r="O8" s="4"/>
      <c r="P8" s="119" t="s">
        <v>177</v>
      </c>
      <c r="Q8" s="119" t="s">
        <v>177</v>
      </c>
      <c r="R8" s="119" t="s">
        <v>187</v>
      </c>
    </row>
    <row r="9" spans="3:18" x14ac:dyDescent="0.25">
      <c r="C9" s="4"/>
      <c r="D9" s="120" t="s">
        <v>172</v>
      </c>
      <c r="E9" s="27">
        <v>1.2999999999999999E-3</v>
      </c>
      <c r="F9" s="27">
        <v>1.2999999999999999E-3</v>
      </c>
      <c r="G9" s="4"/>
      <c r="H9" s="27">
        <v>1.2999999999999999E-3</v>
      </c>
      <c r="I9" s="27">
        <v>1.2999999999999999E-3</v>
      </c>
      <c r="J9" s="27" t="s">
        <v>186</v>
      </c>
      <c r="K9" s="4"/>
      <c r="L9" s="27">
        <v>1.2999999999999999E-3</v>
      </c>
      <c r="M9" s="27">
        <v>1.2999999999999999E-3</v>
      </c>
      <c r="N9" s="27" t="s">
        <v>186</v>
      </c>
      <c r="O9" s="4"/>
      <c r="P9" s="27">
        <v>1.2999999999999999E-3</v>
      </c>
      <c r="Q9" s="27">
        <v>1.2999999999999999E-3</v>
      </c>
      <c r="R9" s="27" t="s">
        <v>186</v>
      </c>
    </row>
    <row r="10" spans="3:18" x14ac:dyDescent="0.25">
      <c r="C10" s="4"/>
      <c r="D10" s="120" t="s">
        <v>173</v>
      </c>
      <c r="E10" s="27">
        <f>0.0022</f>
        <v>2.2000000000000001E-3</v>
      </c>
      <c r="F10" s="27">
        <f>0.0022</f>
        <v>2.2000000000000001E-3</v>
      </c>
      <c r="G10" s="4"/>
      <c r="H10" s="27">
        <f>0.0022</f>
        <v>2.2000000000000001E-3</v>
      </c>
      <c r="I10" s="27">
        <f>0.0022</f>
        <v>2.2000000000000001E-3</v>
      </c>
      <c r="J10" s="27"/>
      <c r="K10" s="4"/>
      <c r="L10" s="27">
        <f>0.0022</f>
        <v>2.2000000000000001E-3</v>
      </c>
      <c r="M10" s="27">
        <f>0.0022</f>
        <v>2.2000000000000001E-3</v>
      </c>
      <c r="N10" s="27"/>
      <c r="O10" s="4"/>
      <c r="P10" s="27">
        <f>0.0022</f>
        <v>2.2000000000000001E-3</v>
      </c>
      <c r="Q10" s="27">
        <f>0.0022</f>
        <v>2.2000000000000001E-3</v>
      </c>
      <c r="R10" s="27"/>
    </row>
    <row r="11" spans="3:18" x14ac:dyDescent="0.25">
      <c r="C11" s="4"/>
      <c r="D11" s="123">
        <v>0.02</v>
      </c>
      <c r="E11" s="121">
        <f>+E6/(1-D11)-E6</f>
        <v>8.7755102040816269E-2</v>
      </c>
      <c r="F11" s="121">
        <f>+F6/(1-$D11)-F6</f>
        <v>8.7755102040816269E-2</v>
      </c>
      <c r="G11" s="4"/>
      <c r="H11" s="121">
        <f>+H6/(1-$D11)-H6</f>
        <v>8.4387755102040884E-2</v>
      </c>
      <c r="I11" s="121">
        <f>+I6/(1-$D11)-I6</f>
        <v>8.4387755102040884E-2</v>
      </c>
      <c r="J11" s="121"/>
      <c r="K11" s="4"/>
      <c r="L11" s="121">
        <f>+L6/(1-$D11)-L6</f>
        <v>8.5816326530612663E-2</v>
      </c>
      <c r="M11" s="121">
        <f>+M6/(1-$D11)-M6</f>
        <v>8.5816326530612663E-2</v>
      </c>
      <c r="N11" s="121"/>
      <c r="O11" s="4"/>
      <c r="P11" s="121">
        <f>+P6/(1-$D11)-P6</f>
        <v>8.6836734693877204E-2</v>
      </c>
      <c r="Q11" s="121">
        <f>+Q6/(1-$D11)-Q6</f>
        <v>8.6836734693877204E-2</v>
      </c>
      <c r="R11" s="121"/>
    </row>
    <row r="12" spans="3:18" x14ac:dyDescent="0.25">
      <c r="C12" s="4"/>
      <c r="D12" s="26"/>
      <c r="E12" s="122">
        <f>SUM(E9:E11)</f>
        <v>9.1255102040816272E-2</v>
      </c>
      <c r="F12" s="122">
        <f>SUM(F9:F11)</f>
        <v>9.1255102040816272E-2</v>
      </c>
      <c r="G12" s="4"/>
      <c r="H12" s="122">
        <f>SUM(H9:H11)</f>
        <v>8.7887755102040888E-2</v>
      </c>
      <c r="I12" s="122">
        <f>SUM(I9:I11)</f>
        <v>8.7887755102040888E-2</v>
      </c>
      <c r="J12" s="122"/>
      <c r="K12" s="4"/>
      <c r="L12" s="122">
        <f>SUM(L9:L11)</f>
        <v>8.9316326530612666E-2</v>
      </c>
      <c r="M12" s="122">
        <f>SUM(M9:M11)</f>
        <v>8.9316326530612666E-2</v>
      </c>
      <c r="N12" s="122"/>
      <c r="O12" s="4"/>
      <c r="P12" s="122">
        <f>SUM(P9:P11)</f>
        <v>9.0336734693877208E-2</v>
      </c>
      <c r="Q12" s="122">
        <f>SUM(Q9:Q11)</f>
        <v>9.0336734693877208E-2</v>
      </c>
      <c r="R12" s="122"/>
    </row>
    <row r="13" spans="3:18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3:18" x14ac:dyDescent="0.25">
      <c r="C14" s="4"/>
      <c r="D14" s="4"/>
      <c r="E14" s="124">
        <f>+E6+E12</f>
        <v>4.3912551020408168</v>
      </c>
      <c r="F14" s="124">
        <f>+F6+F12</f>
        <v>4.3912551020408168</v>
      </c>
      <c r="G14" s="4"/>
      <c r="H14" s="124">
        <f>+H6+H12</f>
        <v>4.2228877551020405</v>
      </c>
      <c r="I14" s="124">
        <f>+I6+I12</f>
        <v>4.2228877551020405</v>
      </c>
      <c r="J14" s="124"/>
      <c r="K14" s="4"/>
      <c r="L14" s="124">
        <f>+L6+L12</f>
        <v>4.2943163265306126</v>
      </c>
      <c r="M14" s="124">
        <f>+M6+M12</f>
        <v>4.2943163265306126</v>
      </c>
      <c r="N14" s="124"/>
      <c r="O14" s="4"/>
      <c r="P14" s="124">
        <f>+P6+P12</f>
        <v>4.3453367346938769</v>
      </c>
      <c r="Q14" s="124">
        <f>+Q6+Q12</f>
        <v>4.3453367346938769</v>
      </c>
      <c r="R14" s="124"/>
    </row>
    <row r="15" spans="3:18" x14ac:dyDescent="0.25">
      <c r="C15" s="4"/>
      <c r="D15" s="4"/>
      <c r="E15" s="4" t="s">
        <v>184</v>
      </c>
      <c r="F15" s="4" t="s">
        <v>185</v>
      </c>
      <c r="G15" s="4"/>
      <c r="H15" s="4" t="s">
        <v>184</v>
      </c>
      <c r="I15" s="4" t="s">
        <v>185</v>
      </c>
      <c r="J15" s="4" t="s">
        <v>185</v>
      </c>
      <c r="K15" s="4"/>
      <c r="L15" s="4" t="s">
        <v>184</v>
      </c>
      <c r="M15" s="4" t="s">
        <v>185</v>
      </c>
      <c r="N15" s="4" t="s">
        <v>185</v>
      </c>
      <c r="O15" s="4"/>
      <c r="P15" s="4" t="s">
        <v>184</v>
      </c>
      <c r="Q15" s="4" t="s">
        <v>185</v>
      </c>
      <c r="R15" s="4" t="s">
        <v>185</v>
      </c>
    </row>
    <row r="16" spans="3:18" x14ac:dyDescent="0.25">
      <c r="C16" t="s">
        <v>50</v>
      </c>
      <c r="D16" s="120" t="s">
        <v>172</v>
      </c>
      <c r="E16" s="27">
        <v>7.6E-3</v>
      </c>
      <c r="F16" s="27">
        <v>7.7999999999999996E-3</v>
      </c>
      <c r="H16" s="27">
        <v>7.6E-3</v>
      </c>
      <c r="I16" s="27">
        <v>7.7999999999999996E-3</v>
      </c>
      <c r="J16" s="27">
        <v>7.7999999999999996E-3</v>
      </c>
      <c r="L16" s="27">
        <v>7.6E-3</v>
      </c>
      <c r="M16" s="27">
        <v>7.7999999999999996E-3</v>
      </c>
      <c r="N16" s="27">
        <v>7.7999999999999996E-3</v>
      </c>
      <c r="P16" s="27">
        <v>7.6E-3</v>
      </c>
      <c r="Q16" s="27">
        <v>7.7999999999999996E-3</v>
      </c>
      <c r="R16" s="27">
        <v>7.7999999999999996E-3</v>
      </c>
    </row>
    <row r="17" spans="4:18" x14ac:dyDescent="0.25">
      <c r="D17" s="120" t="s">
        <v>173</v>
      </c>
      <c r="E17" s="27">
        <f>0.0022+0.0097</f>
        <v>1.1900000000000001E-2</v>
      </c>
      <c r="F17" s="27">
        <f>0.0022+0.007</f>
        <v>9.1999999999999998E-3</v>
      </c>
      <c r="H17" s="27">
        <f>0.0022+0.0097</f>
        <v>1.1900000000000001E-2</v>
      </c>
      <c r="I17" s="27">
        <f>0.0022+0.007</f>
        <v>9.1999999999999998E-3</v>
      </c>
      <c r="J17" s="27">
        <f>0.0022+0.007</f>
        <v>9.1999999999999998E-3</v>
      </c>
      <c r="L17" s="27">
        <f>0.0022+0.0097</f>
        <v>1.1900000000000001E-2</v>
      </c>
      <c r="M17" s="27">
        <f>0.0022+0.007</f>
        <v>9.1999999999999998E-3</v>
      </c>
      <c r="N17" s="27">
        <f>0.0022+0.007</f>
        <v>9.1999999999999998E-3</v>
      </c>
      <c r="P17" s="27">
        <f>0.0022+0.0097</f>
        <v>1.1900000000000001E-2</v>
      </c>
      <c r="Q17" s="27">
        <f>0.0022+0.007</f>
        <v>9.1999999999999998E-3</v>
      </c>
      <c r="R17" s="27">
        <f>0.0022+0.007</f>
        <v>9.1999999999999998E-3</v>
      </c>
    </row>
    <row r="18" spans="4:18" x14ac:dyDescent="0.25">
      <c r="D18" s="123">
        <v>8.0999999999999996E-3</v>
      </c>
      <c r="E18" s="121">
        <f>+E14/(1-D18)-E14</f>
        <v>3.5859629324055398E-2</v>
      </c>
      <c r="F18" s="121">
        <f>+F14/(1-$D18)-F14</f>
        <v>3.5859629324055398E-2</v>
      </c>
      <c r="H18" s="121">
        <f>+H14/(1-$D18)-H14</f>
        <v>3.4484717024223066E-2</v>
      </c>
      <c r="I18" s="121">
        <f>+I14/(1-$D18)-I14</f>
        <v>3.4484717024223066E-2</v>
      </c>
      <c r="J18" s="121">
        <f>+J6/(1-$D18)-J6</f>
        <v>3.433864300836742E-2</v>
      </c>
      <c r="L18" s="121">
        <f>+L14/(1-$D18)-L14</f>
        <v>3.5068013151424715E-2</v>
      </c>
      <c r="M18" s="121">
        <f>+M14/(1-$D18)-M14</f>
        <v>3.5068013151424715E-2</v>
      </c>
      <c r="N18" s="121">
        <f>+N6/(1-$D18)-N6</f>
        <v>3.4910273213025533E-2</v>
      </c>
      <c r="P18" s="121">
        <f>+P14/(1-$D18)-P14</f>
        <v>3.5484653242282782E-2</v>
      </c>
      <c r="Q18" s="121">
        <f>+Q14/(1-$D18)-Q14</f>
        <v>3.5484653242282782E-2</v>
      </c>
      <c r="R18" s="121">
        <f>+R6/(1-$D18)-R6</f>
        <v>3.5318580502067043E-2</v>
      </c>
    </row>
    <row r="19" spans="4:18" x14ac:dyDescent="0.25">
      <c r="D19" s="26"/>
      <c r="E19" s="122">
        <f>SUM(E16:E18)</f>
        <v>5.5359629324055401E-2</v>
      </c>
      <c r="F19" s="122">
        <f>SUM(F16:F18)</f>
        <v>5.2859629324055399E-2</v>
      </c>
      <c r="H19" s="122">
        <f>SUM(H16:H18)</f>
        <v>5.398471702422307E-2</v>
      </c>
      <c r="I19" s="122">
        <f>SUM(I16:I18)</f>
        <v>5.1484717024223067E-2</v>
      </c>
      <c r="J19" s="122">
        <f>SUM(J16:J18)</f>
        <v>5.1338643008367421E-2</v>
      </c>
      <c r="L19" s="122">
        <f>SUM(L16:L18)</f>
        <v>5.4568013151424719E-2</v>
      </c>
      <c r="M19" s="122">
        <f>SUM(M16:M18)</f>
        <v>5.2068013151424716E-2</v>
      </c>
      <c r="N19" s="122">
        <f>SUM(N16:N18)</f>
        <v>5.1910273213025535E-2</v>
      </c>
      <c r="P19" s="122">
        <f>SUM(P16:P18)</f>
        <v>5.4984653242282786E-2</v>
      </c>
      <c r="Q19" s="122">
        <f>SUM(Q16:Q18)</f>
        <v>5.2484653242282783E-2</v>
      </c>
      <c r="R19" s="122">
        <f>SUM(R16:R18)</f>
        <v>5.2318580502067044E-2</v>
      </c>
    </row>
    <row r="21" spans="4:18" x14ac:dyDescent="0.25">
      <c r="E21" s="126">
        <f>+E14+E19</f>
        <v>4.4466147313648721</v>
      </c>
      <c r="F21" s="126">
        <f>+F14+F19</f>
        <v>4.4441147313648726</v>
      </c>
      <c r="H21" s="126">
        <f>+H14+H19</f>
        <v>4.2768724721262634</v>
      </c>
      <c r="I21" s="126">
        <f>+I14+I19</f>
        <v>4.2743724721262639</v>
      </c>
      <c r="J21" s="126">
        <f>+J6+J19</f>
        <v>4.2563386430083678</v>
      </c>
      <c r="L21" s="126">
        <f>+L14+L19</f>
        <v>4.3488843396820371</v>
      </c>
      <c r="M21" s="126">
        <f>+M14+M19</f>
        <v>4.3463843396820376</v>
      </c>
      <c r="N21" s="126">
        <f>+N6+N19</f>
        <v>4.3269102732130262</v>
      </c>
      <c r="P21" s="126">
        <f>+P14+P19</f>
        <v>4.4003213879361596</v>
      </c>
      <c r="Q21" s="126">
        <f>+Q14+Q19</f>
        <v>4.3978213879361601</v>
      </c>
      <c r="R21" s="126">
        <f>+R6+R19</f>
        <v>4.3773185805020676</v>
      </c>
    </row>
    <row r="23" spans="4:18" x14ac:dyDescent="0.25">
      <c r="D23" t="s">
        <v>179</v>
      </c>
      <c r="E23" s="127">
        <v>0.42499999999999999</v>
      </c>
      <c r="F23" s="127">
        <v>0.42499999999999999</v>
      </c>
      <c r="H23" s="127">
        <v>0.5</v>
      </c>
      <c r="I23" s="127">
        <v>0.5</v>
      </c>
      <c r="J23" s="127">
        <v>0.5</v>
      </c>
      <c r="L23" s="127">
        <v>0.5</v>
      </c>
      <c r="M23" s="127">
        <v>0.5</v>
      </c>
      <c r="N23" s="127">
        <v>0.5</v>
      </c>
      <c r="P23" s="127">
        <v>0.5</v>
      </c>
      <c r="Q23" s="127">
        <v>0.5</v>
      </c>
      <c r="R23" s="127">
        <v>0.5</v>
      </c>
    </row>
    <row r="24" spans="4:18" x14ac:dyDescent="0.25">
      <c r="D24" t="s">
        <v>178</v>
      </c>
      <c r="E24" s="39">
        <f>+E23-E5</f>
        <v>0.19499999999999998</v>
      </c>
      <c r="F24" s="39">
        <f>+F23-F5</f>
        <v>0.19499999999999998</v>
      </c>
      <c r="H24" s="39">
        <f>+H23-H5</f>
        <v>0.29500000000000004</v>
      </c>
      <c r="I24" s="39">
        <f>+I23-I5</f>
        <v>0.29500000000000004</v>
      </c>
      <c r="J24" s="39">
        <f>+J23-J5</f>
        <v>0.22499999999999998</v>
      </c>
      <c r="L24" s="39">
        <f>+L23-L5</f>
        <v>0.29500000000000004</v>
      </c>
      <c r="M24" s="39">
        <f>+M23-M5</f>
        <v>0.29500000000000004</v>
      </c>
      <c r="N24" s="39">
        <f>+N23-N5</f>
        <v>0.22499999999999998</v>
      </c>
      <c r="P24" s="39">
        <f>+P23-P5</f>
        <v>0.29500000000000004</v>
      </c>
      <c r="Q24" s="39">
        <f>+Q23-Q5</f>
        <v>0.29500000000000004</v>
      </c>
      <c r="R24" s="39">
        <f>+R23-R5</f>
        <v>0.22499999999999998</v>
      </c>
    </row>
    <row r="25" spans="4:18" x14ac:dyDescent="0.25">
      <c r="D25" t="s">
        <v>180</v>
      </c>
      <c r="E25" s="125">
        <f>+E12+E19</f>
        <v>0.14661473136487169</v>
      </c>
      <c r="F25" s="125">
        <f>+F12+F19</f>
        <v>0.14411473136487168</v>
      </c>
      <c r="H25" s="125">
        <f>+H12+H19</f>
        <v>0.14187247212626397</v>
      </c>
      <c r="I25" s="125">
        <f>+I12+I19</f>
        <v>0.13937247212626397</v>
      </c>
      <c r="J25" s="125">
        <f>+J12+J19</f>
        <v>5.1338643008367421E-2</v>
      </c>
      <c r="L25" s="125">
        <f>+L12+L19</f>
        <v>0.1438843396820374</v>
      </c>
      <c r="M25" s="125">
        <f>+M12+M19</f>
        <v>0.1413843396820374</v>
      </c>
      <c r="N25" s="125">
        <f>+N12+N19</f>
        <v>5.1910273213025535E-2</v>
      </c>
      <c r="P25" s="125">
        <f>+P12+P19</f>
        <v>0.14532138793616001</v>
      </c>
      <c r="Q25" s="125">
        <f>+Q12+Q19</f>
        <v>0.14282138793616</v>
      </c>
      <c r="R25" s="125">
        <f>+R12+R19</f>
        <v>5.2318580502067044E-2</v>
      </c>
    </row>
    <row r="26" spans="4:18" x14ac:dyDescent="0.25">
      <c r="E26" s="126">
        <f>+E24-E25</f>
        <v>4.8385268635128292E-2</v>
      </c>
      <c r="F26" s="126">
        <f>+F24-F25</f>
        <v>5.0885268635128295E-2</v>
      </c>
      <c r="H26" s="126">
        <f>+H24-H25</f>
        <v>0.15312752787373607</v>
      </c>
      <c r="I26" s="126">
        <f>+I24-I25</f>
        <v>0.15562752787373607</v>
      </c>
      <c r="J26" s="126">
        <f>+J24-J25</f>
        <v>0.17366135699163254</v>
      </c>
      <c r="L26" s="126">
        <f>+L24-L25</f>
        <v>0.15111566031796264</v>
      </c>
      <c r="M26" s="126">
        <f>+M24-M25</f>
        <v>0.15361566031796264</v>
      </c>
      <c r="N26" s="126">
        <f>+N24-N25</f>
        <v>0.17308972678697443</v>
      </c>
      <c r="P26" s="126">
        <f>+P24-P25</f>
        <v>0.14967861206384003</v>
      </c>
      <c r="Q26" s="126">
        <f>+Q24-Q25</f>
        <v>0.15217861206384004</v>
      </c>
      <c r="R26" s="126">
        <f>+R24-R25</f>
        <v>0.17268141949793292</v>
      </c>
    </row>
    <row r="27" spans="4:18" x14ac:dyDescent="0.25">
      <c r="D27" t="s">
        <v>181</v>
      </c>
      <c r="E27" s="128">
        <f>3.2903/30</f>
        <v>0.10967666666666666</v>
      </c>
      <c r="F27" s="128">
        <f>3.2903/30</f>
        <v>0.10967666666666666</v>
      </c>
      <c r="G27" s="128"/>
      <c r="H27" s="128">
        <f>3.2903/31</f>
        <v>0.10613870967741935</v>
      </c>
      <c r="I27" s="128">
        <f>3.2903/31</f>
        <v>0.10613870967741935</v>
      </c>
      <c r="J27" s="128">
        <f>3.2903/31</f>
        <v>0.10613870967741935</v>
      </c>
      <c r="K27" s="128"/>
      <c r="L27" s="128">
        <f>3.2903/31</f>
        <v>0.10613870967741935</v>
      </c>
      <c r="M27" s="128">
        <f>3.2903/31</f>
        <v>0.10613870967741935</v>
      </c>
      <c r="N27" s="128">
        <f>3.2903/31</f>
        <v>0.10613870967741935</v>
      </c>
      <c r="O27" s="128"/>
      <c r="P27" s="128">
        <f>3.2903/30</f>
        <v>0.10967666666666666</v>
      </c>
      <c r="Q27" s="128">
        <f>3.2903/30</f>
        <v>0.10967666666666666</v>
      </c>
      <c r="R27" s="128">
        <f>3.2903/30</f>
        <v>0.10967666666666666</v>
      </c>
    </row>
    <row r="28" spans="4:18" x14ac:dyDescent="0.25">
      <c r="D28" t="s">
        <v>182</v>
      </c>
      <c r="E28" s="126">
        <f>+E26-E27</f>
        <v>-6.1291398031538366E-2</v>
      </c>
      <c r="F28" s="126">
        <f>+F26-F27</f>
        <v>-5.8791398031538364E-2</v>
      </c>
      <c r="H28" s="126">
        <f>+H26-H27</f>
        <v>4.6988818196316715E-2</v>
      </c>
      <c r="I28" s="126">
        <f>+I26-I27</f>
        <v>4.9488818196316717E-2</v>
      </c>
      <c r="J28" s="126">
        <f>+J26-J27</f>
        <v>6.7522647314213188E-2</v>
      </c>
      <c r="L28" s="126">
        <f>+L26-L27</f>
        <v>4.4976950640543287E-2</v>
      </c>
      <c r="M28" s="126">
        <f>+M26-M27</f>
        <v>4.7476950640543289E-2</v>
      </c>
      <c r="N28" s="126">
        <f>+N26-N27</f>
        <v>6.6951017109555075E-2</v>
      </c>
      <c r="P28" s="126">
        <f>+P26-P27</f>
        <v>4.0001945397173375E-2</v>
      </c>
      <c r="Q28" s="126">
        <f>+Q26-Q27</f>
        <v>4.2501945397173377E-2</v>
      </c>
      <c r="R28" s="126">
        <f>+R26-R27</f>
        <v>6.3004752831266261E-2</v>
      </c>
    </row>
    <row r="31" spans="4:18" x14ac:dyDescent="0.25">
      <c r="D31" t="s">
        <v>52</v>
      </c>
      <c r="E31">
        <v>2100</v>
      </c>
      <c r="F31">
        <v>3900</v>
      </c>
      <c r="H31">
        <v>2100</v>
      </c>
      <c r="I31">
        <f>3900-J31</f>
        <v>2908</v>
      </c>
      <c r="J31">
        <f>ROUND(1000*(1-0.0081),0)</f>
        <v>992</v>
      </c>
      <c r="L31">
        <v>2100</v>
      </c>
      <c r="M31">
        <f>3900-N31</f>
        <v>2908</v>
      </c>
      <c r="N31">
        <f>ROUND(1000*(1-0.0081),0)</f>
        <v>992</v>
      </c>
      <c r="P31">
        <v>2100</v>
      </c>
      <c r="Q31">
        <f>3900-R31</f>
        <v>2908</v>
      </c>
      <c r="R31">
        <f>ROUND(1000*(1-0.0081),0)</f>
        <v>992</v>
      </c>
    </row>
    <row r="33" spans="4:18" x14ac:dyDescent="0.25">
      <c r="E33" s="126">
        <f>+E31*E28</f>
        <v>-128.71193586623056</v>
      </c>
      <c r="F33" s="126">
        <f>+F31*F28</f>
        <v>-229.28645232299962</v>
      </c>
      <c r="H33" s="126">
        <f>+H31*H28</f>
        <v>98.676518212265094</v>
      </c>
      <c r="I33" s="126">
        <f>+I31*I28</f>
        <v>143.91348331488902</v>
      </c>
      <c r="J33" s="126">
        <f>+J31*J28</f>
        <v>66.982466135699482</v>
      </c>
      <c r="L33" s="126">
        <f>+L31*L28</f>
        <v>94.451596345140899</v>
      </c>
      <c r="M33" s="126">
        <f>+M31*M28</f>
        <v>138.06297246269989</v>
      </c>
      <c r="N33" s="126">
        <f>+N31*N28</f>
        <v>66.415408972678634</v>
      </c>
      <c r="P33" s="126">
        <f>+P31*P28</f>
        <v>84.004085334064087</v>
      </c>
      <c r="Q33" s="126">
        <f>+Q31*Q28</f>
        <v>123.59565721498018</v>
      </c>
      <c r="R33" s="126">
        <f>+R31*R28</f>
        <v>62.500714808616131</v>
      </c>
    </row>
    <row r="34" spans="4:18" x14ac:dyDescent="0.25">
      <c r="D34" t="s">
        <v>190</v>
      </c>
      <c r="E34">
        <v>30</v>
      </c>
      <c r="F34">
        <f>+E34</f>
        <v>30</v>
      </c>
      <c r="H34">
        <v>30</v>
      </c>
      <c r="I34">
        <f>+H34</f>
        <v>30</v>
      </c>
      <c r="J34">
        <f>+I34</f>
        <v>30</v>
      </c>
      <c r="L34">
        <v>30</v>
      </c>
      <c r="M34">
        <f>+L34</f>
        <v>30</v>
      </c>
      <c r="N34">
        <f>+M34</f>
        <v>30</v>
      </c>
      <c r="P34">
        <v>30</v>
      </c>
      <c r="Q34">
        <f>+P34</f>
        <v>30</v>
      </c>
      <c r="R34">
        <f>+Q34</f>
        <v>30</v>
      </c>
    </row>
    <row r="35" spans="4:18" x14ac:dyDescent="0.25">
      <c r="D35" s="129" t="s">
        <v>191</v>
      </c>
      <c r="E35" s="130">
        <f>+E34*E33</f>
        <v>-3861.3580759869169</v>
      </c>
      <c r="F35" s="130">
        <f>+F34*F33</f>
        <v>-6878.5935696899887</v>
      </c>
      <c r="G35" s="130"/>
      <c r="H35" s="130">
        <f>+H34*H33</f>
        <v>2960.2955463679527</v>
      </c>
      <c r="I35" s="130">
        <f>+I34*I33</f>
        <v>4317.4044994466703</v>
      </c>
      <c r="J35" s="130">
        <f>+J34*J33</f>
        <v>2009.4739840709844</v>
      </c>
      <c r="L35" s="130">
        <f>+L34*L33</f>
        <v>2833.5478903542271</v>
      </c>
      <c r="M35" s="130">
        <f>+M34*M33</f>
        <v>4141.8891738809971</v>
      </c>
      <c r="N35" s="130">
        <f>+N34*N33</f>
        <v>1992.462269180359</v>
      </c>
      <c r="P35" s="130">
        <f>+P34*P33</f>
        <v>2520.1225600219227</v>
      </c>
      <c r="Q35" s="130">
        <f>+Q34*Q33</f>
        <v>3707.8697164494051</v>
      </c>
      <c r="R35" s="130">
        <f>+R34*R33</f>
        <v>1875.0214442584838</v>
      </c>
    </row>
    <row r="37" spans="4:18" x14ac:dyDescent="0.25">
      <c r="E37" s="130">
        <f>SUM(E35:F35)</f>
        <v>-10739.951645676905</v>
      </c>
      <c r="H37" s="130">
        <f>SUM(H35:J35)</f>
        <v>9287.1740298856075</v>
      </c>
      <c r="L37" s="130">
        <f>SUM(L35:N35)</f>
        <v>8967.8993334155839</v>
      </c>
      <c r="P37" s="130">
        <f>SUM(P35:R35)</f>
        <v>8103.0137207298121</v>
      </c>
    </row>
    <row r="39" spans="4:18" x14ac:dyDescent="0.25">
      <c r="E39" s="130">
        <f>SUM(E37:R37)</f>
        <v>15618.135438354098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5"/>
  <sheetViews>
    <sheetView topLeftCell="A39" workbookViewId="0">
      <selection activeCell="E76" sqref="E76"/>
    </sheetView>
  </sheetViews>
  <sheetFormatPr defaultRowHeight="13.2" x14ac:dyDescent="0.25"/>
  <cols>
    <col min="3" max="3" width="14.5546875" style="3" customWidth="1"/>
    <col min="4" max="4" width="11.44140625" customWidth="1"/>
    <col min="6" max="6" width="6.6640625" style="3" customWidth="1"/>
    <col min="7" max="7" width="6.6640625" customWidth="1"/>
    <col min="8" max="8" width="35.109375" customWidth="1"/>
  </cols>
  <sheetData>
    <row r="1" spans="1:10" x14ac:dyDescent="0.25">
      <c r="A1" t="s">
        <v>0</v>
      </c>
    </row>
    <row r="2" spans="1:10" x14ac:dyDescent="0.25">
      <c r="H2">
        <f>10000*10000</f>
        <v>100000000</v>
      </c>
      <c r="I2">
        <f>+H2*0.01</f>
        <v>1000000</v>
      </c>
    </row>
    <row r="3" spans="1:10" x14ac:dyDescent="0.25">
      <c r="A3" t="s">
        <v>1</v>
      </c>
    </row>
    <row r="4" spans="1:10" x14ac:dyDescent="0.25">
      <c r="A4" s="2" t="s">
        <v>167</v>
      </c>
    </row>
    <row r="5" spans="1:10" x14ac:dyDescent="0.25">
      <c r="B5" s="48" t="s">
        <v>2</v>
      </c>
      <c r="C5" s="49"/>
      <c r="D5" s="48" t="s">
        <v>3</v>
      </c>
      <c r="E5" s="48" t="s">
        <v>4</v>
      </c>
      <c r="F5" s="5"/>
      <c r="G5" s="4"/>
      <c r="H5" s="4" t="s">
        <v>7</v>
      </c>
      <c r="I5" s="4"/>
    </row>
    <row r="6" spans="1:10" x14ac:dyDescent="0.25">
      <c r="D6" s="1"/>
      <c r="E6" s="1"/>
      <c r="H6" s="3"/>
    </row>
    <row r="7" spans="1:10" x14ac:dyDescent="0.25">
      <c r="B7" s="98"/>
      <c r="C7" s="8"/>
      <c r="D7" s="9">
        <v>700476</v>
      </c>
      <c r="E7" s="9">
        <v>780676</v>
      </c>
      <c r="F7" s="8"/>
      <c r="G7" s="9"/>
      <c r="H7" s="10" t="s">
        <v>166</v>
      </c>
    </row>
    <row r="8" spans="1:10" x14ac:dyDescent="0.25">
      <c r="B8" s="11"/>
      <c r="C8" s="5"/>
      <c r="D8" s="6"/>
      <c r="E8" s="99"/>
      <c r="F8" s="5"/>
      <c r="G8" s="4"/>
      <c r="H8" s="12"/>
    </row>
    <row r="9" spans="1:10" x14ac:dyDescent="0.25">
      <c r="B9" s="102"/>
      <c r="C9" s="5"/>
      <c r="D9" s="6"/>
      <c r="E9" s="6"/>
      <c r="F9" s="5"/>
      <c r="G9" s="4"/>
      <c r="H9" s="12"/>
    </row>
    <row r="10" spans="1:10" x14ac:dyDescent="0.25">
      <c r="B10" s="13"/>
      <c r="C10" s="14"/>
      <c r="D10" s="15"/>
      <c r="E10" s="101"/>
      <c r="F10" s="14"/>
      <c r="G10" s="16"/>
      <c r="H10" s="17"/>
    </row>
    <row r="12" spans="1:10" x14ac:dyDescent="0.25">
      <c r="A12" s="2" t="s">
        <v>9</v>
      </c>
    </row>
    <row r="13" spans="1:10" x14ac:dyDescent="0.25">
      <c r="B13" s="48" t="s">
        <v>2</v>
      </c>
      <c r="C13" s="49"/>
      <c r="D13" s="48" t="s">
        <v>3</v>
      </c>
      <c r="E13" s="48" t="s">
        <v>4</v>
      </c>
      <c r="F13" s="5"/>
      <c r="G13" s="4"/>
      <c r="H13" s="4" t="s">
        <v>7</v>
      </c>
      <c r="I13" s="4"/>
    </row>
    <row r="14" spans="1:10" x14ac:dyDescent="0.25">
      <c r="D14" s="1"/>
      <c r="E14" s="1"/>
      <c r="H14" s="3"/>
    </row>
    <row r="15" spans="1:10" x14ac:dyDescent="0.25">
      <c r="B15" s="98">
        <v>816364</v>
      </c>
      <c r="C15" s="8" t="s">
        <v>10</v>
      </c>
      <c r="D15" s="9"/>
      <c r="E15" s="9"/>
      <c r="F15" s="8"/>
      <c r="G15" s="9"/>
      <c r="H15" s="10" t="s">
        <v>16</v>
      </c>
    </row>
    <row r="16" spans="1:10" x14ac:dyDescent="0.25">
      <c r="B16" s="11"/>
      <c r="C16" s="5"/>
      <c r="D16" s="6">
        <v>637093</v>
      </c>
      <c r="E16" s="99">
        <v>816369</v>
      </c>
      <c r="F16" s="5" t="s">
        <v>5</v>
      </c>
      <c r="G16" s="4"/>
      <c r="H16" s="12" t="s">
        <v>15</v>
      </c>
      <c r="J16">
        <f>1-0.0042</f>
        <v>0.99580000000000002</v>
      </c>
    </row>
    <row r="17" spans="1:10" x14ac:dyDescent="0.25">
      <c r="B17" s="102">
        <v>816371</v>
      </c>
      <c r="C17" s="5" t="s">
        <v>5</v>
      </c>
      <c r="D17" s="6"/>
      <c r="E17" s="6"/>
      <c r="F17" s="5"/>
      <c r="G17" s="4"/>
      <c r="H17" s="12" t="s">
        <v>8</v>
      </c>
    </row>
    <row r="18" spans="1:10" x14ac:dyDescent="0.25">
      <c r="B18" s="13"/>
      <c r="C18" s="14"/>
      <c r="D18" s="15">
        <v>646529</v>
      </c>
      <c r="E18" s="101">
        <v>816375</v>
      </c>
      <c r="F18" s="14" t="s">
        <v>6</v>
      </c>
      <c r="G18" s="16"/>
      <c r="H18" s="17" t="s">
        <v>11</v>
      </c>
      <c r="J18">
        <f>1-0.0086</f>
        <v>0.99139999999999995</v>
      </c>
    </row>
    <row r="19" spans="1:10" x14ac:dyDescent="0.25">
      <c r="B19" s="13"/>
      <c r="C19" s="14"/>
      <c r="D19" s="15">
        <v>665174</v>
      </c>
      <c r="E19" s="15"/>
      <c r="F19" s="14"/>
      <c r="G19" s="16"/>
      <c r="H19" s="17" t="s">
        <v>30</v>
      </c>
    </row>
    <row r="20" spans="1:10" x14ac:dyDescent="0.25">
      <c r="B20" s="13"/>
      <c r="C20" s="14"/>
      <c r="D20" s="15"/>
      <c r="E20" s="15">
        <v>665170</v>
      </c>
      <c r="F20" s="14"/>
      <c r="G20" s="16"/>
      <c r="H20" s="17" t="s">
        <v>31</v>
      </c>
    </row>
    <row r="21" spans="1:10" x14ac:dyDescent="0.25">
      <c r="E21" s="1"/>
    </row>
    <row r="22" spans="1:10" x14ac:dyDescent="0.25">
      <c r="B22" s="103">
        <v>816249</v>
      </c>
      <c r="C22" s="3" t="s">
        <v>70</v>
      </c>
      <c r="D22" s="103">
        <v>759992</v>
      </c>
      <c r="E22" s="104">
        <v>816253</v>
      </c>
      <c r="H22" t="s">
        <v>124</v>
      </c>
    </row>
    <row r="23" spans="1:10" x14ac:dyDescent="0.25">
      <c r="E23" s="1"/>
    </row>
    <row r="24" spans="1:10" x14ac:dyDescent="0.25">
      <c r="E24" s="1"/>
    </row>
    <row r="25" spans="1:10" x14ac:dyDescent="0.25">
      <c r="E25" s="1"/>
    </row>
    <row r="26" spans="1:10" x14ac:dyDescent="0.25">
      <c r="A26" s="2" t="s">
        <v>12</v>
      </c>
    </row>
    <row r="27" spans="1:10" x14ac:dyDescent="0.25">
      <c r="B27" s="98">
        <v>816380</v>
      </c>
      <c r="C27" s="8" t="s">
        <v>13</v>
      </c>
      <c r="D27" s="9">
        <v>637107</v>
      </c>
      <c r="E27" s="100">
        <v>816386</v>
      </c>
      <c r="F27" s="8" t="s">
        <v>6</v>
      </c>
      <c r="G27" s="9"/>
      <c r="H27" s="10" t="s">
        <v>14</v>
      </c>
      <c r="J27">
        <f>1-0.0044</f>
        <v>0.99560000000000004</v>
      </c>
    </row>
    <row r="28" spans="1:10" x14ac:dyDescent="0.25">
      <c r="B28" s="102"/>
      <c r="C28" s="5"/>
      <c r="D28" s="4">
        <v>758604</v>
      </c>
      <c r="E28" s="116"/>
      <c r="F28" s="5"/>
      <c r="G28" s="4"/>
      <c r="H28" s="12" t="s">
        <v>159</v>
      </c>
    </row>
    <row r="29" spans="1:10" x14ac:dyDescent="0.25">
      <c r="B29" s="11">
        <v>665173</v>
      </c>
      <c r="C29" s="5" t="s">
        <v>28</v>
      </c>
      <c r="D29" s="4"/>
      <c r="E29" s="4"/>
      <c r="F29" s="5"/>
      <c r="G29" s="4"/>
      <c r="H29" s="19" t="s">
        <v>29</v>
      </c>
    </row>
    <row r="30" spans="1:10" x14ac:dyDescent="0.25">
      <c r="B30" s="11"/>
      <c r="C30" s="5"/>
      <c r="D30" s="4"/>
      <c r="E30" s="4"/>
      <c r="F30" s="5"/>
      <c r="G30" s="4"/>
      <c r="H30" s="19"/>
    </row>
    <row r="31" spans="1:10" x14ac:dyDescent="0.25">
      <c r="B31" s="13">
        <v>665147</v>
      </c>
      <c r="C31" s="14" t="s">
        <v>6</v>
      </c>
      <c r="D31" s="16"/>
      <c r="E31" s="16"/>
      <c r="F31" s="14"/>
      <c r="G31" s="16"/>
      <c r="H31" s="20" t="s">
        <v>20</v>
      </c>
    </row>
    <row r="32" spans="1:10" x14ac:dyDescent="0.25">
      <c r="B32" s="13"/>
      <c r="C32" s="14"/>
      <c r="D32" s="16"/>
      <c r="E32" s="16">
        <v>679616</v>
      </c>
      <c r="F32" s="14"/>
      <c r="G32" s="16"/>
      <c r="H32" s="20" t="s">
        <v>61</v>
      </c>
    </row>
    <row r="35" spans="1:11" x14ac:dyDescent="0.25">
      <c r="A35" s="2" t="s">
        <v>21</v>
      </c>
      <c r="B35" s="98">
        <v>816387</v>
      </c>
      <c r="C35" s="8" t="s">
        <v>17</v>
      </c>
      <c r="D35" s="9"/>
      <c r="E35" s="9"/>
      <c r="F35" s="8"/>
      <c r="G35" s="9"/>
      <c r="H35" s="18" t="s">
        <v>18</v>
      </c>
    </row>
    <row r="36" spans="1:11" x14ac:dyDescent="0.25">
      <c r="A36" t="s">
        <v>22</v>
      </c>
      <c r="B36" s="11">
        <v>665168</v>
      </c>
      <c r="C36" s="5" t="s">
        <v>26</v>
      </c>
      <c r="D36" s="4"/>
      <c r="E36" s="4"/>
      <c r="F36" s="5"/>
      <c r="G36" s="4"/>
      <c r="H36" t="s">
        <v>23</v>
      </c>
    </row>
    <row r="37" spans="1:11" ht="14.25" customHeight="1" x14ac:dyDescent="0.25">
      <c r="B37" s="11"/>
      <c r="C37" s="5"/>
      <c r="D37" s="4">
        <v>646486</v>
      </c>
      <c r="E37" s="4"/>
      <c r="F37" s="5"/>
      <c r="G37" s="4"/>
      <c r="H37" s="21" t="s">
        <v>24</v>
      </c>
    </row>
    <row r="38" spans="1:11" ht="14.25" customHeight="1" x14ac:dyDescent="0.25">
      <c r="B38" s="11"/>
      <c r="C38" s="5"/>
      <c r="D38" s="4">
        <v>646492</v>
      </c>
      <c r="E38" s="4"/>
      <c r="F38" s="5"/>
      <c r="G38" s="4"/>
      <c r="H38" s="19" t="s">
        <v>25</v>
      </c>
    </row>
    <row r="39" spans="1:11" ht="14.25" customHeight="1" x14ac:dyDescent="0.25">
      <c r="B39" s="11"/>
      <c r="C39" s="5"/>
      <c r="D39" s="4"/>
      <c r="E39" s="4">
        <v>665169</v>
      </c>
      <c r="F39" s="5"/>
      <c r="G39" s="4"/>
      <c r="H39" s="19" t="s">
        <v>27</v>
      </c>
      <c r="K39">
        <v>5.18</v>
      </c>
    </row>
    <row r="40" spans="1:11" ht="14.25" customHeight="1" x14ac:dyDescent="0.25">
      <c r="B40" s="11"/>
      <c r="C40" s="5"/>
      <c r="D40" s="4"/>
      <c r="E40" s="4"/>
      <c r="F40" s="5"/>
      <c r="G40" s="4"/>
      <c r="H40" s="19"/>
    </row>
    <row r="41" spans="1:11" x14ac:dyDescent="0.25">
      <c r="B41" s="11">
        <v>665147</v>
      </c>
      <c r="C41" s="5"/>
      <c r="D41" s="4"/>
      <c r="E41" s="4"/>
      <c r="F41" s="5"/>
      <c r="G41" s="4"/>
      <c r="H41" s="19" t="s">
        <v>20</v>
      </c>
    </row>
    <row r="42" spans="1:11" x14ac:dyDescent="0.25">
      <c r="B42" s="13"/>
      <c r="C42" s="14"/>
      <c r="D42" s="16"/>
      <c r="E42" s="16"/>
      <c r="F42" s="14"/>
      <c r="G42" s="16"/>
      <c r="H42" s="20"/>
    </row>
    <row r="45" spans="1:11" x14ac:dyDescent="0.25">
      <c r="A45" s="2" t="s">
        <v>19</v>
      </c>
      <c r="B45" s="4"/>
      <c r="C45" s="5"/>
      <c r="D45" s="4"/>
      <c r="E45" s="4"/>
      <c r="F45" s="5"/>
      <c r="G45" s="4"/>
      <c r="H45" s="4"/>
      <c r="I45" s="4"/>
    </row>
    <row r="46" spans="1:11" x14ac:dyDescent="0.25">
      <c r="B46" s="7"/>
      <c r="C46" s="8"/>
      <c r="D46" s="9"/>
      <c r="E46" s="9">
        <v>774325</v>
      </c>
      <c r="F46" s="8"/>
      <c r="G46" s="9"/>
      <c r="H46" s="18" t="s">
        <v>151</v>
      </c>
      <c r="I46" s="4"/>
    </row>
    <row r="47" spans="1:11" x14ac:dyDescent="0.25">
      <c r="B47" s="11"/>
      <c r="C47" s="5"/>
      <c r="D47" s="4"/>
      <c r="E47" s="4">
        <v>774072</v>
      </c>
      <c r="F47" s="5"/>
      <c r="G47" s="4"/>
      <c r="H47" s="19" t="s">
        <v>152</v>
      </c>
      <c r="I47" s="4"/>
    </row>
    <row r="48" spans="1:11" x14ac:dyDescent="0.25">
      <c r="B48" s="11">
        <v>774087</v>
      </c>
      <c r="C48" s="5"/>
      <c r="D48" s="4"/>
      <c r="E48" s="4"/>
      <c r="F48" s="5"/>
      <c r="G48" s="4"/>
      <c r="H48" s="19" t="s">
        <v>153</v>
      </c>
      <c r="I48" s="4"/>
    </row>
    <row r="49" spans="1:9" x14ac:dyDescent="0.25">
      <c r="B49" s="11">
        <v>776649</v>
      </c>
      <c r="C49" s="5"/>
      <c r="D49" s="4"/>
      <c r="E49" s="4"/>
      <c r="F49" s="5"/>
      <c r="G49" s="4"/>
      <c r="H49" s="19" t="s">
        <v>154</v>
      </c>
      <c r="I49" s="4"/>
    </row>
    <row r="50" spans="1:9" x14ac:dyDescent="0.25">
      <c r="B50" s="11"/>
      <c r="C50" s="5"/>
      <c r="D50" s="4">
        <v>646807</v>
      </c>
      <c r="E50" s="4"/>
      <c r="F50" s="5"/>
      <c r="G50" s="4"/>
      <c r="H50" s="19" t="s">
        <v>155</v>
      </c>
      <c r="I50" s="4"/>
    </row>
    <row r="51" spans="1:9" x14ac:dyDescent="0.25">
      <c r="B51" s="11"/>
      <c r="C51" s="5"/>
      <c r="D51" s="4"/>
      <c r="E51" s="4">
        <v>775417</v>
      </c>
      <c r="F51" s="5"/>
      <c r="G51" s="4"/>
      <c r="H51" s="19" t="s">
        <v>156</v>
      </c>
      <c r="I51" s="4"/>
    </row>
    <row r="52" spans="1:9" x14ac:dyDescent="0.25">
      <c r="B52" s="11"/>
      <c r="C52" s="5"/>
      <c r="D52" s="4">
        <v>646808</v>
      </c>
      <c r="E52" s="4"/>
      <c r="F52" s="5"/>
      <c r="G52" s="4"/>
      <c r="H52" s="19" t="s">
        <v>157</v>
      </c>
      <c r="I52" s="4"/>
    </row>
    <row r="53" spans="1:9" x14ac:dyDescent="0.25">
      <c r="B53" s="11">
        <v>775420</v>
      </c>
      <c r="C53" s="5"/>
      <c r="D53" s="4"/>
      <c r="E53" s="4"/>
      <c r="F53" s="5"/>
      <c r="G53" s="4"/>
      <c r="H53" s="19" t="s">
        <v>158</v>
      </c>
      <c r="I53" s="4"/>
    </row>
    <row r="54" spans="1:9" x14ac:dyDescent="0.25">
      <c r="B54" s="13"/>
      <c r="C54" s="14"/>
      <c r="D54" s="16"/>
      <c r="E54" s="16"/>
      <c r="F54" s="14"/>
      <c r="G54" s="16"/>
      <c r="H54" s="20"/>
      <c r="I54" s="4"/>
    </row>
    <row r="55" spans="1:9" x14ac:dyDescent="0.25">
      <c r="B55" s="4"/>
      <c r="C55" s="5"/>
      <c r="D55" s="4"/>
      <c r="E55" s="4"/>
      <c r="F55" s="5"/>
      <c r="G55" s="4"/>
      <c r="H55" s="4"/>
      <c r="I55" s="4"/>
    </row>
    <row r="56" spans="1:9" x14ac:dyDescent="0.25">
      <c r="B56" s="4"/>
      <c r="C56" s="5"/>
      <c r="D56" s="4"/>
      <c r="E56" s="4"/>
      <c r="F56" s="5"/>
      <c r="G56" s="4"/>
      <c r="H56" s="4"/>
      <c r="I56" s="4"/>
    </row>
    <row r="57" spans="1:9" x14ac:dyDescent="0.25">
      <c r="A57" s="2" t="s">
        <v>215</v>
      </c>
      <c r="B57" s="4"/>
      <c r="C57" s="5"/>
      <c r="D57" s="4"/>
      <c r="E57" s="4"/>
      <c r="F57" s="5"/>
      <c r="G57" s="4"/>
      <c r="H57" s="4"/>
      <c r="I57" s="4"/>
    </row>
    <row r="58" spans="1:9" x14ac:dyDescent="0.25">
      <c r="B58" s="7"/>
      <c r="C58" s="8"/>
      <c r="D58" s="9">
        <v>805237</v>
      </c>
      <c r="E58" s="9"/>
      <c r="F58" s="8"/>
      <c r="G58" s="9"/>
      <c r="H58" s="18" t="s">
        <v>217</v>
      </c>
      <c r="I58" s="4"/>
    </row>
    <row r="59" spans="1:9" x14ac:dyDescent="0.25">
      <c r="B59" s="11">
        <v>815537</v>
      </c>
      <c r="C59" s="5"/>
      <c r="D59" s="4"/>
      <c r="E59" s="4"/>
      <c r="F59" s="5"/>
      <c r="G59" s="4"/>
      <c r="H59" s="19" t="s">
        <v>216</v>
      </c>
      <c r="I59" s="4"/>
    </row>
    <row r="60" spans="1:9" x14ac:dyDescent="0.25">
      <c r="B60" s="11">
        <v>822767</v>
      </c>
      <c r="C60" s="5"/>
      <c r="D60" s="4"/>
      <c r="E60" s="4"/>
      <c r="F60" s="5"/>
      <c r="G60" s="4"/>
      <c r="H60" s="19" t="s">
        <v>218</v>
      </c>
      <c r="I60" s="4"/>
    </row>
    <row r="61" spans="1:9" x14ac:dyDescent="0.25">
      <c r="B61" s="11"/>
      <c r="C61" s="5"/>
      <c r="D61" s="4"/>
      <c r="E61" s="4"/>
      <c r="F61" s="5"/>
      <c r="G61" s="4"/>
      <c r="H61" s="19"/>
      <c r="I61" s="4"/>
    </row>
    <row r="62" spans="1:9" x14ac:dyDescent="0.25">
      <c r="B62" s="134" t="s">
        <v>94</v>
      </c>
      <c r="C62" s="5"/>
      <c r="D62" s="4"/>
      <c r="E62" s="4"/>
      <c r="F62" s="5"/>
      <c r="G62" s="4"/>
      <c r="H62" s="19"/>
      <c r="I62" s="4"/>
    </row>
    <row r="63" spans="1:9" x14ac:dyDescent="0.25">
      <c r="B63" s="11"/>
      <c r="C63" s="5"/>
      <c r="D63" s="4">
        <v>815546</v>
      </c>
      <c r="E63" s="4"/>
      <c r="F63" s="5"/>
      <c r="G63" s="4"/>
      <c r="H63" s="19" t="s">
        <v>219</v>
      </c>
      <c r="I63" s="4"/>
    </row>
    <row r="64" spans="1:9" x14ac:dyDescent="0.25">
      <c r="B64" s="11">
        <v>822746</v>
      </c>
      <c r="C64" s="5"/>
      <c r="D64" s="4"/>
      <c r="E64" s="4"/>
      <c r="F64" s="5"/>
      <c r="G64" s="4"/>
      <c r="H64" s="19" t="s">
        <v>220</v>
      </c>
      <c r="I64" s="4"/>
    </row>
    <row r="65" spans="1:9" x14ac:dyDescent="0.25">
      <c r="B65" s="11"/>
      <c r="C65" s="5"/>
      <c r="D65" s="4"/>
      <c r="E65" s="4"/>
      <c r="F65" s="5"/>
      <c r="G65" s="4"/>
      <c r="H65" s="19"/>
      <c r="I65" s="4"/>
    </row>
    <row r="66" spans="1:9" x14ac:dyDescent="0.25">
      <c r="B66" s="11"/>
      <c r="C66" s="5"/>
      <c r="D66" s="4"/>
      <c r="E66" s="4"/>
      <c r="F66" s="5"/>
      <c r="G66" s="4"/>
      <c r="H66" s="19"/>
      <c r="I66" s="4"/>
    </row>
    <row r="67" spans="1:9" x14ac:dyDescent="0.25">
      <c r="B67" s="11"/>
      <c r="C67" s="5"/>
      <c r="D67" s="4"/>
      <c r="E67" s="4"/>
      <c r="F67" s="5"/>
      <c r="G67" s="4"/>
      <c r="H67" s="19"/>
      <c r="I67" s="4"/>
    </row>
    <row r="68" spans="1:9" x14ac:dyDescent="0.25">
      <c r="B68" s="13"/>
      <c r="C68" s="14"/>
      <c r="D68" s="16"/>
      <c r="E68" s="16"/>
      <c r="F68" s="14"/>
      <c r="G68" s="16"/>
      <c r="H68" s="20"/>
      <c r="I68" s="4"/>
    </row>
    <row r="69" spans="1:9" x14ac:dyDescent="0.25">
      <c r="B69" s="4"/>
      <c r="C69" s="5"/>
      <c r="D69" s="4"/>
      <c r="E69" s="4"/>
      <c r="F69" s="5"/>
      <c r="G69" s="4"/>
      <c r="H69" s="4"/>
      <c r="I69" s="4"/>
    </row>
    <row r="70" spans="1:9" x14ac:dyDescent="0.25">
      <c r="B70" s="4"/>
      <c r="C70" s="5"/>
      <c r="D70" s="4"/>
      <c r="E70" s="4"/>
      <c r="F70" s="5"/>
      <c r="G70" s="4"/>
      <c r="H70" s="4"/>
      <c r="I70" s="4"/>
    </row>
    <row r="71" spans="1:9" x14ac:dyDescent="0.25">
      <c r="A71" t="s">
        <v>211</v>
      </c>
    </row>
    <row r="72" spans="1:9" x14ac:dyDescent="0.25">
      <c r="B72" t="s">
        <v>202</v>
      </c>
      <c r="C72" s="3" t="s">
        <v>203</v>
      </c>
      <c r="D72" t="s">
        <v>7</v>
      </c>
    </row>
    <row r="73" spans="1:9" x14ac:dyDescent="0.25">
      <c r="B73" s="11">
        <v>818960</v>
      </c>
      <c r="C73" s="4" t="s">
        <v>205</v>
      </c>
      <c r="D73" s="4" t="s">
        <v>223</v>
      </c>
      <c r="E73" s="4"/>
      <c r="F73" s="5"/>
      <c r="G73" s="4"/>
      <c r="H73" s="19"/>
    </row>
    <row r="74" spans="1:9" x14ac:dyDescent="0.25">
      <c r="B74" s="11">
        <v>818947</v>
      </c>
      <c r="C74" s="4" t="s">
        <v>205</v>
      </c>
      <c r="D74" s="4" t="s">
        <v>224</v>
      </c>
      <c r="E74" s="4"/>
      <c r="F74" s="5"/>
      <c r="G74" s="4"/>
      <c r="H74" s="19"/>
    </row>
    <row r="76" spans="1:9" x14ac:dyDescent="0.25">
      <c r="B76" s="7">
        <v>822826</v>
      </c>
      <c r="C76" s="9" t="s">
        <v>205</v>
      </c>
      <c r="D76" s="9" t="s">
        <v>221</v>
      </c>
      <c r="E76" s="9"/>
      <c r="F76" s="8"/>
      <c r="G76" s="9"/>
      <c r="H76" s="18"/>
    </row>
    <row r="77" spans="1:9" x14ac:dyDescent="0.25">
      <c r="B77" s="11">
        <v>822822</v>
      </c>
      <c r="C77" s="4" t="s">
        <v>205</v>
      </c>
      <c r="D77" s="4" t="s">
        <v>222</v>
      </c>
      <c r="E77" s="4"/>
      <c r="F77" s="5"/>
      <c r="G77" s="4"/>
      <c r="H77" s="19"/>
    </row>
    <row r="78" spans="1:9" x14ac:dyDescent="0.25">
      <c r="B78" s="11">
        <v>822082</v>
      </c>
      <c r="C78" s="4" t="s">
        <v>205</v>
      </c>
      <c r="D78" s="4" t="s">
        <v>209</v>
      </c>
      <c r="E78" s="4"/>
      <c r="F78" s="5"/>
      <c r="G78" s="4"/>
      <c r="H78" s="19"/>
    </row>
    <row r="79" spans="1:9" x14ac:dyDescent="0.25">
      <c r="B79" s="11">
        <v>825878</v>
      </c>
      <c r="C79" s="4" t="s">
        <v>205</v>
      </c>
      <c r="D79" s="4" t="s">
        <v>231</v>
      </c>
      <c r="E79" s="4"/>
      <c r="F79" s="5"/>
      <c r="G79" s="4"/>
      <c r="H79" s="19"/>
    </row>
    <row r="80" spans="1:9" x14ac:dyDescent="0.25">
      <c r="B80" s="11"/>
      <c r="C80" s="5"/>
      <c r="D80" s="4"/>
      <c r="E80" s="4"/>
      <c r="F80" s="5"/>
      <c r="G80" s="4"/>
      <c r="H80" s="19"/>
    </row>
    <row r="81" spans="2:8" x14ac:dyDescent="0.25">
      <c r="B81" s="11"/>
      <c r="C81" s="5"/>
      <c r="D81" s="4"/>
      <c r="E81" s="4"/>
      <c r="F81" s="5"/>
      <c r="G81" s="4"/>
      <c r="H81" s="19"/>
    </row>
    <row r="82" spans="2:8" x14ac:dyDescent="0.25">
      <c r="B82" s="11">
        <v>818885</v>
      </c>
      <c r="C82" s="4" t="s">
        <v>204</v>
      </c>
      <c r="D82" s="4" t="s">
        <v>206</v>
      </c>
      <c r="E82" s="4"/>
      <c r="F82" s="5"/>
      <c r="G82" s="4"/>
      <c r="H82" s="19"/>
    </row>
    <row r="83" spans="2:8" x14ac:dyDescent="0.25">
      <c r="B83" s="11">
        <v>818939</v>
      </c>
      <c r="C83" s="4" t="s">
        <v>204</v>
      </c>
      <c r="D83" s="4" t="s">
        <v>207</v>
      </c>
      <c r="E83" s="4"/>
      <c r="F83" s="5"/>
      <c r="G83" s="4"/>
      <c r="H83" s="19"/>
    </row>
    <row r="84" spans="2:8" x14ac:dyDescent="0.25">
      <c r="B84" s="11">
        <v>818961</v>
      </c>
      <c r="C84" s="4" t="s">
        <v>204</v>
      </c>
      <c r="D84" s="4" t="s">
        <v>208</v>
      </c>
      <c r="E84" s="4"/>
      <c r="F84" s="5"/>
      <c r="G84" s="4"/>
      <c r="H84" s="19"/>
    </row>
    <row r="85" spans="2:8" x14ac:dyDescent="0.25">
      <c r="B85" s="13">
        <v>822290</v>
      </c>
      <c r="C85" s="16" t="s">
        <v>204</v>
      </c>
      <c r="D85" s="16" t="s">
        <v>210</v>
      </c>
      <c r="E85" s="16"/>
      <c r="F85" s="14"/>
      <c r="G85" s="16"/>
      <c r="H85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7"/>
  <sheetViews>
    <sheetView tabSelected="1" workbookViewId="0">
      <selection activeCell="F24" sqref="F24"/>
    </sheetView>
  </sheetViews>
  <sheetFormatPr defaultRowHeight="13.2" x14ac:dyDescent="0.25"/>
  <cols>
    <col min="2" max="2" width="10.33203125" style="30" bestFit="1" customWidth="1"/>
    <col min="3" max="3" width="9.109375" style="33" customWidth="1"/>
    <col min="4" max="4" width="1.88671875" customWidth="1"/>
    <col min="5" max="5" width="12.6640625" customWidth="1"/>
    <col min="6" max="6" width="9.109375" style="33" customWidth="1"/>
    <col min="7" max="7" width="9.109375" style="82" customWidth="1"/>
    <col min="8" max="8" width="1.88671875" customWidth="1"/>
    <col min="9" max="9" width="10.33203125" style="30" bestFit="1" customWidth="1"/>
    <col min="10" max="10" width="9.109375" style="33" customWidth="1"/>
    <col min="11" max="11" width="3.5546875" customWidth="1"/>
    <col min="16" max="16" width="3.33203125" customWidth="1"/>
  </cols>
  <sheetData>
    <row r="1" spans="1:18" x14ac:dyDescent="0.25">
      <c r="A1" s="2" t="s">
        <v>196</v>
      </c>
    </row>
    <row r="2" spans="1:18" x14ac:dyDescent="0.25">
      <c r="B2" s="31" t="s">
        <v>54</v>
      </c>
      <c r="C2" s="34"/>
      <c r="D2" s="1"/>
      <c r="I2" s="30" t="s">
        <v>55</v>
      </c>
    </row>
    <row r="3" spans="1:18" x14ac:dyDescent="0.25">
      <c r="B3" s="31" t="s">
        <v>52</v>
      </c>
      <c r="C3" s="34" t="s">
        <v>53</v>
      </c>
      <c r="D3" s="1"/>
      <c r="F3" s="33" t="s">
        <v>36</v>
      </c>
      <c r="G3" s="82" t="s">
        <v>40</v>
      </c>
      <c r="I3" s="30" t="s">
        <v>52</v>
      </c>
      <c r="J3" s="33" t="s">
        <v>53</v>
      </c>
      <c r="L3" t="s">
        <v>180</v>
      </c>
    </row>
    <row r="4" spans="1:18" x14ac:dyDescent="0.25">
      <c r="B4" s="30">
        <v>3000</v>
      </c>
      <c r="C4" s="33">
        <v>3.74</v>
      </c>
      <c r="E4" s="2" t="s">
        <v>197</v>
      </c>
      <c r="F4" s="33">
        <f>0.0035+0.005</f>
        <v>8.5000000000000006E-3</v>
      </c>
      <c r="G4" s="82">
        <f>1-0.0045</f>
        <v>0.99550000000000005</v>
      </c>
      <c r="I4" s="30">
        <f>ROUND(+B4*G4,0)</f>
        <v>2987</v>
      </c>
      <c r="J4" s="33">
        <f>ROUND(+C4/G4+F4,3)</f>
        <v>3.7650000000000001</v>
      </c>
      <c r="L4" s="32">
        <f>+J4-C4</f>
        <v>2.4999999999999911E-2</v>
      </c>
      <c r="Q4" t="s">
        <v>75</v>
      </c>
      <c r="R4" t="s">
        <v>76</v>
      </c>
    </row>
    <row r="6" spans="1:18" x14ac:dyDescent="0.25">
      <c r="B6" s="30">
        <v>0</v>
      </c>
      <c r="C6" s="33">
        <v>4.835</v>
      </c>
      <c r="E6" s="2" t="s">
        <v>59</v>
      </c>
      <c r="F6" s="33">
        <f>0.0775+0.01</f>
        <v>8.7499999999999994E-2</v>
      </c>
      <c r="G6" s="82">
        <v>1</v>
      </c>
      <c r="I6" s="30">
        <f>ROUND(+B6*G6,0)</f>
        <v>0</v>
      </c>
      <c r="J6" s="33">
        <f>ROUND(+C6/G6+F6,3)</f>
        <v>4.923</v>
      </c>
      <c r="M6" s="39">
        <f>+J8-C8</f>
        <v>0.38200000000000012</v>
      </c>
    </row>
    <row r="7" spans="1:18" x14ac:dyDescent="0.25">
      <c r="J7" s="33">
        <f>+J8-C8</f>
        <v>0.38200000000000012</v>
      </c>
      <c r="L7" s="85" t="s">
        <v>32</v>
      </c>
      <c r="M7" s="86" t="s">
        <v>63</v>
      </c>
      <c r="N7" s="86" t="s">
        <v>93</v>
      </c>
      <c r="O7" s="87" t="s">
        <v>105</v>
      </c>
    </row>
    <row r="8" spans="1:18" x14ac:dyDescent="0.25">
      <c r="B8" s="30">
        <v>700</v>
      </c>
      <c r="C8" s="33">
        <v>3.9449999999999998</v>
      </c>
      <c r="E8" s="2" t="s">
        <v>57</v>
      </c>
      <c r="F8" s="33">
        <f>0.0817</f>
        <v>8.1699999999999995E-2</v>
      </c>
      <c r="G8" s="82">
        <f>1-0.0707</f>
        <v>0.92930000000000001</v>
      </c>
      <c r="I8" s="30">
        <f>ROUND(+B8*G8,0)</f>
        <v>651</v>
      </c>
      <c r="J8" s="33">
        <f>ROUND(+C8/G8+F8,3)</f>
        <v>4.327</v>
      </c>
      <c r="L8" s="88"/>
      <c r="M8" s="89">
        <f>+(J8-F9)*G9</f>
        <v>3.9308225199999995</v>
      </c>
      <c r="N8" s="89">
        <f>+(J8-F10)*G10</f>
        <v>3.8984095500000002</v>
      </c>
      <c r="O8" s="90">
        <f>+(J8-F11)*G11</f>
        <v>4.0880552000000003</v>
      </c>
      <c r="Q8" s="33">
        <v>0.13220000000000001</v>
      </c>
      <c r="R8" s="32">
        <f>+J8+Q8-F8</f>
        <v>4.3775000000000004</v>
      </c>
    </row>
    <row r="9" spans="1:18" x14ac:dyDescent="0.25">
      <c r="B9" s="30">
        <v>5000</v>
      </c>
      <c r="C9" s="33">
        <v>3.6949999999999998</v>
      </c>
      <c r="E9" s="2" t="s">
        <v>60</v>
      </c>
      <c r="F9" s="33">
        <f>0.0848</f>
        <v>8.48E-2</v>
      </c>
      <c r="G9" s="82">
        <f>1-0.0734</f>
        <v>0.92659999999999998</v>
      </c>
      <c r="I9" s="30">
        <f>ROUND(+B9*G9,0)</f>
        <v>4633</v>
      </c>
      <c r="J9" s="33">
        <f>ROUND(+C9/G9+F9,3)</f>
        <v>4.0720000000000001</v>
      </c>
      <c r="K9" s="39"/>
      <c r="L9" s="91">
        <f>+(J9-F8)*G8</f>
        <v>3.7081857899999999</v>
      </c>
      <c r="M9" s="92"/>
      <c r="N9" s="92">
        <f>+(J9-F10)*G10</f>
        <v>3.6636820500000002</v>
      </c>
      <c r="O9" s="93">
        <f>+(J9-F11)*G11</f>
        <v>3.8436632000000004</v>
      </c>
      <c r="Q9" s="33">
        <f>+Q8</f>
        <v>0.13220000000000001</v>
      </c>
      <c r="R9" s="32">
        <f>+J9+Q9-F9</f>
        <v>4.1193999999999997</v>
      </c>
    </row>
    <row r="10" spans="1:18" x14ac:dyDescent="0.25">
      <c r="B10" s="30">
        <v>5485</v>
      </c>
      <c r="C10" s="33">
        <v>3.65</v>
      </c>
      <c r="E10" s="2" t="s">
        <v>65</v>
      </c>
      <c r="F10" s="33">
        <v>9.1899999999999996E-2</v>
      </c>
      <c r="G10" s="82">
        <f>1-0.0795</f>
        <v>0.92049999999999998</v>
      </c>
      <c r="I10" s="30">
        <f>ROUND(+B10*G10,0)</f>
        <v>5049</v>
      </c>
      <c r="J10" s="33">
        <f>ROUND(+C10/G10+F10,3)</f>
        <v>4.0570000000000004</v>
      </c>
      <c r="K10" s="39"/>
      <c r="L10" s="91">
        <f>+(J10-F8)*G8</f>
        <v>3.6942462900000002</v>
      </c>
      <c r="M10" s="92">
        <f>+(J10-F9)*G9</f>
        <v>3.6806405200000003</v>
      </c>
      <c r="N10" s="92"/>
      <c r="O10" s="93">
        <f>+(J10-F11)*G11</f>
        <v>3.8292872000000004</v>
      </c>
      <c r="Q10" s="33">
        <f>+Q8</f>
        <v>0.13220000000000001</v>
      </c>
      <c r="R10" s="32">
        <f>+J10+Q10-F10</f>
        <v>4.0973000000000006</v>
      </c>
    </row>
    <row r="11" spans="1:18" s="42" customFormat="1" x14ac:dyDescent="0.25">
      <c r="B11" s="43">
        <v>2600</v>
      </c>
      <c r="C11" s="44">
        <v>3.7850000000000001</v>
      </c>
      <c r="E11" s="45" t="s">
        <v>99</v>
      </c>
      <c r="F11" s="44">
        <v>6.1499999999999999E-2</v>
      </c>
      <c r="G11" s="83">
        <f>1-0.0416</f>
        <v>0.95840000000000003</v>
      </c>
      <c r="I11" s="43">
        <f>ROUND(+B11*G11,0)</f>
        <v>2492</v>
      </c>
      <c r="J11" s="44">
        <f>ROUND(+C11/G11+F11,3)</f>
        <v>4.0110000000000001</v>
      </c>
      <c r="K11" s="46"/>
      <c r="L11" s="94">
        <f>+(J11-F8)*G8</f>
        <v>3.6514984900000003</v>
      </c>
      <c r="M11" s="95">
        <f>+(J11-F9)*G9</f>
        <v>3.6380169200000001</v>
      </c>
      <c r="N11" s="95">
        <f>+(J11-F10)*G10</f>
        <v>3.60753155</v>
      </c>
      <c r="O11" s="96"/>
      <c r="Q11" s="44">
        <f>+Q9</f>
        <v>0.13220000000000001</v>
      </c>
      <c r="R11" s="47">
        <f>+J11+Q11-F11</f>
        <v>4.0817000000000005</v>
      </c>
    </row>
    <row r="12" spans="1:18" ht="13.8" thickBot="1" x14ac:dyDescent="0.3">
      <c r="B12" s="38">
        <f>SUM(B8:B11)</f>
        <v>13785</v>
      </c>
      <c r="I12" s="38">
        <f>SUM(I8:I11)</f>
        <v>12825</v>
      </c>
    </row>
    <row r="13" spans="1:18" ht="13.8" thickTop="1" x14ac:dyDescent="0.25"/>
    <row r="14" spans="1:18" x14ac:dyDescent="0.25">
      <c r="B14" s="30">
        <v>5000</v>
      </c>
      <c r="C14" s="33">
        <f>+C8</f>
        <v>3.9449999999999998</v>
      </c>
      <c r="E14" s="2" t="s">
        <v>56</v>
      </c>
      <c r="F14" s="33">
        <v>0.1016</v>
      </c>
      <c r="G14" s="82">
        <f>1-0.0796</f>
        <v>0.9204</v>
      </c>
      <c r="I14" s="30">
        <f>ROUND(+B14*G14,0)</f>
        <v>4602</v>
      </c>
      <c r="J14" s="33">
        <f>ROUND(+C14/G14+F14,3)</f>
        <v>4.3879999999999999</v>
      </c>
      <c r="K14" s="39"/>
      <c r="L14" s="88"/>
      <c r="M14" s="89">
        <f>+(J14-F15)*G15</f>
        <v>3.9307844099999993</v>
      </c>
      <c r="N14" s="89">
        <f>+(J14-F16)*G16</f>
        <v>3.8981839200000001</v>
      </c>
      <c r="O14" s="90">
        <f>+(J14-F17)*G17</f>
        <v>4.0891166999999999</v>
      </c>
      <c r="Q14" s="33">
        <v>0.1522</v>
      </c>
      <c r="R14" s="32">
        <f>+J14+Q14-F14</f>
        <v>4.4385999999999992</v>
      </c>
    </row>
    <row r="15" spans="1:18" x14ac:dyDescent="0.25">
      <c r="B15" s="30">
        <v>434</v>
      </c>
      <c r="C15" s="33">
        <f>+C9</f>
        <v>3.6949999999999998</v>
      </c>
      <c r="E15" s="2" t="s">
        <v>64</v>
      </c>
      <c r="F15" s="33">
        <v>0.1047</v>
      </c>
      <c r="G15" s="82">
        <f>1-0.0823</f>
        <v>0.91769999999999996</v>
      </c>
      <c r="I15" s="30">
        <f>ROUND(+B15*G15,0)</f>
        <v>398</v>
      </c>
      <c r="J15" s="33">
        <f>ROUND(+C15/G15+F15,3)</f>
        <v>4.1310000000000002</v>
      </c>
      <c r="K15" s="39"/>
      <c r="L15" s="91">
        <f>+(J15-F14)*G14</f>
        <v>3.7086597599999997</v>
      </c>
      <c r="M15" s="92"/>
      <c r="N15" s="92">
        <f>+(J15-F16)*G16</f>
        <v>3.6639027200000003</v>
      </c>
      <c r="O15" s="93">
        <f>+(J15-F17)*G17</f>
        <v>3.8450951999999998</v>
      </c>
      <c r="Q15" s="33">
        <f>+Q14</f>
        <v>0.1522</v>
      </c>
      <c r="R15" s="32">
        <f>+J15+Q15-F15</f>
        <v>4.1784999999999997</v>
      </c>
    </row>
    <row r="16" spans="1:18" x14ac:dyDescent="0.25">
      <c r="B16" s="30">
        <v>4000</v>
      </c>
      <c r="C16" s="33">
        <f>+C10</f>
        <v>3.65</v>
      </c>
      <c r="E16" s="2" t="s">
        <v>66</v>
      </c>
      <c r="F16" s="33">
        <v>0.1118</v>
      </c>
      <c r="G16" s="82">
        <f>1-0.0884</f>
        <v>0.91159999999999997</v>
      </c>
      <c r="I16" s="30">
        <f>ROUND(+B16*G16,0)</f>
        <v>3646</v>
      </c>
      <c r="J16" s="33">
        <f>ROUND(+C16/G16+F16,3)</f>
        <v>4.1159999999999997</v>
      </c>
      <c r="K16" s="39"/>
      <c r="L16" s="91">
        <f>+(J16-F14)*G14</f>
        <v>3.6948537599999995</v>
      </c>
      <c r="M16" s="92">
        <f>+(J16-F15)*G15</f>
        <v>3.6811700099999993</v>
      </c>
      <c r="N16" s="92"/>
      <c r="O16" s="93">
        <f>+(J16-F17)*G17</f>
        <v>3.8308526999999994</v>
      </c>
      <c r="Q16" s="33">
        <f>+Q14</f>
        <v>0.1522</v>
      </c>
      <c r="R16" s="32">
        <f>+J16+Q16-F16</f>
        <v>4.1563999999999997</v>
      </c>
    </row>
    <row r="17" spans="1:18" s="42" customFormat="1" x14ac:dyDescent="0.25">
      <c r="B17" s="43">
        <v>10000</v>
      </c>
      <c r="C17" s="44">
        <f>+C11</f>
        <v>3.7850000000000001</v>
      </c>
      <c r="E17" s="45" t="s">
        <v>100</v>
      </c>
      <c r="F17" s="44">
        <v>8.14E-2</v>
      </c>
      <c r="G17" s="83">
        <f>1-0.0505</f>
        <v>0.94950000000000001</v>
      </c>
      <c r="I17" s="43">
        <f>ROUND(+B17*G17,0)</f>
        <v>9495</v>
      </c>
      <c r="J17" s="44">
        <f>ROUND(+C17/G17+F17,3)</f>
        <v>4.0679999999999996</v>
      </c>
      <c r="K17" s="46"/>
      <c r="L17" s="94">
        <f>+(J17-F14)*G14</f>
        <v>3.6506745599999997</v>
      </c>
      <c r="M17" s="95">
        <f>+(J17-F15)*G15</f>
        <v>3.6371204099999996</v>
      </c>
      <c r="N17" s="95">
        <f>+(J17-F16)*G16</f>
        <v>3.6064719199999993</v>
      </c>
      <c r="O17" s="96"/>
      <c r="Q17" s="44">
        <f>+Q15</f>
        <v>0.1522</v>
      </c>
      <c r="R17" s="47">
        <f>+J17+Q17-F17</f>
        <v>4.1387999999999989</v>
      </c>
    </row>
    <row r="18" spans="1:18" ht="13.8" thickBot="1" x14ac:dyDescent="0.3">
      <c r="B18" s="38">
        <f>SUM(B14:B17)</f>
        <v>19434</v>
      </c>
      <c r="I18" s="38">
        <f>SUM(I14:I17)</f>
        <v>18141</v>
      </c>
    </row>
    <row r="19" spans="1:18" ht="13.8" thickTop="1" x14ac:dyDescent="0.25"/>
    <row r="20" spans="1:18" x14ac:dyDescent="0.25">
      <c r="B20" s="30">
        <v>0</v>
      </c>
      <c r="C20" s="33">
        <f>+C14</f>
        <v>3.9449999999999998</v>
      </c>
      <c r="E20" s="2" t="s">
        <v>72</v>
      </c>
      <c r="F20" s="33">
        <f>+F8*0.6+F14*0.4</f>
        <v>8.965999999999999E-2</v>
      </c>
      <c r="G20" s="82">
        <f>+G8*0.6+G14*0.4</f>
        <v>0.92574000000000001</v>
      </c>
      <c r="I20" s="30">
        <f>ROUND(+B20*G20,0)</f>
        <v>0</v>
      </c>
      <c r="J20" s="33">
        <f>ROUND(+C20/G20+F20,3)</f>
        <v>4.351</v>
      </c>
    </row>
    <row r="21" spans="1:18" x14ac:dyDescent="0.25">
      <c r="B21" s="30">
        <v>0</v>
      </c>
      <c r="C21" s="33">
        <f>+C15</f>
        <v>3.6949999999999998</v>
      </c>
      <c r="E21" s="2" t="s">
        <v>73</v>
      </c>
      <c r="F21" s="33">
        <f>+F9*0.6+F15*0.4</f>
        <v>9.2760000000000009E-2</v>
      </c>
      <c r="G21" s="82">
        <f>+G9*0.6+G15*0.4</f>
        <v>0.92304000000000008</v>
      </c>
      <c r="I21" s="30">
        <f>ROUND(+B21*G21,0)</f>
        <v>0</v>
      </c>
      <c r="J21" s="33">
        <f>ROUND(+C21/G21+F21,3)</f>
        <v>4.0960000000000001</v>
      </c>
    </row>
    <row r="22" spans="1:18" x14ac:dyDescent="0.25">
      <c r="B22" s="30">
        <v>0</v>
      </c>
      <c r="C22" s="33">
        <f>+C17</f>
        <v>3.7850000000000001</v>
      </c>
      <c r="E22" s="2" t="s">
        <v>74</v>
      </c>
      <c r="F22" s="33">
        <f>+F11*0.6+F17*0.4</f>
        <v>6.9459999999999994E-2</v>
      </c>
      <c r="G22" s="82">
        <f>+G11*0.6+G17*0.4</f>
        <v>0.95484000000000002</v>
      </c>
      <c r="I22" s="30">
        <f>ROUND(+B22*G22,0)</f>
        <v>0</v>
      </c>
      <c r="J22" s="33">
        <f>ROUND(+C22/G22+F22,3)</f>
        <v>4.0330000000000004</v>
      </c>
    </row>
    <row r="23" spans="1:18" ht="13.8" thickBot="1" x14ac:dyDescent="0.3">
      <c r="B23" s="38">
        <f>SUM(B20:B22)</f>
        <v>0</v>
      </c>
      <c r="I23" s="38">
        <f>SUM(I20:I22)</f>
        <v>0</v>
      </c>
    </row>
    <row r="24" spans="1:18" ht="13.8" thickTop="1" x14ac:dyDescent="0.25"/>
    <row r="25" spans="1:18" x14ac:dyDescent="0.25">
      <c r="A25" s="2" t="s">
        <v>144</v>
      </c>
    </row>
    <row r="26" spans="1:18" x14ac:dyDescent="0.25">
      <c r="B26" s="112" t="s">
        <v>143</v>
      </c>
      <c r="C26" s="111"/>
      <c r="O26" s="4"/>
    </row>
    <row r="27" spans="1:18" x14ac:dyDescent="0.25">
      <c r="B27" s="113" t="s">
        <v>142</v>
      </c>
      <c r="C27" s="109"/>
      <c r="D27" s="110"/>
      <c r="E27" s="110"/>
      <c r="F27" s="109"/>
      <c r="G27" s="108"/>
      <c r="H27" s="110"/>
      <c r="L27" s="85" t="s">
        <v>146</v>
      </c>
      <c r="M27" s="86" t="s">
        <v>147</v>
      </c>
      <c r="N27" s="87" t="s">
        <v>148</v>
      </c>
      <c r="O27" s="114"/>
    </row>
    <row r="28" spans="1:18" x14ac:dyDescent="0.25">
      <c r="B28" s="30">
        <v>0</v>
      </c>
      <c r="C28" s="33">
        <v>4.4000000000000004</v>
      </c>
      <c r="E28" s="2" t="s">
        <v>133</v>
      </c>
      <c r="F28" s="109">
        <f>0.0022+0.007+0.0097+0.0392</f>
        <v>5.8099999999999999E-2</v>
      </c>
      <c r="G28" s="107">
        <f>1-0.0539</f>
        <v>0.94609999999999994</v>
      </c>
      <c r="I28" s="30">
        <f t="shared" ref="I28:I37" si="0">ROUND(+B28*G28,0)</f>
        <v>0</v>
      </c>
      <c r="J28" s="33">
        <f t="shared" ref="J28:J37" si="1">ROUND(+C28/G28+F28,3)</f>
        <v>4.7089999999999996</v>
      </c>
      <c r="L28" s="88">
        <f>+(J28-F30)*G30</f>
        <v>4.4413696999999992</v>
      </c>
      <c r="M28" s="89">
        <f>+(J28-F31)*G31</f>
        <v>4.4648287199999999</v>
      </c>
      <c r="N28" s="90">
        <f>+(J28-F32)*G32</f>
        <v>4.6459604099999998</v>
      </c>
      <c r="O28" s="92"/>
    </row>
    <row r="29" spans="1:18" x14ac:dyDescent="0.25">
      <c r="B29" s="30">
        <v>0</v>
      </c>
      <c r="C29" s="33">
        <v>4.415</v>
      </c>
      <c r="E29" s="2" t="s">
        <v>134</v>
      </c>
      <c r="F29" s="109">
        <f>0.0022+0.007+0.0097+0.0367</f>
        <v>5.5600000000000004E-2</v>
      </c>
      <c r="G29" s="107">
        <f>1-0.0504</f>
        <v>0.9496</v>
      </c>
      <c r="I29" s="30">
        <f t="shared" si="0"/>
        <v>0</v>
      </c>
      <c r="J29" s="33">
        <f t="shared" si="1"/>
        <v>4.7050000000000001</v>
      </c>
      <c r="L29" s="91">
        <f>+(J29-F30)*G30</f>
        <v>4.4375545000000001</v>
      </c>
      <c r="M29" s="92">
        <f>+(J29-F31)*G31</f>
        <v>4.4609959200000002</v>
      </c>
      <c r="N29" s="93">
        <f>+(J29-F32)*G32</f>
        <v>4.6419928099999996</v>
      </c>
      <c r="O29" s="92"/>
    </row>
    <row r="30" spans="1:18" x14ac:dyDescent="0.25">
      <c r="A30">
        <f>6081-5675</f>
        <v>406</v>
      </c>
      <c r="B30" s="30">
        <v>6081</v>
      </c>
      <c r="C30" s="33">
        <v>3.94</v>
      </c>
      <c r="E30" s="2" t="s">
        <v>135</v>
      </c>
      <c r="F30" s="109">
        <f>0.0022+0.007+0.0097+0.0336</f>
        <v>5.2499999999999998E-2</v>
      </c>
      <c r="G30" s="107">
        <f>1-0.0462</f>
        <v>0.95379999999999998</v>
      </c>
      <c r="I30" s="30">
        <f t="shared" si="0"/>
        <v>5800</v>
      </c>
      <c r="J30" s="33">
        <f t="shared" si="1"/>
        <v>4.1829999999999998</v>
      </c>
      <c r="L30" s="91"/>
      <c r="M30" s="92">
        <f>+(J30-F31)*G31</f>
        <v>3.9608155199999997</v>
      </c>
      <c r="N30" s="93">
        <f>+(J30-F32)*G32</f>
        <v>4.1242210099999994</v>
      </c>
      <c r="O30" s="92"/>
    </row>
    <row r="31" spans="1:18" x14ac:dyDescent="0.25">
      <c r="B31" s="41">
        <v>5649</v>
      </c>
      <c r="C31" s="105">
        <v>4.4729999999999999</v>
      </c>
      <c r="D31" s="29"/>
      <c r="E31" s="106" t="s">
        <v>136</v>
      </c>
      <c r="F31" s="109">
        <f>0.0022+0.007+0.0097+0.0305</f>
        <v>4.9399999999999999E-2</v>
      </c>
      <c r="G31" s="107">
        <f>1-0.0418</f>
        <v>0.95820000000000005</v>
      </c>
      <c r="H31" s="29"/>
      <c r="I31" s="41">
        <f t="shared" si="0"/>
        <v>5413</v>
      </c>
      <c r="J31" s="105">
        <f t="shared" si="1"/>
        <v>4.718</v>
      </c>
      <c r="L31" s="91">
        <f>+(J31-F30)*G30</f>
        <v>4.4499538999999997</v>
      </c>
      <c r="M31" s="92"/>
      <c r="N31" s="93">
        <f>+(J31-F32)*G32</f>
        <v>4.65488751</v>
      </c>
      <c r="O31" s="115"/>
    </row>
    <row r="32" spans="1:18" x14ac:dyDescent="0.25">
      <c r="B32" s="41">
        <v>0</v>
      </c>
      <c r="C32" s="105">
        <v>4.6459999999999999</v>
      </c>
      <c r="D32" s="29"/>
      <c r="E32" s="106" t="s">
        <v>145</v>
      </c>
      <c r="F32" s="109">
        <f>0.0022+0.007+0.0097+0.0062</f>
        <v>2.5100000000000001E-2</v>
      </c>
      <c r="G32" s="107">
        <f>1-0.0081</f>
        <v>0.9919</v>
      </c>
      <c r="H32" s="29"/>
      <c r="I32" s="41">
        <f t="shared" si="0"/>
        <v>0</v>
      </c>
      <c r="J32" s="105">
        <f t="shared" si="1"/>
        <v>4.7089999999999996</v>
      </c>
      <c r="L32" s="91">
        <f>+(J32-F30)*G30</f>
        <v>4.4413696999999992</v>
      </c>
      <c r="M32" s="92">
        <f>+(J32-F31)*G31</f>
        <v>4.4648287199999999</v>
      </c>
      <c r="N32" s="93"/>
      <c r="O32" s="4"/>
    </row>
    <row r="33" spans="1:15" x14ac:dyDescent="0.25">
      <c r="B33" s="41">
        <v>0</v>
      </c>
      <c r="C33" s="105">
        <v>5.1550000000000002</v>
      </c>
      <c r="D33" s="29"/>
      <c r="E33" s="106" t="s">
        <v>137</v>
      </c>
      <c r="F33" s="109">
        <f>0.0022+0.007+0.0097+0.006</f>
        <v>2.4899999999999999E-2</v>
      </c>
      <c r="G33" s="107">
        <f>1-0.0077</f>
        <v>0.99229999999999996</v>
      </c>
      <c r="H33" s="29"/>
      <c r="I33" s="41">
        <f t="shared" si="0"/>
        <v>0</v>
      </c>
      <c r="J33" s="105">
        <f t="shared" si="1"/>
        <v>5.22</v>
      </c>
      <c r="L33" s="91"/>
      <c r="M33" s="92"/>
      <c r="N33" s="93"/>
      <c r="O33" s="4"/>
    </row>
    <row r="34" spans="1:15" x14ac:dyDescent="0.25">
      <c r="B34" s="41">
        <v>0</v>
      </c>
      <c r="C34" s="105">
        <v>5.1550000000000002</v>
      </c>
      <c r="D34" s="29"/>
      <c r="E34" s="106" t="s">
        <v>141</v>
      </c>
      <c r="F34" s="111">
        <f>0.0091</f>
        <v>9.1000000000000004E-3</v>
      </c>
      <c r="G34" s="107">
        <f>1-0.0121</f>
        <v>0.9879</v>
      </c>
      <c r="H34" s="29"/>
      <c r="I34" s="41">
        <f t="shared" si="0"/>
        <v>0</v>
      </c>
      <c r="J34" s="105">
        <f t="shared" si="1"/>
        <v>5.2270000000000003</v>
      </c>
      <c r="L34" s="91"/>
      <c r="M34" s="92"/>
      <c r="N34" s="93"/>
      <c r="O34" s="4"/>
    </row>
    <row r="35" spans="1:15" x14ac:dyDescent="0.25">
      <c r="B35" s="41">
        <v>0</v>
      </c>
      <c r="C35" s="105">
        <v>5.1550000000000002</v>
      </c>
      <c r="D35" s="29"/>
      <c r="E35" s="106" t="s">
        <v>138</v>
      </c>
      <c r="F35" s="111">
        <v>6.6E-3</v>
      </c>
      <c r="G35" s="107">
        <f>1-0.0086</f>
        <v>0.99139999999999995</v>
      </c>
      <c r="H35" s="29"/>
      <c r="I35" s="41">
        <f t="shared" si="0"/>
        <v>0</v>
      </c>
      <c r="J35" s="105">
        <f t="shared" si="1"/>
        <v>5.2060000000000004</v>
      </c>
      <c r="L35" s="91"/>
      <c r="M35" s="92"/>
      <c r="N35" s="93"/>
      <c r="O35" s="4"/>
    </row>
    <row r="36" spans="1:15" x14ac:dyDescent="0.25">
      <c r="B36" s="41">
        <v>0</v>
      </c>
      <c r="C36" s="105">
        <v>4.2157999999999998</v>
      </c>
      <c r="D36" s="29"/>
      <c r="E36" s="106" t="s">
        <v>139</v>
      </c>
      <c r="F36" s="111">
        <v>3.5000000000000001E-3</v>
      </c>
      <c r="G36" s="107">
        <f>1-0.0044</f>
        <v>0.99560000000000004</v>
      </c>
      <c r="H36" s="29"/>
      <c r="I36" s="41">
        <f t="shared" si="0"/>
        <v>0</v>
      </c>
      <c r="J36" s="105">
        <f t="shared" si="1"/>
        <v>4.2380000000000004</v>
      </c>
      <c r="L36" s="91"/>
      <c r="M36" s="92"/>
      <c r="N36" s="93"/>
    </row>
    <row r="37" spans="1:15" x14ac:dyDescent="0.25">
      <c r="B37" s="41">
        <v>0</v>
      </c>
      <c r="C37" s="105">
        <v>5.1550000000000002</v>
      </c>
      <c r="D37" s="29"/>
      <c r="E37" s="106" t="s">
        <v>140</v>
      </c>
      <c r="F37" s="111">
        <v>1.7000000000000001E-2</v>
      </c>
      <c r="G37" s="107">
        <v>1</v>
      </c>
      <c r="H37" s="29"/>
      <c r="I37" s="41">
        <f t="shared" si="0"/>
        <v>0</v>
      </c>
      <c r="J37" s="105">
        <f t="shared" si="1"/>
        <v>5.1719999999999997</v>
      </c>
    </row>
    <row r="38" spans="1:15" ht="13.8" thickBot="1" x14ac:dyDescent="0.3">
      <c r="B38" s="38">
        <f>SUM(B28:B37)</f>
        <v>11730</v>
      </c>
      <c r="I38" s="38">
        <f>SUM(I28:I37)</f>
        <v>11213</v>
      </c>
    </row>
    <row r="39" spans="1:15" ht="13.8" thickTop="1" x14ac:dyDescent="0.25"/>
    <row r="40" spans="1:15" x14ac:dyDescent="0.25">
      <c r="B40" s="131" t="s">
        <v>194</v>
      </c>
      <c r="C40" s="33">
        <v>4.4969999999999999</v>
      </c>
      <c r="E40" s="106" t="s">
        <v>192</v>
      </c>
      <c r="F40" s="33">
        <f>+((C40-F30)*G30)/(1-0.0381)+0.0467</f>
        <v>4.4537736043247742</v>
      </c>
      <c r="G40" s="132" t="s">
        <v>195</v>
      </c>
      <c r="I40" s="32">
        <f>+C40-F40</f>
        <v>4.3226395675225682E-2</v>
      </c>
    </row>
    <row r="41" spans="1:15" x14ac:dyDescent="0.25">
      <c r="E41" s="106" t="s">
        <v>193</v>
      </c>
    </row>
    <row r="44" spans="1:15" x14ac:dyDescent="0.25">
      <c r="A44" s="2" t="s">
        <v>160</v>
      </c>
    </row>
    <row r="45" spans="1:15" x14ac:dyDescent="0.25">
      <c r="A45" t="s">
        <v>12</v>
      </c>
      <c r="B45" s="30">
        <v>0</v>
      </c>
      <c r="C45" s="33">
        <v>3.93</v>
      </c>
      <c r="E45" s="2" t="s">
        <v>161</v>
      </c>
      <c r="F45" s="109">
        <f>0.0022+0.0097+0.0278</f>
        <v>3.9699999999999999E-2</v>
      </c>
      <c r="G45" s="107">
        <f>1-0.0381</f>
        <v>0.96189999999999998</v>
      </c>
      <c r="I45" s="30">
        <f>ROUND(+B45*G45,0)</f>
        <v>0</v>
      </c>
      <c r="J45" s="33">
        <f>ROUND(+C45/G45+F45,3)</f>
        <v>4.125</v>
      </c>
    </row>
    <row r="46" spans="1:15" x14ac:dyDescent="0.25">
      <c r="A46" t="s">
        <v>163</v>
      </c>
      <c r="C46" s="33">
        <f>+J45</f>
        <v>4.125</v>
      </c>
      <c r="E46" s="2" t="s">
        <v>165</v>
      </c>
      <c r="F46" s="109">
        <f>0.0134+0.0022+0.007</f>
        <v>2.2600000000000002E-2</v>
      </c>
      <c r="G46" s="107">
        <f>1-0.01</f>
        <v>0.99</v>
      </c>
      <c r="J46" s="33">
        <f>ROUND(+C46/G46+F46,3)</f>
        <v>4.1890000000000001</v>
      </c>
      <c r="L46" s="2" t="str">
        <f>IF(J46&lt;J47,"JUDY, USE TRANSCO","")</f>
        <v>JUDY, USE TRANSCO</v>
      </c>
    </row>
    <row r="47" spans="1:15" x14ac:dyDescent="0.25">
      <c r="A47" t="s">
        <v>164</v>
      </c>
      <c r="C47" s="33">
        <v>4.0999999999999996</v>
      </c>
      <c r="E47" s="2" t="s">
        <v>162</v>
      </c>
      <c r="F47" s="109">
        <f>0.0134+0.0022+0.007</f>
        <v>2.2600000000000002E-2</v>
      </c>
      <c r="G47" s="107">
        <f>1-0.02776</f>
        <v>0.97223999999999999</v>
      </c>
      <c r="J47" s="33">
        <f>ROUND(+C47/G47+F47,3)</f>
        <v>4.24</v>
      </c>
      <c r="L47" s="2" t="str">
        <f>IF(J46&lt;J47,"","JUDY, USE CGAS POOL")</f>
        <v/>
      </c>
    </row>
    <row r="48" spans="1:15" x14ac:dyDescent="0.25">
      <c r="J48" s="33">
        <f>+J47-J46</f>
        <v>5.1000000000000156E-2</v>
      </c>
    </row>
    <row r="50" spans="1:15" x14ac:dyDescent="0.25">
      <c r="L50">
        <v>4.0949999999999998</v>
      </c>
    </row>
    <row r="52" spans="1:15" x14ac:dyDescent="0.25">
      <c r="A52" t="s">
        <v>170</v>
      </c>
    </row>
    <row r="53" spans="1:15" x14ac:dyDescent="0.25">
      <c r="B53" s="30">
        <v>5144</v>
      </c>
      <c r="C53" s="33">
        <v>4.08</v>
      </c>
      <c r="E53" t="s">
        <v>168</v>
      </c>
      <c r="F53" s="33">
        <f>0.0013+0.0022</f>
        <v>3.5000000000000001E-3</v>
      </c>
      <c r="G53" s="82">
        <f>1-0.02</f>
        <v>0.98</v>
      </c>
      <c r="I53" s="30">
        <f>ROUND(+B53*G53,0)</f>
        <v>5041</v>
      </c>
      <c r="J53" s="33">
        <f>ROUND(+C53/G53+F53,3)</f>
        <v>4.1669999999999998</v>
      </c>
    </row>
    <row r="55" spans="1:15" x14ac:dyDescent="0.25">
      <c r="B55" s="30">
        <v>5041</v>
      </c>
      <c r="C55" s="33">
        <f>+J53</f>
        <v>4.1669999999999998</v>
      </c>
      <c r="D55" s="26"/>
      <c r="E55" s="26" t="s">
        <v>169</v>
      </c>
      <c r="F55" s="117">
        <f>0.0022+0.007+0.0078</f>
        <v>1.7000000000000001E-2</v>
      </c>
      <c r="G55" s="84">
        <f>1-0.0081</f>
        <v>0.9919</v>
      </c>
      <c r="I55" s="30">
        <f>ROUND(+B55*G55,0)</f>
        <v>5000</v>
      </c>
      <c r="J55" s="33">
        <f>ROUND(+C55/G55+F55,3)</f>
        <v>4.218</v>
      </c>
      <c r="L55">
        <v>4.1399999999999997</v>
      </c>
      <c r="M55" s="127">
        <f>+J55-L55</f>
        <v>7.8000000000000291E-2</v>
      </c>
    </row>
    <row r="56" spans="1:15" x14ac:dyDescent="0.25">
      <c r="B56" s="30">
        <v>500</v>
      </c>
      <c r="C56" s="33">
        <f>+J53</f>
        <v>4.1669999999999998</v>
      </c>
      <c r="D56" s="26"/>
      <c r="E56" s="26" t="s">
        <v>169</v>
      </c>
      <c r="F56" s="117">
        <f>0.0022+0.007+0.0078</f>
        <v>1.7000000000000001E-2</v>
      </c>
      <c r="G56" s="84">
        <f>1-0.0081</f>
        <v>0.9919</v>
      </c>
      <c r="I56" s="30">
        <f>ROUND(+B56*G56,0)</f>
        <v>496</v>
      </c>
      <c r="J56" s="33">
        <f>ROUND(+C56/G56+F56,3)</f>
        <v>4.218</v>
      </c>
    </row>
    <row r="57" spans="1:15" x14ac:dyDescent="0.25">
      <c r="D57" s="26"/>
      <c r="E57" s="26"/>
      <c r="F57" s="117"/>
      <c r="G57" s="84"/>
    </row>
    <row r="58" spans="1:15" x14ac:dyDescent="0.25">
      <c r="C58" s="33" t="s">
        <v>214</v>
      </c>
      <c r="D58" s="26"/>
      <c r="E58" s="27"/>
      <c r="F58" s="35">
        <f>+J55-C55</f>
        <v>5.1000000000000156E-2</v>
      </c>
      <c r="G58" s="84"/>
    </row>
    <row r="59" spans="1:15" x14ac:dyDescent="0.25">
      <c r="D59" s="26"/>
      <c r="E59" s="27"/>
      <c r="F59" s="35"/>
      <c r="G59" s="84"/>
    </row>
    <row r="60" spans="1:15" x14ac:dyDescent="0.25">
      <c r="D60" s="26"/>
      <c r="E60" s="28"/>
      <c r="F60" s="37"/>
      <c r="G60" s="84"/>
    </row>
    <row r="61" spans="1:15" x14ac:dyDescent="0.25">
      <c r="A61" t="s">
        <v>235</v>
      </c>
      <c r="D61" s="26"/>
      <c r="E61" s="27"/>
      <c r="F61" s="36"/>
      <c r="G61" s="84"/>
    </row>
    <row r="62" spans="1:15" x14ac:dyDescent="0.25">
      <c r="B62" s="41">
        <v>856</v>
      </c>
      <c r="C62" s="105">
        <v>3.88</v>
      </c>
      <c r="D62" s="29"/>
      <c r="E62" s="106" t="s">
        <v>236</v>
      </c>
      <c r="F62" s="111">
        <v>3.8999999999999998E-3</v>
      </c>
      <c r="G62" s="107">
        <f>1-0.00697</f>
        <v>0.99302999999999997</v>
      </c>
      <c r="H62" s="29"/>
      <c r="I62" s="41">
        <f>ROUND(+B62*G62,0)</f>
        <v>850</v>
      </c>
      <c r="J62" s="105">
        <f>ROUND(+C62/G62+F62,3)</f>
        <v>3.911</v>
      </c>
      <c r="L62" s="91"/>
      <c r="M62" s="92"/>
      <c r="N62" s="93"/>
      <c r="O62" s="4"/>
    </row>
    <row r="63" spans="1:15" x14ac:dyDescent="0.25">
      <c r="B63" s="41">
        <v>0</v>
      </c>
      <c r="C63" s="105">
        <v>3.895</v>
      </c>
      <c r="D63" s="29"/>
      <c r="E63" s="106" t="s">
        <v>237</v>
      </c>
      <c r="F63" s="111">
        <v>3.8800000000000001E-2</v>
      </c>
      <c r="G63" s="107">
        <f>1-0.00697</f>
        <v>0.99302999999999997</v>
      </c>
      <c r="H63" s="29"/>
      <c r="I63" s="41">
        <f>ROUND(+B63*G63,0)</f>
        <v>0</v>
      </c>
      <c r="J63" s="105">
        <f>ROUND(+C63/G63+F63,3)</f>
        <v>3.9609999999999999</v>
      </c>
      <c r="L63" s="91"/>
      <c r="M63" s="92"/>
      <c r="N63" s="93"/>
      <c r="O63" s="4"/>
    </row>
    <row r="64" spans="1:15" x14ac:dyDescent="0.25">
      <c r="B64" s="41"/>
      <c r="C64" s="105"/>
      <c r="D64" s="29"/>
      <c r="E64" s="106"/>
      <c r="F64" s="111"/>
      <c r="G64" s="107"/>
      <c r="H64" s="29"/>
      <c r="I64" s="41"/>
      <c r="J64" s="105"/>
      <c r="L64" s="91"/>
      <c r="M64" s="92"/>
      <c r="N64" s="93"/>
      <c r="O64" s="4"/>
    </row>
    <row r="65" spans="2:15" x14ac:dyDescent="0.25">
      <c r="B65" s="41">
        <v>0</v>
      </c>
      <c r="C65" s="105">
        <f>+J62</f>
        <v>3.911</v>
      </c>
      <c r="D65" s="29"/>
      <c r="E65" s="106" t="s">
        <v>238</v>
      </c>
      <c r="F65" s="111">
        <v>1.9199999999999998E-2</v>
      </c>
      <c r="G65" s="107">
        <f>1-0.02902</f>
        <v>0.97097999999999995</v>
      </c>
      <c r="H65" s="29"/>
      <c r="I65" s="41">
        <f>ROUND(+B65*G65,0)</f>
        <v>0</v>
      </c>
      <c r="J65" s="105">
        <f>ROUND(+C65/G65+F65,3)</f>
        <v>4.0469999999999997</v>
      </c>
      <c r="L65" s="91"/>
      <c r="M65" s="92"/>
      <c r="N65" s="93"/>
      <c r="O65" s="4"/>
    </row>
    <row r="66" spans="2:15" x14ac:dyDescent="0.25">
      <c r="B66" s="41">
        <v>0</v>
      </c>
      <c r="C66" s="105">
        <v>3.95</v>
      </c>
      <c r="D66" s="29"/>
      <c r="E66" s="106" t="s">
        <v>238</v>
      </c>
      <c r="F66" s="111">
        <v>1.9199999999999998E-2</v>
      </c>
      <c r="G66" s="107">
        <f>1-0.02902</f>
        <v>0.97097999999999995</v>
      </c>
      <c r="H66" s="29"/>
      <c r="I66" s="41">
        <f>ROUND(+B66*G66,0)</f>
        <v>0</v>
      </c>
      <c r="J66" s="105">
        <f>ROUND(+C66/G66+F66,3)</f>
        <v>4.0869999999999997</v>
      </c>
      <c r="L66" s="91"/>
      <c r="M66" s="92"/>
      <c r="N66" s="93"/>
      <c r="O66" s="4"/>
    </row>
    <row r="67" spans="2:15" x14ac:dyDescent="0.25">
      <c r="D67" s="26"/>
      <c r="E67" s="26"/>
      <c r="F67" s="35"/>
      <c r="G67" s="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102" workbookViewId="0">
      <selection activeCell="A110" sqref="A110"/>
    </sheetView>
  </sheetViews>
  <sheetFormatPr defaultRowHeight="13.2" x14ac:dyDescent="0.25"/>
  <cols>
    <col min="1" max="1" width="21.6640625" customWidth="1"/>
    <col min="2" max="2" width="10.33203125" style="30" customWidth="1"/>
    <col min="3" max="3" width="13.33203125" style="33" customWidth="1"/>
    <col min="5" max="5" width="14.109375" customWidth="1"/>
    <col min="6" max="6" width="13.88671875" customWidth="1"/>
    <col min="7" max="7" width="14.109375" customWidth="1"/>
    <col min="8" max="8" width="11.33203125" customWidth="1"/>
  </cols>
  <sheetData>
    <row r="1" spans="1:9" x14ac:dyDescent="0.25">
      <c r="A1" s="2" t="s">
        <v>242</v>
      </c>
    </row>
    <row r="3" spans="1:9" x14ac:dyDescent="0.25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5">
      <c r="A4">
        <v>2.2000000000000001E-3</v>
      </c>
      <c r="C4" s="33" t="s">
        <v>45</v>
      </c>
      <c r="D4">
        <v>1.03E-2</v>
      </c>
    </row>
    <row r="5" spans="1:9" x14ac:dyDescent="0.25">
      <c r="C5" s="33" t="s">
        <v>47</v>
      </c>
      <c r="D5">
        <v>6.2199999999999998E-2</v>
      </c>
    </row>
    <row r="6" spans="1:9" x14ac:dyDescent="0.25">
      <c r="E6" t="s">
        <v>36</v>
      </c>
    </row>
    <row r="7" spans="1:9" x14ac:dyDescent="0.25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5">
      <c r="A8" s="76" t="s">
        <v>32</v>
      </c>
      <c r="B8" s="77">
        <v>0</v>
      </c>
      <c r="C8" s="78">
        <v>0</v>
      </c>
      <c r="D8" s="76">
        <v>0</v>
      </c>
      <c r="E8" s="79">
        <f t="shared" ref="E8:E18" si="0">+B8*C8</f>
        <v>0</v>
      </c>
      <c r="F8" s="79">
        <f t="shared" ref="F8:F18" si="1">+B8*D8</f>
        <v>0</v>
      </c>
      <c r="G8" s="76"/>
      <c r="H8" s="76"/>
      <c r="I8" s="76"/>
    </row>
    <row r="9" spans="1:9" x14ac:dyDescent="0.25">
      <c r="A9" s="76" t="s">
        <v>32</v>
      </c>
      <c r="B9" s="77">
        <v>0</v>
      </c>
      <c r="C9" s="78">
        <v>0</v>
      </c>
      <c r="D9" s="76">
        <v>0</v>
      </c>
      <c r="E9" s="79">
        <f t="shared" si="0"/>
        <v>0</v>
      </c>
      <c r="F9" s="79">
        <f t="shared" si="1"/>
        <v>0</v>
      </c>
      <c r="G9" s="76"/>
      <c r="H9" s="76"/>
      <c r="I9" s="76"/>
    </row>
    <row r="10" spans="1:9" x14ac:dyDescent="0.25">
      <c r="A10" s="76" t="s">
        <v>95</v>
      </c>
      <c r="B10" s="77">
        <v>0</v>
      </c>
      <c r="C10" s="78">
        <v>0</v>
      </c>
      <c r="D10" s="76">
        <v>0</v>
      </c>
      <c r="E10" s="79">
        <f t="shared" si="0"/>
        <v>0</v>
      </c>
      <c r="F10" s="79">
        <f t="shared" si="1"/>
        <v>0</v>
      </c>
      <c r="G10" s="76"/>
      <c r="H10" s="76"/>
      <c r="I10" s="76"/>
    </row>
    <row r="11" spans="1:9" x14ac:dyDescent="0.25">
      <c r="A11" s="76" t="s">
        <v>127</v>
      </c>
      <c r="B11" s="77">
        <v>0</v>
      </c>
      <c r="C11" s="78">
        <v>0</v>
      </c>
      <c r="D11" s="76">
        <v>0</v>
      </c>
      <c r="E11" s="79">
        <f t="shared" si="0"/>
        <v>0</v>
      </c>
      <c r="F11" s="79">
        <f t="shared" si="1"/>
        <v>0</v>
      </c>
      <c r="G11" s="76"/>
      <c r="H11" s="76"/>
      <c r="I11" s="76"/>
    </row>
    <row r="12" spans="1:9" s="29" customFormat="1" x14ac:dyDescent="0.25">
      <c r="A12" s="76" t="s">
        <v>92</v>
      </c>
      <c r="B12" s="77">
        <v>0</v>
      </c>
      <c r="C12" s="78">
        <v>0</v>
      </c>
      <c r="D12" s="76">
        <v>0</v>
      </c>
      <c r="E12" s="79">
        <f t="shared" si="0"/>
        <v>0</v>
      </c>
      <c r="F12" s="79">
        <f t="shared" si="1"/>
        <v>0</v>
      </c>
      <c r="G12" s="76"/>
      <c r="H12" s="76"/>
      <c r="I12" s="76"/>
    </row>
    <row r="13" spans="1:9" s="29" customFormat="1" x14ac:dyDescent="0.25">
      <c r="A13" s="76" t="s">
        <v>92</v>
      </c>
      <c r="B13" s="77">
        <v>0</v>
      </c>
      <c r="C13" s="78">
        <v>0</v>
      </c>
      <c r="D13" s="76">
        <v>0</v>
      </c>
      <c r="E13" s="79">
        <f t="shared" si="0"/>
        <v>0</v>
      </c>
      <c r="F13" s="79">
        <f t="shared" si="1"/>
        <v>0</v>
      </c>
      <c r="G13" s="76"/>
      <c r="H13" s="76"/>
      <c r="I13" s="76"/>
    </row>
    <row r="14" spans="1:9" x14ac:dyDescent="0.25">
      <c r="A14" s="76" t="s">
        <v>92</v>
      </c>
      <c r="B14" s="77">
        <v>0</v>
      </c>
      <c r="C14" s="78">
        <v>0</v>
      </c>
      <c r="D14" s="76">
        <v>0</v>
      </c>
      <c r="E14" s="79">
        <f t="shared" si="0"/>
        <v>0</v>
      </c>
      <c r="F14" s="79">
        <f t="shared" si="1"/>
        <v>0</v>
      </c>
      <c r="G14" s="76"/>
      <c r="H14" s="76"/>
      <c r="I14" s="76"/>
    </row>
    <row r="15" spans="1:9" x14ac:dyDescent="0.25">
      <c r="A15" s="76" t="s">
        <v>92</v>
      </c>
      <c r="B15" s="77">
        <v>0</v>
      </c>
      <c r="C15" s="78">
        <v>0</v>
      </c>
      <c r="D15" s="76">
        <v>0</v>
      </c>
      <c r="E15" s="79">
        <f>+B15*C15</f>
        <v>0</v>
      </c>
      <c r="F15" s="79">
        <f>+B15*D15</f>
        <v>0</v>
      </c>
      <c r="G15" s="76"/>
      <c r="H15" s="76"/>
      <c r="I15" s="76"/>
    </row>
    <row r="16" spans="1:9" x14ac:dyDescent="0.25">
      <c r="A16" s="76" t="s">
        <v>127</v>
      </c>
      <c r="B16" s="77">
        <v>0</v>
      </c>
      <c r="C16" s="78">
        <v>0</v>
      </c>
      <c r="D16" s="76">
        <v>0</v>
      </c>
      <c r="E16" s="79">
        <f t="shared" si="0"/>
        <v>0</v>
      </c>
      <c r="F16" s="79">
        <f t="shared" si="1"/>
        <v>0</v>
      </c>
      <c r="G16" s="76"/>
      <c r="H16" s="76"/>
      <c r="I16" s="76"/>
    </row>
    <row r="17" spans="1:9" x14ac:dyDescent="0.25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5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5">
      <c r="A19" s="76"/>
      <c r="B19" s="77"/>
      <c r="C19" s="78"/>
      <c r="D19" s="76"/>
      <c r="E19" s="79"/>
      <c r="F19" s="79"/>
      <c r="G19" s="76"/>
      <c r="H19" s="76"/>
      <c r="I19" s="76"/>
    </row>
    <row r="20" spans="1:9" x14ac:dyDescent="0.25">
      <c r="A20" s="76" t="s">
        <v>239</v>
      </c>
      <c r="B20" s="77">
        <v>0</v>
      </c>
      <c r="C20" s="78">
        <v>0</v>
      </c>
      <c r="D20" s="76">
        <v>0</v>
      </c>
      <c r="E20" s="79">
        <f>+B20*C20</f>
        <v>0</v>
      </c>
      <c r="F20" s="79">
        <f>+B20*D20</f>
        <v>0</v>
      </c>
      <c r="G20" s="76"/>
      <c r="H20" s="76"/>
      <c r="I20" s="76"/>
    </row>
    <row r="21" spans="1:9" x14ac:dyDescent="0.25">
      <c r="A21" s="76" t="s">
        <v>97</v>
      </c>
      <c r="B21" s="77">
        <v>0</v>
      </c>
      <c r="C21" s="78">
        <v>0</v>
      </c>
      <c r="D21" s="76">
        <v>0</v>
      </c>
      <c r="E21" s="79">
        <f>+B21*C21</f>
        <v>0</v>
      </c>
      <c r="F21" s="79">
        <f>+B21*D21</f>
        <v>0</v>
      </c>
      <c r="G21" s="76"/>
      <c r="H21" s="76"/>
      <c r="I21" s="76"/>
    </row>
    <row r="22" spans="1:9" x14ac:dyDescent="0.25">
      <c r="A22" s="76"/>
      <c r="B22" s="77"/>
      <c r="C22" s="78"/>
      <c r="D22" s="76"/>
      <c r="E22" s="79"/>
      <c r="F22" s="79"/>
      <c r="G22" s="76"/>
      <c r="H22" s="76"/>
      <c r="I22" s="76"/>
    </row>
    <row r="23" spans="1:9" x14ac:dyDescent="0.25">
      <c r="A23" s="76" t="s">
        <v>119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5">
      <c r="A24" s="76" t="s">
        <v>120</v>
      </c>
      <c r="B24" s="77">
        <v>0</v>
      </c>
      <c r="C24" s="78">
        <v>0</v>
      </c>
      <c r="D24" s="76">
        <v>0</v>
      </c>
      <c r="E24" s="79">
        <f>+B24*C24</f>
        <v>0</v>
      </c>
      <c r="F24" s="79">
        <f>+B24*D24</f>
        <v>0</v>
      </c>
      <c r="G24" s="76"/>
      <c r="H24" s="76"/>
      <c r="I24" s="76"/>
    </row>
    <row r="25" spans="1:9" s="29" customFormat="1" x14ac:dyDescent="0.25">
      <c r="A25" s="76" t="s">
        <v>93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5">
      <c r="A26" s="76" t="s">
        <v>93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x14ac:dyDescent="0.25">
      <c r="A27" s="76" t="s">
        <v>68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5">
      <c r="A28" s="76"/>
      <c r="B28" s="77"/>
      <c r="C28" s="78"/>
      <c r="D28" s="76"/>
      <c r="E28" s="79"/>
      <c r="F28" s="79"/>
      <c r="G28" s="76"/>
      <c r="H28" s="76"/>
      <c r="I28" s="76"/>
    </row>
    <row r="29" spans="1:9" x14ac:dyDescent="0.25">
      <c r="A29" s="76" t="s">
        <v>67</v>
      </c>
      <c r="B29" s="77">
        <v>0</v>
      </c>
      <c r="C29" s="78">
        <v>0</v>
      </c>
      <c r="D29" s="76">
        <v>0</v>
      </c>
      <c r="E29" s="79">
        <f>+B29*C29</f>
        <v>0</v>
      </c>
      <c r="F29" s="79">
        <f>+B29*D29</f>
        <v>0</v>
      </c>
      <c r="G29" s="76"/>
      <c r="H29" s="76"/>
      <c r="I29" s="76"/>
    </row>
    <row r="30" spans="1:9" s="29" customFormat="1" x14ac:dyDescent="0.25">
      <c r="A30" s="76" t="s">
        <v>112</v>
      </c>
      <c r="B30" s="77">
        <v>0</v>
      </c>
      <c r="C30" s="78">
        <v>0</v>
      </c>
      <c r="D30" s="76">
        <v>0</v>
      </c>
      <c r="E30" s="79">
        <f>+B30*C30</f>
        <v>0</v>
      </c>
      <c r="F30" s="79">
        <f>+B30*D30</f>
        <v>0</v>
      </c>
      <c r="G30" s="76"/>
      <c r="H30" s="76"/>
      <c r="I30" s="76"/>
    </row>
    <row r="31" spans="1:9" s="29" customFormat="1" x14ac:dyDescent="0.25">
      <c r="A31" s="76" t="s">
        <v>67</v>
      </c>
      <c r="B31" s="77">
        <v>0</v>
      </c>
      <c r="C31" s="78">
        <v>0</v>
      </c>
      <c r="D31" s="76">
        <v>0</v>
      </c>
      <c r="E31" s="79">
        <f>+B31*C31</f>
        <v>0</v>
      </c>
      <c r="F31" s="79">
        <f>+B31*D31</f>
        <v>0</v>
      </c>
      <c r="G31" s="76"/>
      <c r="H31" s="76"/>
      <c r="I31" s="76"/>
    </row>
    <row r="32" spans="1:9" x14ac:dyDescent="0.25">
      <c r="A32" s="76" t="s">
        <v>112</v>
      </c>
      <c r="B32" s="77">
        <v>0</v>
      </c>
      <c r="C32" s="78">
        <v>0</v>
      </c>
      <c r="D32" s="76">
        <v>0</v>
      </c>
      <c r="E32" s="79">
        <f>+B32*C32</f>
        <v>0</v>
      </c>
      <c r="F32" s="79">
        <f>+B32*D32</f>
        <v>0</v>
      </c>
      <c r="G32" s="76"/>
      <c r="H32" s="76"/>
      <c r="I32" s="76"/>
    </row>
    <row r="33" spans="1:9" x14ac:dyDescent="0.25">
      <c r="A33" s="76"/>
      <c r="B33" s="77"/>
      <c r="C33" s="78"/>
      <c r="D33" s="76"/>
      <c r="E33" s="79"/>
      <c r="F33" s="79"/>
      <c r="G33" s="76"/>
      <c r="H33" s="76"/>
      <c r="I33" s="76"/>
    </row>
    <row r="34" spans="1:9" x14ac:dyDescent="0.25">
      <c r="A34" s="76" t="s">
        <v>104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5">
      <c r="A35" s="76" t="s">
        <v>105</v>
      </c>
      <c r="B35" s="77">
        <v>0</v>
      </c>
      <c r="C35" s="78">
        <v>0</v>
      </c>
      <c r="D35" s="76">
        <v>0</v>
      </c>
      <c r="E35" s="79">
        <f>+B35*C35</f>
        <v>0</v>
      </c>
      <c r="F35" s="79">
        <f>+B35*D35</f>
        <v>0</v>
      </c>
      <c r="G35" s="76"/>
      <c r="H35" s="76"/>
      <c r="I35" s="76"/>
    </row>
    <row r="36" spans="1:9" x14ac:dyDescent="0.25">
      <c r="A36" s="76"/>
      <c r="B36" s="77"/>
      <c r="C36" s="78"/>
      <c r="D36" s="76"/>
      <c r="E36" s="79"/>
      <c r="F36" s="79"/>
      <c r="G36" s="76"/>
      <c r="H36" s="76"/>
      <c r="I36" s="76"/>
    </row>
    <row r="37" spans="1:9" x14ac:dyDescent="0.25">
      <c r="A37" s="76" t="s">
        <v>101</v>
      </c>
      <c r="B37" s="77">
        <v>0</v>
      </c>
      <c r="C37" s="78">
        <v>0</v>
      </c>
      <c r="D37" s="76">
        <v>1.2500000000000001E-2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5">
      <c r="A38" s="76" t="s">
        <v>101</v>
      </c>
      <c r="B38" s="77">
        <v>0</v>
      </c>
      <c r="C38" s="78">
        <v>0</v>
      </c>
      <c r="D38" s="76">
        <v>0</v>
      </c>
      <c r="E38" s="79">
        <f>+B38*C38</f>
        <v>0</v>
      </c>
      <c r="F38" s="79">
        <f>+B38*D38</f>
        <v>0</v>
      </c>
      <c r="G38" s="76"/>
      <c r="H38" s="76"/>
      <c r="I38" s="76"/>
    </row>
    <row r="39" spans="1:9" x14ac:dyDescent="0.25">
      <c r="A39" s="76"/>
      <c r="B39" s="77"/>
      <c r="C39" s="78"/>
      <c r="D39" s="76"/>
      <c r="E39" s="79"/>
      <c r="F39" s="79"/>
      <c r="G39" s="76"/>
      <c r="H39" s="76"/>
      <c r="I39" s="76"/>
    </row>
    <row r="40" spans="1:9" x14ac:dyDescent="0.25">
      <c r="A40" s="135" t="s">
        <v>226</v>
      </c>
      <c r="B40" s="136">
        <v>8237</v>
      </c>
      <c r="C40" s="137">
        <f>3.738+0.23</f>
        <v>3.968</v>
      </c>
      <c r="D40" s="138">
        <v>0</v>
      </c>
      <c r="E40" s="139">
        <f t="shared" ref="E40:E48" si="2">+B40*C40</f>
        <v>32684.416000000001</v>
      </c>
      <c r="F40" s="139">
        <f t="shared" ref="F40:F48" si="3">+B40*D40</f>
        <v>0</v>
      </c>
      <c r="G40" s="138"/>
      <c r="H40" s="140"/>
      <c r="I40" s="141"/>
    </row>
    <row r="41" spans="1:9" x14ac:dyDescent="0.25">
      <c r="A41" s="142" t="s">
        <v>241</v>
      </c>
      <c r="B41" s="143">
        <v>0</v>
      </c>
      <c r="C41" s="144">
        <v>0</v>
      </c>
      <c r="D41" s="145">
        <v>0</v>
      </c>
      <c r="E41" s="146">
        <f t="shared" si="2"/>
        <v>0</v>
      </c>
      <c r="F41" s="146">
        <f t="shared" si="3"/>
        <v>0</v>
      </c>
      <c r="G41" s="145"/>
      <c r="H41" s="147"/>
      <c r="I41" s="148"/>
    </row>
    <row r="42" spans="1:9" x14ac:dyDescent="0.25">
      <c r="A42" s="142" t="s">
        <v>227</v>
      </c>
      <c r="B42" s="143">
        <v>-2524</v>
      </c>
      <c r="C42" s="144">
        <f>3.738+0.295</f>
        <v>4.0330000000000004</v>
      </c>
      <c r="D42" s="145">
        <v>-3.5000000000000001E-3</v>
      </c>
      <c r="E42" s="146">
        <f t="shared" si="2"/>
        <v>-10179.292000000001</v>
      </c>
      <c r="F42" s="146">
        <f t="shared" si="3"/>
        <v>8.8339999999999996</v>
      </c>
      <c r="G42" s="145"/>
      <c r="H42" s="147"/>
      <c r="I42" s="148"/>
    </row>
    <row r="43" spans="1:9" x14ac:dyDescent="0.25">
      <c r="A43" s="142" t="s">
        <v>228</v>
      </c>
      <c r="B43" s="143">
        <f>ROUND(+B42/(1-0.02)-B42,0)</f>
        <v>-52</v>
      </c>
      <c r="C43" s="144">
        <v>0</v>
      </c>
      <c r="D43" s="145">
        <v>0</v>
      </c>
      <c r="E43" s="146">
        <f t="shared" si="2"/>
        <v>0</v>
      </c>
      <c r="F43" s="146">
        <f t="shared" si="3"/>
        <v>0</v>
      </c>
      <c r="G43" s="145"/>
      <c r="H43" s="147"/>
      <c r="I43" s="148"/>
    </row>
    <row r="44" spans="1:9" x14ac:dyDescent="0.25">
      <c r="A44" s="142" t="s">
        <v>6</v>
      </c>
      <c r="B44" s="143">
        <v>0</v>
      </c>
      <c r="C44" s="144">
        <v>0</v>
      </c>
      <c r="D44" s="145">
        <v>0</v>
      </c>
      <c r="E44" s="146">
        <f t="shared" si="2"/>
        <v>0</v>
      </c>
      <c r="F44" s="146">
        <f t="shared" si="3"/>
        <v>0</v>
      </c>
      <c r="G44" s="145"/>
      <c r="H44" s="147"/>
      <c r="I44" s="148"/>
    </row>
    <row r="45" spans="1:9" x14ac:dyDescent="0.25">
      <c r="A45" s="142" t="s">
        <v>229</v>
      </c>
      <c r="B45" s="143">
        <f>-6000+496</f>
        <v>-5504</v>
      </c>
      <c r="C45" s="144">
        <f>3.738+0.425</f>
        <v>4.1630000000000003</v>
      </c>
      <c r="D45" s="145">
        <v>-1.95E-2</v>
      </c>
      <c r="E45" s="146">
        <f t="shared" si="2"/>
        <v>-22913.152000000002</v>
      </c>
      <c r="F45" s="146">
        <f t="shared" si="3"/>
        <v>107.328</v>
      </c>
      <c r="G45" s="145"/>
      <c r="H45" s="147"/>
      <c r="I45" s="148"/>
    </row>
    <row r="46" spans="1:9" x14ac:dyDescent="0.25">
      <c r="A46" s="142" t="s">
        <v>240</v>
      </c>
      <c r="B46" s="143">
        <v>0</v>
      </c>
      <c r="C46" s="144">
        <v>0</v>
      </c>
      <c r="D46" s="145"/>
      <c r="E46" s="146">
        <f t="shared" si="2"/>
        <v>0</v>
      </c>
      <c r="F46" s="146">
        <f t="shared" si="3"/>
        <v>0</v>
      </c>
      <c r="G46" s="145"/>
      <c r="H46" s="147"/>
      <c r="I46" s="148"/>
    </row>
    <row r="47" spans="1:9" x14ac:dyDescent="0.25">
      <c r="A47" s="142" t="s">
        <v>230</v>
      </c>
      <c r="B47" s="143">
        <f>ROUND((+B45+B46)/(1-0.0081)-(+B45+B46),0)</f>
        <v>-45</v>
      </c>
      <c r="C47" s="144"/>
      <c r="D47" s="145">
        <v>0</v>
      </c>
      <c r="E47" s="146">
        <f t="shared" si="2"/>
        <v>0</v>
      </c>
      <c r="F47" s="146">
        <f t="shared" si="3"/>
        <v>0</v>
      </c>
      <c r="G47" s="145"/>
      <c r="H47" s="147"/>
      <c r="I47" s="148"/>
    </row>
    <row r="48" spans="1:9" x14ac:dyDescent="0.25">
      <c r="A48" s="149" t="s">
        <v>233</v>
      </c>
      <c r="B48" s="150">
        <f>ROUND((+B45+B46+B47)/0.98-(B45+B46+B47),0)</f>
        <v>-113</v>
      </c>
      <c r="C48" s="151"/>
      <c r="D48" s="152">
        <v>0</v>
      </c>
      <c r="E48" s="153">
        <f t="shared" si="2"/>
        <v>0</v>
      </c>
      <c r="F48" s="153">
        <f t="shared" si="3"/>
        <v>0</v>
      </c>
      <c r="G48" s="152"/>
      <c r="H48" s="154"/>
      <c r="I48" s="155"/>
    </row>
    <row r="49" spans="1:9" x14ac:dyDescent="0.25">
      <c r="A49" s="76"/>
      <c r="B49" s="77"/>
      <c r="C49" s="78"/>
      <c r="D49" s="76"/>
      <c r="E49" s="79"/>
      <c r="F49" s="79"/>
      <c r="G49" s="76"/>
      <c r="H49" s="80"/>
      <c r="I49" s="76"/>
    </row>
    <row r="50" spans="1:9" x14ac:dyDescent="0.25">
      <c r="A50" s="76"/>
      <c r="B50" s="77"/>
      <c r="C50" s="78"/>
      <c r="D50" s="76"/>
      <c r="E50" s="79"/>
      <c r="F50" s="79"/>
      <c r="G50" s="76"/>
      <c r="H50" s="80"/>
      <c r="I50" s="76"/>
    </row>
    <row r="51" spans="1:9" x14ac:dyDescent="0.25">
      <c r="A51" s="76" t="s">
        <v>229</v>
      </c>
      <c r="B51" s="77">
        <v>-496</v>
      </c>
      <c r="C51" s="78">
        <f>3.738+0.425</f>
        <v>4.1630000000000003</v>
      </c>
      <c r="D51" s="76">
        <v>-1.95E-2</v>
      </c>
      <c r="E51" s="79">
        <f>+B51*C51</f>
        <v>-2064.848</v>
      </c>
      <c r="F51" s="79">
        <f>+B51*D51</f>
        <v>9.6720000000000006</v>
      </c>
      <c r="G51" s="76"/>
      <c r="H51" s="80"/>
      <c r="I51" s="76"/>
    </row>
    <row r="52" spans="1:9" x14ac:dyDescent="0.25">
      <c r="A52" s="76" t="s">
        <v>230</v>
      </c>
      <c r="B52" s="77">
        <f>ROUND(+B51/(1-0.0081)-B51,0)</f>
        <v>-4</v>
      </c>
      <c r="C52" s="78">
        <v>0</v>
      </c>
      <c r="D52" s="76">
        <v>0</v>
      </c>
      <c r="E52" s="79">
        <f>+B52*C52</f>
        <v>0</v>
      </c>
      <c r="F52" s="79">
        <f>+B52*D52</f>
        <v>0</v>
      </c>
      <c r="G52" s="76"/>
      <c r="H52" s="80"/>
      <c r="I52" s="76"/>
    </row>
    <row r="53" spans="1:9" x14ac:dyDescent="0.25">
      <c r="A53" s="76" t="s">
        <v>232</v>
      </c>
      <c r="B53" s="77">
        <v>500</v>
      </c>
      <c r="C53" s="78">
        <f>3.95-0.04</f>
        <v>3.91</v>
      </c>
      <c r="D53" s="76">
        <v>0</v>
      </c>
      <c r="E53" s="79">
        <f>+B53*C53</f>
        <v>1955</v>
      </c>
      <c r="F53" s="79">
        <f>+B53*D53</f>
        <v>0</v>
      </c>
      <c r="G53" s="76"/>
      <c r="H53" s="80"/>
      <c r="I53" s="76"/>
    </row>
    <row r="54" spans="1:9" x14ac:dyDescent="0.25">
      <c r="A54" s="81" t="s">
        <v>41</v>
      </c>
      <c r="B54" s="77">
        <f>SUM(B8:B53)</f>
        <v>-1</v>
      </c>
      <c r="C54" s="78"/>
      <c r="D54" s="76"/>
      <c r="E54" s="79">
        <f>SUM(E8:E53)</f>
        <v>-517.87600000000202</v>
      </c>
      <c r="F54" s="79">
        <f>SUM(F8:F53)</f>
        <v>125.834</v>
      </c>
      <c r="G54" s="76"/>
      <c r="H54" s="76"/>
      <c r="I54" s="76"/>
    </row>
    <row r="55" spans="1:9" x14ac:dyDescent="0.25">
      <c r="B55" s="41"/>
      <c r="E55" s="22"/>
      <c r="F55" s="22"/>
    </row>
    <row r="56" spans="1:9" x14ac:dyDescent="0.25">
      <c r="B56" s="41"/>
      <c r="E56" s="22"/>
      <c r="F56" s="22"/>
    </row>
    <row r="57" spans="1:9" x14ac:dyDescent="0.25">
      <c r="B57" s="41"/>
      <c r="E57" s="22"/>
      <c r="F57" s="22"/>
    </row>
    <row r="58" spans="1:9" x14ac:dyDescent="0.25">
      <c r="B58" s="41"/>
      <c r="E58" s="22"/>
      <c r="F58" s="22"/>
    </row>
    <row r="59" spans="1:9" ht="15.6" x14ac:dyDescent="0.3">
      <c r="A59" s="50" t="s">
        <v>69</v>
      </c>
      <c r="B59" s="51"/>
      <c r="C59" s="52"/>
      <c r="D59" s="53"/>
      <c r="E59" s="54"/>
      <c r="F59" s="54"/>
      <c r="G59" s="53"/>
      <c r="H59" s="53"/>
      <c r="I59" s="53"/>
    </row>
    <row r="60" spans="1:9" x14ac:dyDescent="0.25">
      <c r="A60" s="53" t="s">
        <v>201</v>
      </c>
      <c r="B60" s="51"/>
      <c r="C60" s="52"/>
      <c r="D60" s="53"/>
      <c r="E60" s="54"/>
      <c r="F60" s="54"/>
      <c r="G60" s="53"/>
      <c r="H60" s="53"/>
      <c r="I60" s="53"/>
    </row>
    <row r="61" spans="1:9" x14ac:dyDescent="0.25">
      <c r="A61" s="53" t="s">
        <v>128</v>
      </c>
      <c r="B61" s="51">
        <v>6081</v>
      </c>
      <c r="C61" s="52">
        <v>3.95</v>
      </c>
      <c r="D61" s="53">
        <v>-1.2500000000000001E-2</v>
      </c>
      <c r="E61" s="54">
        <f>+B61*C61</f>
        <v>24019.95</v>
      </c>
      <c r="F61" s="54">
        <f>+B61*D61</f>
        <v>-76.012500000000003</v>
      </c>
      <c r="G61" s="53"/>
      <c r="H61" s="53"/>
      <c r="I61" s="53"/>
    </row>
    <row r="62" spans="1:9" x14ac:dyDescent="0.25">
      <c r="A62" s="53" t="s">
        <v>33</v>
      </c>
      <c r="B62" s="51">
        <v>12059</v>
      </c>
      <c r="C62" s="52">
        <v>3.94</v>
      </c>
      <c r="D62" s="53">
        <v>-1.2500000000000001E-2</v>
      </c>
      <c r="E62" s="54">
        <f>+B62*C62</f>
        <v>47512.46</v>
      </c>
      <c r="F62" s="54">
        <f>+B62*D62</f>
        <v>-150.73750000000001</v>
      </c>
      <c r="G62" s="53"/>
      <c r="H62" s="53"/>
      <c r="I62" s="53"/>
    </row>
    <row r="63" spans="1:9" x14ac:dyDescent="0.25">
      <c r="A63" s="53" t="s">
        <v>33</v>
      </c>
      <c r="B63" s="51">
        <v>0</v>
      </c>
      <c r="C63" s="52">
        <v>0</v>
      </c>
      <c r="D63" s="53">
        <v>-1.2500000000000001E-2</v>
      </c>
      <c r="E63" s="54">
        <f>+B63*C63</f>
        <v>0</v>
      </c>
      <c r="F63" s="54">
        <f>+B63*D63</f>
        <v>0</v>
      </c>
      <c r="G63" s="53"/>
      <c r="H63" s="53"/>
      <c r="I63" s="53"/>
    </row>
    <row r="64" spans="1:9" x14ac:dyDescent="0.25">
      <c r="A64" s="53"/>
      <c r="B64" s="51"/>
      <c r="C64" s="52"/>
      <c r="D64" s="53"/>
      <c r="E64" s="54"/>
      <c r="F64" s="54"/>
      <c r="G64" s="53"/>
      <c r="H64" s="53"/>
      <c r="I64" s="53"/>
    </row>
    <row r="65" spans="1:9" x14ac:dyDescent="0.25">
      <c r="A65" s="53" t="s">
        <v>198</v>
      </c>
      <c r="B65" s="51"/>
      <c r="C65" s="52"/>
      <c r="D65" s="53"/>
      <c r="E65" s="54"/>
      <c r="F65" s="54"/>
      <c r="G65" s="53"/>
      <c r="H65" s="53"/>
      <c r="I65" s="53"/>
    </row>
    <row r="66" spans="1:9" x14ac:dyDescent="0.25">
      <c r="A66" s="53" t="s">
        <v>71</v>
      </c>
      <c r="B66" s="51">
        <v>0</v>
      </c>
      <c r="C66" s="52">
        <v>0</v>
      </c>
      <c r="D66" s="53">
        <v>-1.2500000000000001E-2</v>
      </c>
      <c r="E66" s="54">
        <f>+B66*C66</f>
        <v>0</v>
      </c>
      <c r="F66" s="54">
        <f>+B66*D66</f>
        <v>0</v>
      </c>
      <c r="G66" s="53"/>
      <c r="H66" s="53"/>
      <c r="I66" s="53"/>
    </row>
    <row r="67" spans="1:9" x14ac:dyDescent="0.25">
      <c r="A67" s="53" t="s">
        <v>40</v>
      </c>
      <c r="B67" s="51">
        <f>ROUND(+B66/(1-0.0045)-B66,0)</f>
        <v>0</v>
      </c>
      <c r="C67" s="52"/>
      <c r="D67" s="53"/>
      <c r="E67" s="54"/>
      <c r="F67" s="54"/>
      <c r="G67" s="53"/>
      <c r="H67" s="53"/>
      <c r="I67" s="53"/>
    </row>
    <row r="68" spans="1:9" x14ac:dyDescent="0.25">
      <c r="A68" s="53" t="s">
        <v>71</v>
      </c>
      <c r="B68" s="51">
        <v>0</v>
      </c>
      <c r="C68" s="52">
        <v>0</v>
      </c>
      <c r="D68" s="53">
        <v>-1.2500000000000001E-2</v>
      </c>
      <c r="E68" s="54">
        <f>+B68*C68</f>
        <v>0</v>
      </c>
      <c r="F68" s="54">
        <f>+B68*D68</f>
        <v>0</v>
      </c>
      <c r="G68" s="53"/>
      <c r="H68" s="53"/>
      <c r="I68" s="53"/>
    </row>
    <row r="69" spans="1:9" x14ac:dyDescent="0.25">
      <c r="A69" s="53" t="s">
        <v>40</v>
      </c>
      <c r="B69" s="51">
        <f>ROUND(+B68/(1-0.0045)-B68,0)</f>
        <v>0</v>
      </c>
      <c r="C69" s="52"/>
      <c r="D69" s="53"/>
      <c r="E69" s="54"/>
      <c r="F69" s="54"/>
      <c r="G69" s="53"/>
      <c r="H69" s="53"/>
      <c r="I69" s="53"/>
    </row>
    <row r="70" spans="1:9" x14ac:dyDescent="0.25">
      <c r="A70" s="53" t="s">
        <v>71</v>
      </c>
      <c r="B70" s="51">
        <v>0</v>
      </c>
      <c r="C70" s="52">
        <v>0</v>
      </c>
      <c r="D70" s="53">
        <v>-1.2500000000000001E-2</v>
      </c>
      <c r="E70" s="54">
        <f>+B70*C70</f>
        <v>0</v>
      </c>
      <c r="F70" s="54">
        <f>+B70*D70</f>
        <v>0</v>
      </c>
      <c r="G70" s="53"/>
      <c r="H70" s="53"/>
      <c r="I70" s="53"/>
    </row>
    <row r="71" spans="1:9" x14ac:dyDescent="0.25">
      <c r="A71" s="53" t="s">
        <v>40</v>
      </c>
      <c r="B71" s="51">
        <f>ROUND(+B70/(1-0.0045)-B70,0)</f>
        <v>0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5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5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5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5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5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5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5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5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5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5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5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5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8" thickBot="1" x14ac:dyDescent="0.3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5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5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5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5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5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5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5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5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5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5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8" thickBot="1" x14ac:dyDescent="0.3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5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8" thickBot="1" x14ac:dyDescent="0.3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5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5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5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5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5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5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5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5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5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5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5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5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5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5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8" thickBot="1" x14ac:dyDescent="0.3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5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8" thickBot="1" x14ac:dyDescent="0.3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5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5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5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5">
      <c r="A118" s="61" t="s">
        <v>79</v>
      </c>
      <c r="B118" s="62">
        <v>0</v>
      </c>
      <c r="C118" s="63"/>
      <c r="D118" s="40">
        <v>0</v>
      </c>
      <c r="E118" s="64">
        <f t="shared" si="7"/>
        <v>0</v>
      </c>
      <c r="F118" s="64">
        <f t="shared" si="8"/>
        <v>0</v>
      </c>
      <c r="G118" s="40"/>
      <c r="H118" s="40"/>
      <c r="I118" s="65"/>
    </row>
    <row r="119" spans="1:9" x14ac:dyDescent="0.25">
      <c r="A119" s="61" t="s">
        <v>110</v>
      </c>
      <c r="B119" s="62">
        <v>0</v>
      </c>
      <c r="C119" s="63"/>
      <c r="D119" s="40">
        <v>0</v>
      </c>
      <c r="E119" s="64">
        <f t="shared" si="7"/>
        <v>0</v>
      </c>
      <c r="F119" s="64">
        <f t="shared" si="8"/>
        <v>0</v>
      </c>
      <c r="G119" s="40"/>
      <c r="H119" s="40"/>
      <c r="I119" s="65"/>
    </row>
    <row r="120" spans="1:9" x14ac:dyDescent="0.25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5">
      <c r="A121" s="66" t="s">
        <v>107</v>
      </c>
      <c r="B121" s="67">
        <f>SUM(B115:B120)</f>
        <v>5000</v>
      </c>
      <c r="C121" s="63"/>
      <c r="D121" s="40"/>
      <c r="E121" s="64"/>
      <c r="F121" s="64"/>
      <c r="G121" s="40"/>
      <c r="H121" s="40"/>
      <c r="I121" s="65"/>
    </row>
    <row r="122" spans="1:9" x14ac:dyDescent="0.25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5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5">
      <c r="A124" s="61" t="s">
        <v>81</v>
      </c>
      <c r="B124" s="62">
        <v>0</v>
      </c>
      <c r="C124" s="62">
        <f>ROUND(+B124/(1-0.0823)-B124,0)</f>
        <v>0</v>
      </c>
      <c r="D124" s="40">
        <v>-0.1047</v>
      </c>
      <c r="E124" s="64"/>
      <c r="F124" s="64">
        <f t="shared" si="9"/>
        <v>0</v>
      </c>
      <c r="G124" s="40"/>
      <c r="H124" s="40">
        <v>735047</v>
      </c>
      <c r="I124" s="65"/>
    </row>
    <row r="125" spans="1:9" x14ac:dyDescent="0.25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5">
      <c r="A126" s="61" t="s">
        <v>83</v>
      </c>
      <c r="B126" s="62">
        <v>5000</v>
      </c>
      <c r="C126" s="62">
        <f>ROUND(+B126/(1-0.0796)-B126,0)</f>
        <v>432</v>
      </c>
      <c r="D126" s="40">
        <v>-0.1016</v>
      </c>
      <c r="E126" s="64"/>
      <c r="F126" s="64">
        <f t="shared" si="9"/>
        <v>-508</v>
      </c>
      <c r="G126" s="40"/>
      <c r="H126" s="133">
        <v>821199</v>
      </c>
      <c r="I126" s="65"/>
    </row>
    <row r="127" spans="1:9" x14ac:dyDescent="0.25">
      <c r="A127" s="61" t="s">
        <v>106</v>
      </c>
      <c r="B127" s="62">
        <v>0</v>
      </c>
      <c r="C127" s="62">
        <f>ROUND(+B127/(1-0.0505)-B127,0)</f>
        <v>0</v>
      </c>
      <c r="D127" s="40">
        <v>-8.14E-2</v>
      </c>
      <c r="E127" s="64"/>
      <c r="F127" s="64">
        <f t="shared" si="9"/>
        <v>0</v>
      </c>
      <c r="G127" s="40"/>
      <c r="H127" s="133">
        <v>640187</v>
      </c>
      <c r="I127" s="65"/>
    </row>
    <row r="128" spans="1:9" x14ac:dyDescent="0.25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9"/>
        <v>0</v>
      </c>
      <c r="G128" s="40"/>
      <c r="H128" s="40">
        <v>749874</v>
      </c>
      <c r="I128" s="65"/>
    </row>
    <row r="129" spans="1:9" x14ac:dyDescent="0.25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9"/>
        <v>0</v>
      </c>
      <c r="G129" s="40"/>
      <c r="H129" s="40">
        <v>749875</v>
      </c>
      <c r="I129" s="65"/>
    </row>
    <row r="130" spans="1:9" x14ac:dyDescent="0.25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9"/>
        <v>0</v>
      </c>
      <c r="G130" s="40"/>
      <c r="H130" s="40">
        <v>749877</v>
      </c>
      <c r="I130" s="65"/>
    </row>
    <row r="131" spans="1:9" x14ac:dyDescent="0.25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9"/>
        <v>0</v>
      </c>
      <c r="G131" s="40"/>
      <c r="H131" s="40">
        <v>749878</v>
      </c>
      <c r="I131" s="65"/>
    </row>
    <row r="132" spans="1:9" x14ac:dyDescent="0.25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9"/>
        <v>0</v>
      </c>
      <c r="G132" s="40"/>
      <c r="H132" s="40">
        <v>749879</v>
      </c>
      <c r="I132" s="65"/>
    </row>
    <row r="133" spans="1:9" x14ac:dyDescent="0.25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5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5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5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5">
      <c r="A137" s="61"/>
      <c r="B137" s="62">
        <f>SUM(B123:B136)</f>
        <v>5000</v>
      </c>
      <c r="C137" s="62">
        <f>SUM(C123:C136)</f>
        <v>432</v>
      </c>
      <c r="D137" s="40"/>
      <c r="E137" s="64"/>
      <c r="F137" s="64"/>
      <c r="G137" s="40"/>
      <c r="H137" s="40"/>
      <c r="I137" s="65"/>
    </row>
    <row r="138" spans="1:9" ht="13.8" thickBot="1" x14ac:dyDescent="0.3">
      <c r="A138" s="68" t="s">
        <v>90</v>
      </c>
      <c r="B138" s="74">
        <f>+B137+C137</f>
        <v>5432</v>
      </c>
      <c r="C138" s="70"/>
      <c r="D138" s="71"/>
      <c r="E138" s="72"/>
      <c r="F138" s="72"/>
      <c r="G138" s="71"/>
      <c r="H138" s="71"/>
      <c r="I138" s="73"/>
    </row>
    <row r="139" spans="1:9" x14ac:dyDescent="0.25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5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5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5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5">
      <c r="A143" s="75" t="s">
        <v>42</v>
      </c>
      <c r="B143" s="51">
        <f>SUM(B138,B112,B94,B59:B84)</f>
        <v>23572</v>
      </c>
      <c r="C143" s="52"/>
      <c r="D143" s="53"/>
      <c r="E143" s="54">
        <f>SUM(E59:E142)</f>
        <v>93382.41</v>
      </c>
      <c r="F143" s="54">
        <f>SUM(F59:F142)</f>
        <v>-734.75</v>
      </c>
      <c r="G143" s="53"/>
      <c r="H143" s="53"/>
      <c r="I143" s="53"/>
    </row>
    <row r="144" spans="1:9" x14ac:dyDescent="0.25">
      <c r="B144" s="41"/>
      <c r="E144" s="22"/>
      <c r="F144" s="22"/>
    </row>
    <row r="145" spans="1:7" x14ac:dyDescent="0.25">
      <c r="A145" t="s">
        <v>43</v>
      </c>
      <c r="B145" s="41">
        <f>+B54-B143</f>
        <v>-23573</v>
      </c>
      <c r="E145" s="22">
        <f>+E143-E54</f>
        <v>93900.286000000007</v>
      </c>
      <c r="F145" s="22">
        <f>+F143-F54</f>
        <v>-860.58400000000006</v>
      </c>
      <c r="G145" s="23">
        <f>+F145+E145</f>
        <v>93039.702000000005</v>
      </c>
    </row>
    <row r="146" spans="1:7" x14ac:dyDescent="0.25">
      <c r="B146" s="41"/>
    </row>
    <row r="147" spans="1:7" x14ac:dyDescent="0.25">
      <c r="B147" s="41"/>
      <c r="F147" s="2" t="s">
        <v>48</v>
      </c>
      <c r="G147" s="24">
        <f>+C157</f>
        <v>2855.3333333333335</v>
      </c>
    </row>
    <row r="148" spans="1:7" ht="13.8" thickBot="1" x14ac:dyDescent="0.3">
      <c r="B148" s="41"/>
      <c r="F148" t="s">
        <v>58</v>
      </c>
      <c r="G148" s="25">
        <f>+G145-G147</f>
        <v>90184.368666666676</v>
      </c>
    </row>
    <row r="149" spans="1:7" ht="13.8" thickTop="1" x14ac:dyDescent="0.25">
      <c r="B149" s="41"/>
    </row>
    <row r="150" spans="1:7" x14ac:dyDescent="0.25">
      <c r="B150" s="41"/>
    </row>
    <row r="151" spans="1:7" x14ac:dyDescent="0.25">
      <c r="B151" s="41"/>
    </row>
    <row r="152" spans="1:7" x14ac:dyDescent="0.25">
      <c r="A152" t="s">
        <v>49</v>
      </c>
      <c r="B152" s="30" t="s">
        <v>50</v>
      </c>
      <c r="C152" s="33">
        <v>28199</v>
      </c>
    </row>
    <row r="153" spans="1:7" x14ac:dyDescent="0.25">
      <c r="B153" s="30" t="s">
        <v>34</v>
      </c>
      <c r="C153" s="33">
        <v>2550</v>
      </c>
    </row>
    <row r="154" spans="1:7" x14ac:dyDescent="0.25">
      <c r="B154" s="30" t="s">
        <v>51</v>
      </c>
      <c r="C154" s="33">
        <v>54171</v>
      </c>
    </row>
    <row r="155" spans="1:7" x14ac:dyDescent="0.25">
      <c r="B155" s="30" t="s">
        <v>94</v>
      </c>
      <c r="C155" s="33">
        <v>740</v>
      </c>
    </row>
    <row r="156" spans="1:7" x14ac:dyDescent="0.25">
      <c r="C156" s="33">
        <f>SUM(C152:C155)</f>
        <v>85660</v>
      </c>
    </row>
    <row r="157" spans="1:7" x14ac:dyDescent="0.25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31" workbookViewId="0">
      <selection activeCell="A31" sqref="A1:IV65536"/>
    </sheetView>
  </sheetViews>
  <sheetFormatPr defaultRowHeight="13.2" x14ac:dyDescent="0.25"/>
  <cols>
    <col min="1" max="1" width="21.6640625" customWidth="1"/>
    <col min="2" max="2" width="10.33203125" style="30" customWidth="1"/>
    <col min="3" max="3" width="13.33203125" style="33" customWidth="1"/>
    <col min="5" max="5" width="14.109375" customWidth="1"/>
    <col min="6" max="6" width="13.88671875" customWidth="1"/>
    <col min="7" max="7" width="14.109375" customWidth="1"/>
    <col min="8" max="8" width="11.33203125" customWidth="1"/>
  </cols>
  <sheetData>
    <row r="1" spans="1:9" x14ac:dyDescent="0.25">
      <c r="A1" s="2" t="s">
        <v>234</v>
      </c>
    </row>
    <row r="3" spans="1:9" x14ac:dyDescent="0.25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5">
      <c r="A4">
        <v>2.2000000000000001E-3</v>
      </c>
      <c r="C4" s="33" t="s">
        <v>45</v>
      </c>
      <c r="D4">
        <v>1.03E-2</v>
      </c>
    </row>
    <row r="5" spans="1:9" x14ac:dyDescent="0.25">
      <c r="C5" s="33" t="s">
        <v>47</v>
      </c>
      <c r="D5">
        <v>6.2199999999999998E-2</v>
      </c>
    </row>
    <row r="6" spans="1:9" x14ac:dyDescent="0.25">
      <c r="E6" t="s">
        <v>36</v>
      </c>
    </row>
    <row r="7" spans="1:9" x14ac:dyDescent="0.25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5">
      <c r="A8" s="76" t="s">
        <v>32</v>
      </c>
      <c r="B8" s="77">
        <v>10000</v>
      </c>
      <c r="C8" s="78">
        <v>3.835</v>
      </c>
      <c r="D8" s="76">
        <v>0</v>
      </c>
      <c r="E8" s="79">
        <f t="shared" ref="E8:E18" si="0">+B8*C8</f>
        <v>38350</v>
      </c>
      <c r="F8" s="79">
        <f t="shared" ref="F8:F18" si="1">+B8*D8</f>
        <v>0</v>
      </c>
      <c r="G8" s="76"/>
      <c r="H8" s="76"/>
      <c r="I8" s="76"/>
    </row>
    <row r="9" spans="1:9" x14ac:dyDescent="0.25">
      <c r="A9" s="76" t="s">
        <v>32</v>
      </c>
      <c r="B9" s="77">
        <v>10000</v>
      </c>
      <c r="C9" s="78">
        <v>3.8149999999999999</v>
      </c>
      <c r="D9" s="76">
        <v>0</v>
      </c>
      <c r="E9" s="79">
        <f t="shared" si="0"/>
        <v>38150</v>
      </c>
      <c r="F9" s="79">
        <f t="shared" si="1"/>
        <v>0</v>
      </c>
      <c r="G9" s="76"/>
      <c r="H9" s="76"/>
      <c r="I9" s="76"/>
    </row>
    <row r="10" spans="1:9" x14ac:dyDescent="0.25">
      <c r="A10" s="76" t="s">
        <v>95</v>
      </c>
      <c r="B10" s="77">
        <v>7000</v>
      </c>
      <c r="C10" s="78">
        <v>3.85</v>
      </c>
      <c r="D10" s="76">
        <v>0</v>
      </c>
      <c r="E10" s="79">
        <f t="shared" si="0"/>
        <v>26950</v>
      </c>
      <c r="F10" s="79">
        <f t="shared" si="1"/>
        <v>0</v>
      </c>
      <c r="G10" s="76"/>
      <c r="H10" s="76"/>
      <c r="I10" s="76"/>
    </row>
    <row r="11" spans="1:9" x14ac:dyDescent="0.25">
      <c r="A11" s="76" t="s">
        <v>127</v>
      </c>
      <c r="B11" s="77">
        <v>3000</v>
      </c>
      <c r="C11" s="78">
        <v>3.83</v>
      </c>
      <c r="D11" s="76">
        <v>0</v>
      </c>
      <c r="E11" s="79">
        <f t="shared" si="0"/>
        <v>11490</v>
      </c>
      <c r="F11" s="79">
        <f t="shared" si="1"/>
        <v>0</v>
      </c>
      <c r="G11" s="76"/>
      <c r="H11" s="76"/>
      <c r="I11" s="76"/>
    </row>
    <row r="12" spans="1:9" s="29" customFormat="1" x14ac:dyDescent="0.25">
      <c r="A12" s="76" t="s">
        <v>92</v>
      </c>
      <c r="B12" s="77">
        <v>0</v>
      </c>
      <c r="C12" s="78">
        <v>0</v>
      </c>
      <c r="D12" s="76">
        <v>0</v>
      </c>
      <c r="E12" s="79">
        <f t="shared" si="0"/>
        <v>0</v>
      </c>
      <c r="F12" s="79">
        <f t="shared" si="1"/>
        <v>0</v>
      </c>
      <c r="G12" s="76"/>
      <c r="H12" s="76"/>
      <c r="I12" s="76"/>
    </row>
    <row r="13" spans="1:9" s="29" customFormat="1" x14ac:dyDescent="0.25">
      <c r="A13" s="76" t="s">
        <v>92</v>
      </c>
      <c r="B13" s="77">
        <v>0</v>
      </c>
      <c r="C13" s="78">
        <v>0</v>
      </c>
      <c r="D13" s="76">
        <v>0</v>
      </c>
      <c r="E13" s="79">
        <f t="shared" si="0"/>
        <v>0</v>
      </c>
      <c r="F13" s="79">
        <f t="shared" si="1"/>
        <v>0</v>
      </c>
      <c r="G13" s="76"/>
      <c r="H13" s="76"/>
      <c r="I13" s="76"/>
    </row>
    <row r="14" spans="1:9" x14ac:dyDescent="0.25">
      <c r="A14" s="76" t="s">
        <v>92</v>
      </c>
      <c r="B14" s="77">
        <v>0</v>
      </c>
      <c r="C14" s="78">
        <v>0</v>
      </c>
      <c r="D14" s="76">
        <v>0</v>
      </c>
      <c r="E14" s="79">
        <f t="shared" si="0"/>
        <v>0</v>
      </c>
      <c r="F14" s="79">
        <f t="shared" si="1"/>
        <v>0</v>
      </c>
      <c r="G14" s="76"/>
      <c r="H14" s="76"/>
      <c r="I14" s="76"/>
    </row>
    <row r="15" spans="1:9" x14ac:dyDescent="0.25">
      <c r="A15" s="76" t="s">
        <v>92</v>
      </c>
      <c r="B15" s="77">
        <v>0</v>
      </c>
      <c r="C15" s="78">
        <v>0</v>
      </c>
      <c r="D15" s="76">
        <v>0</v>
      </c>
      <c r="E15" s="79">
        <f>+B15*C15</f>
        <v>0</v>
      </c>
      <c r="F15" s="79">
        <f>+B15*D15</f>
        <v>0</v>
      </c>
      <c r="G15" s="76"/>
      <c r="H15" s="76"/>
      <c r="I15" s="76"/>
    </row>
    <row r="16" spans="1:9" x14ac:dyDescent="0.25">
      <c r="A16" s="76" t="s">
        <v>127</v>
      </c>
      <c r="B16" s="77">
        <v>0</v>
      </c>
      <c r="C16" s="78">
        <v>0</v>
      </c>
      <c r="D16" s="76">
        <v>0</v>
      </c>
      <c r="E16" s="79">
        <f t="shared" si="0"/>
        <v>0</v>
      </c>
      <c r="F16" s="79">
        <f t="shared" si="1"/>
        <v>0</v>
      </c>
      <c r="G16" s="76"/>
      <c r="H16" s="76"/>
      <c r="I16" s="76"/>
    </row>
    <row r="17" spans="1:9" x14ac:dyDescent="0.25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5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5">
      <c r="A19" s="76"/>
      <c r="B19" s="77"/>
      <c r="C19" s="78"/>
      <c r="D19" s="76"/>
      <c r="E19" s="79"/>
      <c r="F19" s="79"/>
      <c r="G19" s="76"/>
      <c r="H19" s="76"/>
      <c r="I19" s="76"/>
    </row>
    <row r="20" spans="1:9" x14ac:dyDescent="0.25">
      <c r="A20" s="76" t="s">
        <v>239</v>
      </c>
      <c r="B20" s="77">
        <v>434</v>
      </c>
      <c r="C20" s="78">
        <v>3.7850000000000001</v>
      </c>
      <c r="D20" s="76">
        <v>0</v>
      </c>
      <c r="E20" s="79">
        <f>+B20*C20</f>
        <v>1642.69</v>
      </c>
      <c r="F20" s="79">
        <f>+B20*D20</f>
        <v>0</v>
      </c>
      <c r="G20" s="76"/>
      <c r="H20" s="76"/>
      <c r="I20" s="76"/>
    </row>
    <row r="21" spans="1:9" x14ac:dyDescent="0.25">
      <c r="A21" s="76" t="s">
        <v>97</v>
      </c>
      <c r="B21" s="77">
        <v>0</v>
      </c>
      <c r="C21" s="78">
        <v>0</v>
      </c>
      <c r="D21" s="76">
        <v>0</v>
      </c>
      <c r="E21" s="79">
        <f>+B21*C21</f>
        <v>0</v>
      </c>
      <c r="F21" s="79">
        <f>+B21*D21</f>
        <v>0</v>
      </c>
      <c r="G21" s="76"/>
      <c r="H21" s="76"/>
      <c r="I21" s="76"/>
    </row>
    <row r="22" spans="1:9" x14ac:dyDescent="0.25">
      <c r="A22" s="76"/>
      <c r="B22" s="77"/>
      <c r="C22" s="78"/>
      <c r="D22" s="76"/>
      <c r="E22" s="79"/>
      <c r="F22" s="79"/>
      <c r="G22" s="76"/>
      <c r="H22" s="76"/>
      <c r="I22" s="76"/>
    </row>
    <row r="23" spans="1:9" x14ac:dyDescent="0.25">
      <c r="A23" s="76" t="s">
        <v>119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5">
      <c r="A24" s="76" t="s">
        <v>120</v>
      </c>
      <c r="B24" s="77">
        <v>0</v>
      </c>
      <c r="C24" s="78">
        <v>0</v>
      </c>
      <c r="D24" s="76">
        <v>0</v>
      </c>
      <c r="E24" s="79">
        <f>+B24*C24</f>
        <v>0</v>
      </c>
      <c r="F24" s="79">
        <f>+B24*D24</f>
        <v>0</v>
      </c>
      <c r="G24" s="76"/>
      <c r="H24" s="76"/>
      <c r="I24" s="76"/>
    </row>
    <row r="25" spans="1:9" s="29" customFormat="1" x14ac:dyDescent="0.25">
      <c r="A25" s="76" t="s">
        <v>93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5">
      <c r="A26" s="76" t="s">
        <v>93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x14ac:dyDescent="0.25">
      <c r="A27" s="76" t="s">
        <v>68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5">
      <c r="A28" s="76"/>
      <c r="B28" s="77"/>
      <c r="C28" s="78"/>
      <c r="D28" s="76"/>
      <c r="E28" s="79"/>
      <c r="F28" s="79"/>
      <c r="G28" s="76"/>
      <c r="H28" s="76"/>
      <c r="I28" s="76"/>
    </row>
    <row r="29" spans="1:9" x14ac:dyDescent="0.25">
      <c r="A29" s="76" t="s">
        <v>67</v>
      </c>
      <c r="B29" s="77">
        <v>5000</v>
      </c>
      <c r="C29" s="78">
        <v>3.79</v>
      </c>
      <c r="D29" s="76">
        <v>0</v>
      </c>
      <c r="E29" s="79">
        <f>+B29*C29</f>
        <v>18950</v>
      </c>
      <c r="F29" s="79">
        <f>+B29*D29</f>
        <v>0</v>
      </c>
      <c r="G29" s="76"/>
      <c r="H29" s="76"/>
      <c r="I29" s="76"/>
    </row>
    <row r="30" spans="1:9" s="29" customFormat="1" x14ac:dyDescent="0.25">
      <c r="A30" s="76" t="s">
        <v>112</v>
      </c>
      <c r="B30" s="77">
        <v>0</v>
      </c>
      <c r="C30" s="78">
        <v>0</v>
      </c>
      <c r="D30" s="76">
        <v>0</v>
      </c>
      <c r="E30" s="79">
        <f>+B30*C30</f>
        <v>0</v>
      </c>
      <c r="F30" s="79">
        <f>+B30*D30</f>
        <v>0</v>
      </c>
      <c r="G30" s="76"/>
      <c r="H30" s="76"/>
      <c r="I30" s="76"/>
    </row>
    <row r="31" spans="1:9" s="29" customFormat="1" x14ac:dyDescent="0.25">
      <c r="A31" s="76" t="s">
        <v>67</v>
      </c>
      <c r="B31" s="77">
        <v>0</v>
      </c>
      <c r="C31" s="78">
        <v>0</v>
      </c>
      <c r="D31" s="76">
        <v>0</v>
      </c>
      <c r="E31" s="79">
        <f>+B31*C31</f>
        <v>0</v>
      </c>
      <c r="F31" s="79">
        <f>+B31*D31</f>
        <v>0</v>
      </c>
      <c r="G31" s="76"/>
      <c r="H31" s="76"/>
      <c r="I31" s="76"/>
    </row>
    <row r="32" spans="1:9" x14ac:dyDescent="0.25">
      <c r="A32" s="76" t="s">
        <v>112</v>
      </c>
      <c r="B32" s="77">
        <v>0</v>
      </c>
      <c r="C32" s="78">
        <v>0</v>
      </c>
      <c r="D32" s="76">
        <v>0</v>
      </c>
      <c r="E32" s="79">
        <f>+B32*C32</f>
        <v>0</v>
      </c>
      <c r="F32" s="79">
        <f>+B32*D32</f>
        <v>0</v>
      </c>
      <c r="G32" s="76"/>
      <c r="H32" s="76"/>
      <c r="I32" s="76"/>
    </row>
    <row r="33" spans="1:9" x14ac:dyDescent="0.25">
      <c r="A33" s="76"/>
      <c r="B33" s="77"/>
      <c r="C33" s="78"/>
      <c r="D33" s="76"/>
      <c r="E33" s="79"/>
      <c r="F33" s="79"/>
      <c r="G33" s="76"/>
      <c r="H33" s="76"/>
      <c r="I33" s="76"/>
    </row>
    <row r="34" spans="1:9" x14ac:dyDescent="0.25">
      <c r="A34" s="76" t="s">
        <v>104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5">
      <c r="A35" s="76" t="s">
        <v>105</v>
      </c>
      <c r="B35" s="77">
        <v>0</v>
      </c>
      <c r="C35" s="78">
        <v>0</v>
      </c>
      <c r="D35" s="76">
        <v>0</v>
      </c>
      <c r="E35" s="79">
        <f>+B35*C35</f>
        <v>0</v>
      </c>
      <c r="F35" s="79">
        <f>+B35*D35</f>
        <v>0</v>
      </c>
      <c r="G35" s="76"/>
      <c r="H35" s="76"/>
      <c r="I35" s="76"/>
    </row>
    <row r="36" spans="1:9" x14ac:dyDescent="0.25">
      <c r="A36" s="76"/>
      <c r="B36" s="77"/>
      <c r="C36" s="78"/>
      <c r="D36" s="76"/>
      <c r="E36" s="79"/>
      <c r="F36" s="79"/>
      <c r="G36" s="76"/>
      <c r="H36" s="76"/>
      <c r="I36" s="76"/>
    </row>
    <row r="37" spans="1:9" x14ac:dyDescent="0.25">
      <c r="A37" s="76" t="s">
        <v>101</v>
      </c>
      <c r="B37" s="77">
        <v>0</v>
      </c>
      <c r="C37" s="78">
        <v>0</v>
      </c>
      <c r="D37" s="76">
        <v>1.2500000000000001E-2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5">
      <c r="A38" s="76" t="s">
        <v>101</v>
      </c>
      <c r="B38" s="77">
        <v>0</v>
      </c>
      <c r="C38" s="78">
        <v>0</v>
      </c>
      <c r="D38" s="76">
        <v>0</v>
      </c>
      <c r="E38" s="79">
        <f>+B38*C38</f>
        <v>0</v>
      </c>
      <c r="F38" s="79">
        <f>+B38*D38</f>
        <v>0</v>
      </c>
      <c r="G38" s="76"/>
      <c r="H38" s="76"/>
      <c r="I38" s="76"/>
    </row>
    <row r="39" spans="1:9" x14ac:dyDescent="0.25">
      <c r="A39" s="76"/>
      <c r="B39" s="77"/>
      <c r="C39" s="78"/>
      <c r="D39" s="76"/>
      <c r="E39" s="79"/>
      <c r="F39" s="79"/>
      <c r="G39" s="76"/>
      <c r="H39" s="76"/>
      <c r="I39" s="76"/>
    </row>
    <row r="40" spans="1:9" x14ac:dyDescent="0.25">
      <c r="A40" s="135" t="s">
        <v>226</v>
      </c>
      <c r="B40" s="136">
        <v>8237</v>
      </c>
      <c r="C40" s="137">
        <f>3.738+0.23</f>
        <v>3.968</v>
      </c>
      <c r="D40" s="138">
        <v>0</v>
      </c>
      <c r="E40" s="139">
        <f t="shared" ref="E40:E48" si="2">+B40*C40</f>
        <v>32684.416000000001</v>
      </c>
      <c r="F40" s="139">
        <f t="shared" ref="F40:F48" si="3">+B40*D40</f>
        <v>0</v>
      </c>
      <c r="G40" s="138"/>
      <c r="H40" s="140"/>
      <c r="I40" s="141"/>
    </row>
    <row r="41" spans="1:9" x14ac:dyDescent="0.25">
      <c r="A41" s="142" t="s">
        <v>241</v>
      </c>
      <c r="B41" s="143">
        <v>-5144</v>
      </c>
      <c r="C41" s="144">
        <v>4.08</v>
      </c>
      <c r="D41" s="145">
        <v>0</v>
      </c>
      <c r="E41" s="146">
        <f t="shared" si="2"/>
        <v>-20987.52</v>
      </c>
      <c r="F41" s="146">
        <f t="shared" si="3"/>
        <v>0</v>
      </c>
      <c r="G41" s="145"/>
      <c r="H41" s="147"/>
      <c r="I41" s="148"/>
    </row>
    <row r="42" spans="1:9" x14ac:dyDescent="0.25">
      <c r="A42" s="142" t="s">
        <v>227</v>
      </c>
      <c r="B42" s="143">
        <v>-2524</v>
      </c>
      <c r="C42" s="144">
        <f>3.738+0.295</f>
        <v>4.0330000000000004</v>
      </c>
      <c r="D42" s="145">
        <v>-3.5000000000000001E-3</v>
      </c>
      <c r="E42" s="146">
        <f t="shared" si="2"/>
        <v>-10179.292000000001</v>
      </c>
      <c r="F42" s="146">
        <f t="shared" si="3"/>
        <v>8.8339999999999996</v>
      </c>
      <c r="G42" s="145"/>
      <c r="H42" s="147"/>
      <c r="I42" s="148"/>
    </row>
    <row r="43" spans="1:9" x14ac:dyDescent="0.25">
      <c r="A43" s="142" t="s">
        <v>228</v>
      </c>
      <c r="B43" s="143">
        <f>ROUND(+B42/(1-0.02)-B42,0)</f>
        <v>-52</v>
      </c>
      <c r="C43" s="144">
        <v>0</v>
      </c>
      <c r="D43" s="145">
        <v>0</v>
      </c>
      <c r="E43" s="146">
        <f t="shared" si="2"/>
        <v>0</v>
      </c>
      <c r="F43" s="146">
        <f t="shared" si="3"/>
        <v>0</v>
      </c>
      <c r="G43" s="145"/>
      <c r="H43" s="147"/>
      <c r="I43" s="148"/>
    </row>
    <row r="44" spans="1:9" x14ac:dyDescent="0.25">
      <c r="A44" s="142" t="s">
        <v>6</v>
      </c>
      <c r="B44" s="143">
        <v>0</v>
      </c>
      <c r="C44" s="144">
        <v>0</v>
      </c>
      <c r="D44" s="145">
        <v>0</v>
      </c>
      <c r="E44" s="146">
        <f t="shared" si="2"/>
        <v>0</v>
      </c>
      <c r="F44" s="146">
        <f t="shared" si="3"/>
        <v>0</v>
      </c>
      <c r="G44" s="145"/>
      <c r="H44" s="147"/>
      <c r="I44" s="148"/>
    </row>
    <row r="45" spans="1:9" x14ac:dyDescent="0.25">
      <c r="A45" s="142" t="s">
        <v>229</v>
      </c>
      <c r="B45" s="143">
        <f>-6000+496</f>
        <v>-5504</v>
      </c>
      <c r="C45" s="144">
        <f>3.738+0.425</f>
        <v>4.1630000000000003</v>
      </c>
      <c r="D45" s="145">
        <v>-1.95E-2</v>
      </c>
      <c r="E45" s="146">
        <f t="shared" si="2"/>
        <v>-22913.152000000002</v>
      </c>
      <c r="F45" s="146">
        <f t="shared" si="3"/>
        <v>107.328</v>
      </c>
      <c r="G45" s="145"/>
      <c r="H45" s="147"/>
      <c r="I45" s="148"/>
    </row>
    <row r="46" spans="1:9" x14ac:dyDescent="0.25">
      <c r="A46" s="142" t="s">
        <v>240</v>
      </c>
      <c r="B46" s="143">
        <v>5000</v>
      </c>
      <c r="C46" s="144">
        <v>4.1399999999999997</v>
      </c>
      <c r="D46" s="145"/>
      <c r="E46" s="146">
        <f t="shared" si="2"/>
        <v>20700</v>
      </c>
      <c r="F46" s="146">
        <f t="shared" si="3"/>
        <v>0</v>
      </c>
      <c r="G46" s="145"/>
      <c r="H46" s="147"/>
      <c r="I46" s="148"/>
    </row>
    <row r="47" spans="1:9" x14ac:dyDescent="0.25">
      <c r="A47" s="142" t="s">
        <v>230</v>
      </c>
      <c r="B47" s="143">
        <f>ROUND((+B45+B46)/(1-0.0081)-(+B45+B46),0)</f>
        <v>-4</v>
      </c>
      <c r="C47" s="144"/>
      <c r="D47" s="145">
        <v>0</v>
      </c>
      <c r="E47" s="146">
        <f t="shared" si="2"/>
        <v>0</v>
      </c>
      <c r="F47" s="146">
        <f t="shared" si="3"/>
        <v>0</v>
      </c>
      <c r="G47" s="145"/>
      <c r="H47" s="147"/>
      <c r="I47" s="148"/>
    </row>
    <row r="48" spans="1:9" x14ac:dyDescent="0.25">
      <c r="A48" s="149" t="s">
        <v>233</v>
      </c>
      <c r="B48" s="150">
        <f>ROUND((+B45+B46+B47)/0.98-(B45+B46+B47),0)</f>
        <v>-10</v>
      </c>
      <c r="C48" s="151"/>
      <c r="D48" s="152">
        <v>0</v>
      </c>
      <c r="E48" s="153">
        <f t="shared" si="2"/>
        <v>0</v>
      </c>
      <c r="F48" s="153">
        <f t="shared" si="3"/>
        <v>0</v>
      </c>
      <c r="G48" s="152"/>
      <c r="H48" s="154"/>
      <c r="I48" s="155"/>
    </row>
    <row r="49" spans="1:9" x14ac:dyDescent="0.25">
      <c r="A49" s="76"/>
      <c r="B49" s="77"/>
      <c r="C49" s="78"/>
      <c r="D49" s="76"/>
      <c r="E49" s="79"/>
      <c r="F49" s="79"/>
      <c r="G49" s="76"/>
      <c r="H49" s="80"/>
      <c r="I49" s="76"/>
    </row>
    <row r="50" spans="1:9" x14ac:dyDescent="0.25">
      <c r="A50" s="76"/>
      <c r="B50" s="77"/>
      <c r="C50" s="78"/>
      <c r="D50" s="76"/>
      <c r="E50" s="79"/>
      <c r="F50" s="79"/>
      <c r="G50" s="76"/>
      <c r="H50" s="80"/>
      <c r="I50" s="76"/>
    </row>
    <row r="51" spans="1:9" x14ac:dyDescent="0.25">
      <c r="A51" s="76" t="s">
        <v>229</v>
      </c>
      <c r="B51" s="77">
        <v>-496</v>
      </c>
      <c r="C51" s="78">
        <f>3.738+0.425</f>
        <v>4.1630000000000003</v>
      </c>
      <c r="D51" s="76">
        <v>-1.95E-2</v>
      </c>
      <c r="E51" s="79">
        <f>+B51*C51</f>
        <v>-2064.848</v>
      </c>
      <c r="F51" s="79">
        <f>+B51*D51</f>
        <v>9.6720000000000006</v>
      </c>
      <c r="G51" s="76"/>
      <c r="H51" s="80"/>
      <c r="I51" s="76"/>
    </row>
    <row r="52" spans="1:9" x14ac:dyDescent="0.25">
      <c r="A52" s="76" t="s">
        <v>230</v>
      </c>
      <c r="B52" s="77">
        <f>ROUND(+B51/(1-0.0081)-B51,0)</f>
        <v>-4</v>
      </c>
      <c r="C52" s="78">
        <v>0</v>
      </c>
      <c r="D52" s="76">
        <v>0</v>
      </c>
      <c r="E52" s="79">
        <f>+B52*C52</f>
        <v>0</v>
      </c>
      <c r="F52" s="79">
        <f>+B52*D52</f>
        <v>0</v>
      </c>
      <c r="G52" s="76"/>
      <c r="H52" s="80"/>
      <c r="I52" s="76"/>
    </row>
    <row r="53" spans="1:9" x14ac:dyDescent="0.25">
      <c r="A53" s="76" t="s">
        <v>232</v>
      </c>
      <c r="B53" s="77">
        <v>500</v>
      </c>
      <c r="C53" s="78">
        <f>3.95-0.04</f>
        <v>3.91</v>
      </c>
      <c r="D53" s="76">
        <v>0</v>
      </c>
      <c r="E53" s="79">
        <f>+B53*C53</f>
        <v>1955</v>
      </c>
      <c r="F53" s="79">
        <f>+B53*D53</f>
        <v>0</v>
      </c>
      <c r="G53" s="76"/>
      <c r="H53" s="80"/>
      <c r="I53" s="76"/>
    </row>
    <row r="54" spans="1:9" x14ac:dyDescent="0.25">
      <c r="A54" s="81" t="s">
        <v>41</v>
      </c>
      <c r="B54" s="77">
        <f>SUM(B8:B53)</f>
        <v>35433</v>
      </c>
      <c r="C54" s="78"/>
      <c r="D54" s="76"/>
      <c r="E54" s="79">
        <f>SUM(E8:E53)</f>
        <v>134727.29399999999</v>
      </c>
      <c r="F54" s="79">
        <f>SUM(F8:F53)</f>
        <v>125.834</v>
      </c>
      <c r="G54" s="76"/>
      <c r="H54" s="76"/>
      <c r="I54" s="76"/>
    </row>
    <row r="55" spans="1:9" x14ac:dyDescent="0.25">
      <c r="B55" s="41"/>
      <c r="E55" s="22"/>
      <c r="F55" s="22"/>
    </row>
    <row r="56" spans="1:9" x14ac:dyDescent="0.25">
      <c r="B56" s="41"/>
      <c r="E56" s="22"/>
      <c r="F56" s="22"/>
    </row>
    <row r="57" spans="1:9" x14ac:dyDescent="0.25">
      <c r="B57" s="41"/>
      <c r="E57" s="22"/>
      <c r="F57" s="22"/>
    </row>
    <row r="58" spans="1:9" x14ac:dyDescent="0.25">
      <c r="B58" s="41"/>
      <c r="E58" s="22"/>
      <c r="F58" s="22"/>
    </row>
    <row r="59" spans="1:9" ht="15.6" x14ac:dyDescent="0.3">
      <c r="A59" s="50" t="s">
        <v>69</v>
      </c>
      <c r="B59" s="51"/>
      <c r="C59" s="52"/>
      <c r="D59" s="53"/>
      <c r="E59" s="54"/>
      <c r="F59" s="54"/>
      <c r="G59" s="53"/>
      <c r="H59" s="53"/>
      <c r="I59" s="53"/>
    </row>
    <row r="60" spans="1:9" x14ac:dyDescent="0.25">
      <c r="A60" s="53" t="s">
        <v>201</v>
      </c>
      <c r="B60" s="51"/>
      <c r="C60" s="52"/>
      <c r="D60" s="53"/>
      <c r="E60" s="54"/>
      <c r="F60" s="54"/>
      <c r="G60" s="53"/>
      <c r="H60" s="53"/>
      <c r="I60" s="53"/>
    </row>
    <row r="61" spans="1:9" x14ac:dyDescent="0.25">
      <c r="A61" s="53" t="s">
        <v>128</v>
      </c>
      <c r="B61" s="51">
        <v>6081</v>
      </c>
      <c r="C61" s="52">
        <v>3.95</v>
      </c>
      <c r="D61" s="53">
        <v>-1.2500000000000001E-2</v>
      </c>
      <c r="E61" s="54">
        <f>+B61*C61</f>
        <v>24019.95</v>
      </c>
      <c r="F61" s="54">
        <f>+B61*D61</f>
        <v>-76.012500000000003</v>
      </c>
      <c r="G61" s="53"/>
      <c r="H61" s="53"/>
      <c r="I61" s="53"/>
    </row>
    <row r="62" spans="1:9" x14ac:dyDescent="0.25">
      <c r="A62" s="53" t="s">
        <v>33</v>
      </c>
      <c r="B62" s="51">
        <v>12059</v>
      </c>
      <c r="C62" s="52">
        <v>3.94</v>
      </c>
      <c r="D62" s="53">
        <v>-1.2500000000000001E-2</v>
      </c>
      <c r="E62" s="54">
        <f>+B62*C62</f>
        <v>47512.46</v>
      </c>
      <c r="F62" s="54">
        <f>+B62*D62</f>
        <v>-150.73750000000001</v>
      </c>
      <c r="G62" s="53"/>
      <c r="H62" s="53"/>
      <c r="I62" s="53"/>
    </row>
    <row r="63" spans="1:9" x14ac:dyDescent="0.25">
      <c r="A63" s="53" t="s">
        <v>33</v>
      </c>
      <c r="B63" s="51">
        <v>0</v>
      </c>
      <c r="C63" s="52">
        <v>0</v>
      </c>
      <c r="D63" s="53">
        <v>-1.2500000000000001E-2</v>
      </c>
      <c r="E63" s="54">
        <f>+B63*C63</f>
        <v>0</v>
      </c>
      <c r="F63" s="54">
        <f>+B63*D63</f>
        <v>0</v>
      </c>
      <c r="G63" s="53"/>
      <c r="H63" s="53"/>
      <c r="I63" s="53"/>
    </row>
    <row r="64" spans="1:9" x14ac:dyDescent="0.25">
      <c r="A64" s="53"/>
      <c r="B64" s="51"/>
      <c r="C64" s="52"/>
      <c r="D64" s="53"/>
      <c r="E64" s="54"/>
      <c r="F64" s="54"/>
      <c r="G64" s="53"/>
      <c r="H64" s="53"/>
      <c r="I64" s="53"/>
    </row>
    <row r="65" spans="1:9" x14ac:dyDescent="0.25">
      <c r="A65" s="53" t="s">
        <v>198</v>
      </c>
      <c r="B65" s="51"/>
      <c r="C65" s="52"/>
      <c r="D65" s="53"/>
      <c r="E65" s="54"/>
      <c r="F65" s="54"/>
      <c r="G65" s="53"/>
      <c r="H65" s="53"/>
      <c r="I65" s="53"/>
    </row>
    <row r="66" spans="1:9" x14ac:dyDescent="0.25">
      <c r="A66" s="53" t="s">
        <v>71</v>
      </c>
      <c r="B66" s="51">
        <v>2500</v>
      </c>
      <c r="C66" s="52">
        <v>3.95</v>
      </c>
      <c r="D66" s="53">
        <v>-1.2500000000000001E-2</v>
      </c>
      <c r="E66" s="54">
        <f>+B66*C66</f>
        <v>9875</v>
      </c>
      <c r="F66" s="54">
        <f>+B66*D66</f>
        <v>-31.25</v>
      </c>
      <c r="G66" s="53"/>
      <c r="H66" s="53"/>
      <c r="I66" s="53"/>
    </row>
    <row r="67" spans="1:9" x14ac:dyDescent="0.25">
      <c r="A67" s="53" t="s">
        <v>40</v>
      </c>
      <c r="B67" s="51">
        <f>ROUND(+B66/(1-0.0045)-B66,0)</f>
        <v>11</v>
      </c>
      <c r="C67" s="52"/>
      <c r="D67" s="53"/>
      <c r="E67" s="54"/>
      <c r="F67" s="54"/>
      <c r="G67" s="53"/>
      <c r="H67" s="53"/>
      <c r="I67" s="53"/>
    </row>
    <row r="68" spans="1:9" x14ac:dyDescent="0.25">
      <c r="A68" s="53" t="s">
        <v>71</v>
      </c>
      <c r="B68" s="51">
        <v>6320</v>
      </c>
      <c r="C68" s="52">
        <v>3.95</v>
      </c>
      <c r="D68" s="53">
        <v>-1.2500000000000001E-2</v>
      </c>
      <c r="E68" s="54">
        <f>+B68*C68</f>
        <v>24964</v>
      </c>
      <c r="F68" s="54">
        <f>+B68*D68</f>
        <v>-79</v>
      </c>
      <c r="G68" s="53"/>
      <c r="H68" s="53"/>
      <c r="I68" s="53"/>
    </row>
    <row r="69" spans="1:9" x14ac:dyDescent="0.25">
      <c r="A69" s="53" t="s">
        <v>40</v>
      </c>
      <c r="B69" s="51">
        <f>ROUND(+B68/(1-0.0045)-B68,0)</f>
        <v>29</v>
      </c>
      <c r="C69" s="52"/>
      <c r="D69" s="53"/>
      <c r="E69" s="54"/>
      <c r="F69" s="54"/>
      <c r="G69" s="53"/>
      <c r="H69" s="53"/>
      <c r="I69" s="53"/>
    </row>
    <row r="70" spans="1:9" x14ac:dyDescent="0.25">
      <c r="A70" s="53" t="s">
        <v>71</v>
      </c>
      <c r="B70" s="51">
        <v>2987</v>
      </c>
      <c r="C70" s="52">
        <v>3.9350000000000001</v>
      </c>
      <c r="D70" s="53">
        <v>-1.2500000000000001E-2</v>
      </c>
      <c r="E70" s="54">
        <f>+B70*C70</f>
        <v>11753.844999999999</v>
      </c>
      <c r="F70" s="54">
        <f>+B70*D70</f>
        <v>-37.337499999999999</v>
      </c>
      <c r="G70" s="53"/>
      <c r="H70" s="53"/>
      <c r="I70" s="53"/>
    </row>
    <row r="71" spans="1:9" x14ac:dyDescent="0.25">
      <c r="A71" s="53" t="s">
        <v>40</v>
      </c>
      <c r="B71" s="51">
        <f>ROUND(+B70/(1-0.0045)-B70,0)</f>
        <v>14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5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5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5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5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5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5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5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5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5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5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5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5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8" thickBot="1" x14ac:dyDescent="0.3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5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5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5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5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5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5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5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5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5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5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8" thickBot="1" x14ac:dyDescent="0.3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5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8" thickBot="1" x14ac:dyDescent="0.3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5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5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5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5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5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5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5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5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5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5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5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5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5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5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8" thickBot="1" x14ac:dyDescent="0.3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5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8" thickBot="1" x14ac:dyDescent="0.3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5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5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5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5">
      <c r="A118" s="61" t="s">
        <v>79</v>
      </c>
      <c r="B118" s="62">
        <v>0</v>
      </c>
      <c r="C118" s="63"/>
      <c r="D118" s="40">
        <v>0</v>
      </c>
      <c r="E118" s="64">
        <f t="shared" si="7"/>
        <v>0</v>
      </c>
      <c r="F118" s="64">
        <f t="shared" si="8"/>
        <v>0</v>
      </c>
      <c r="G118" s="40"/>
      <c r="H118" s="40"/>
      <c r="I118" s="65"/>
    </row>
    <row r="119" spans="1:9" x14ac:dyDescent="0.25">
      <c r="A119" s="61" t="s">
        <v>110</v>
      </c>
      <c r="B119" s="62">
        <v>0</v>
      </c>
      <c r="C119" s="63"/>
      <c r="D119" s="40">
        <v>0</v>
      </c>
      <c r="E119" s="64">
        <f t="shared" si="7"/>
        <v>0</v>
      </c>
      <c r="F119" s="64">
        <f t="shared" si="8"/>
        <v>0</v>
      </c>
      <c r="G119" s="40"/>
      <c r="H119" s="40"/>
      <c r="I119" s="65"/>
    </row>
    <row r="120" spans="1:9" x14ac:dyDescent="0.25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5">
      <c r="A121" s="66" t="s">
        <v>107</v>
      </c>
      <c r="B121" s="67">
        <f>SUM(B115:B120)</f>
        <v>5000</v>
      </c>
      <c r="C121" s="63"/>
      <c r="D121" s="40"/>
      <c r="E121" s="64"/>
      <c r="F121" s="64"/>
      <c r="G121" s="40"/>
      <c r="H121" s="40"/>
      <c r="I121" s="65"/>
    </row>
    <row r="122" spans="1:9" x14ac:dyDescent="0.25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5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5">
      <c r="A124" s="61" t="s">
        <v>81</v>
      </c>
      <c r="B124" s="62">
        <v>398</v>
      </c>
      <c r="C124" s="62">
        <f>ROUND(+B124/(1-0.0823)-B124,0)</f>
        <v>36</v>
      </c>
      <c r="D124" s="40">
        <v>-0.1047</v>
      </c>
      <c r="E124" s="64"/>
      <c r="F124" s="64">
        <f t="shared" si="9"/>
        <v>-41.6706</v>
      </c>
      <c r="G124" s="40"/>
      <c r="H124" s="40">
        <v>735047</v>
      </c>
      <c r="I124" s="65"/>
    </row>
    <row r="125" spans="1:9" x14ac:dyDescent="0.25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5">
      <c r="A126" s="61" t="s">
        <v>83</v>
      </c>
      <c r="B126" s="62">
        <v>4602</v>
      </c>
      <c r="C126" s="62">
        <f>ROUND(+B126/(1-0.0796)-B126,0)</f>
        <v>398</v>
      </c>
      <c r="D126" s="40">
        <v>-0.1016</v>
      </c>
      <c r="E126" s="64"/>
      <c r="F126" s="64">
        <f t="shared" si="9"/>
        <v>-467.56319999999999</v>
      </c>
      <c r="G126" s="40"/>
      <c r="H126" s="133">
        <v>821199</v>
      </c>
      <c r="I126" s="65"/>
    </row>
    <row r="127" spans="1:9" x14ac:dyDescent="0.25">
      <c r="A127" s="61" t="s">
        <v>106</v>
      </c>
      <c r="B127" s="62">
        <v>0</v>
      </c>
      <c r="C127" s="62">
        <f>ROUND(+B127/(1-0.0505)-B127,0)</f>
        <v>0</v>
      </c>
      <c r="D127" s="40">
        <v>-8.14E-2</v>
      </c>
      <c r="E127" s="64"/>
      <c r="F127" s="64">
        <f t="shared" si="9"/>
        <v>0</v>
      </c>
      <c r="G127" s="40"/>
      <c r="H127" s="133">
        <v>640187</v>
      </c>
      <c r="I127" s="65"/>
    </row>
    <row r="128" spans="1:9" x14ac:dyDescent="0.25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9"/>
        <v>0</v>
      </c>
      <c r="G128" s="40"/>
      <c r="H128" s="40">
        <v>749874</v>
      </c>
      <c r="I128" s="65"/>
    </row>
    <row r="129" spans="1:9" x14ac:dyDescent="0.25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9"/>
        <v>0</v>
      </c>
      <c r="G129" s="40"/>
      <c r="H129" s="40">
        <v>749875</v>
      </c>
      <c r="I129" s="65"/>
    </row>
    <row r="130" spans="1:9" x14ac:dyDescent="0.25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9"/>
        <v>0</v>
      </c>
      <c r="G130" s="40"/>
      <c r="H130" s="40">
        <v>749877</v>
      </c>
      <c r="I130" s="65"/>
    </row>
    <row r="131" spans="1:9" x14ac:dyDescent="0.25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9"/>
        <v>0</v>
      </c>
      <c r="G131" s="40"/>
      <c r="H131" s="40">
        <v>749878</v>
      </c>
      <c r="I131" s="65"/>
    </row>
    <row r="132" spans="1:9" x14ac:dyDescent="0.25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9"/>
        <v>0</v>
      </c>
      <c r="G132" s="40"/>
      <c r="H132" s="40">
        <v>749879</v>
      </c>
      <c r="I132" s="65"/>
    </row>
    <row r="133" spans="1:9" x14ac:dyDescent="0.25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5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5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5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5">
      <c r="A137" s="61"/>
      <c r="B137" s="62">
        <f>SUM(B123:B136)</f>
        <v>5000</v>
      </c>
      <c r="C137" s="62">
        <f>SUM(C123:C136)</f>
        <v>434</v>
      </c>
      <c r="D137" s="40"/>
      <c r="E137" s="64"/>
      <c r="F137" s="64"/>
      <c r="G137" s="40"/>
      <c r="H137" s="40"/>
      <c r="I137" s="65"/>
    </row>
    <row r="138" spans="1:9" ht="13.8" thickBot="1" x14ac:dyDescent="0.3">
      <c r="A138" s="68" t="s">
        <v>90</v>
      </c>
      <c r="B138" s="74">
        <f>+B137+C137</f>
        <v>5434</v>
      </c>
      <c r="C138" s="70"/>
      <c r="D138" s="71"/>
      <c r="E138" s="72"/>
      <c r="F138" s="72"/>
      <c r="G138" s="71"/>
      <c r="H138" s="71"/>
      <c r="I138" s="73"/>
    </row>
    <row r="139" spans="1:9" x14ac:dyDescent="0.25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5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5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5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5">
      <c r="A143" s="75" t="s">
        <v>42</v>
      </c>
      <c r="B143" s="51">
        <f>SUM(B138,B112,B94,B59:B84)</f>
        <v>35435</v>
      </c>
      <c r="C143" s="52"/>
      <c r="D143" s="53"/>
      <c r="E143" s="54">
        <f>SUM(E59:E142)</f>
        <v>139975.255</v>
      </c>
      <c r="F143" s="54">
        <f>SUM(F59:F142)</f>
        <v>-883.57129999999995</v>
      </c>
      <c r="G143" s="53"/>
      <c r="H143" s="53"/>
      <c r="I143" s="53"/>
    </row>
    <row r="144" spans="1:9" x14ac:dyDescent="0.25">
      <c r="B144" s="41"/>
      <c r="E144" s="22"/>
      <c r="F144" s="22"/>
    </row>
    <row r="145" spans="1:7" x14ac:dyDescent="0.25">
      <c r="A145" t="s">
        <v>43</v>
      </c>
      <c r="B145" s="41">
        <f>+B54-B143</f>
        <v>-2</v>
      </c>
      <c r="E145" s="22">
        <f>+E143-E54</f>
        <v>5247.9610000000102</v>
      </c>
      <c r="F145" s="22">
        <f>+F143-F54</f>
        <v>-1009.4052999999999</v>
      </c>
      <c r="G145" s="23">
        <f>+F145+E145</f>
        <v>4238.5557000000099</v>
      </c>
    </row>
    <row r="146" spans="1:7" x14ac:dyDescent="0.25">
      <c r="B146" s="41"/>
    </row>
    <row r="147" spans="1:7" x14ac:dyDescent="0.25">
      <c r="B147" s="41"/>
      <c r="F147" s="2" t="s">
        <v>48</v>
      </c>
      <c r="G147" s="24">
        <f>+C157</f>
        <v>2855.3333333333335</v>
      </c>
    </row>
    <row r="148" spans="1:7" ht="13.8" thickBot="1" x14ac:dyDescent="0.3">
      <c r="B148" s="41"/>
      <c r="F148" t="s">
        <v>58</v>
      </c>
      <c r="G148" s="25">
        <f>+G145-G147</f>
        <v>1383.2223666666764</v>
      </c>
    </row>
    <row r="149" spans="1:7" ht="13.8" thickTop="1" x14ac:dyDescent="0.25">
      <c r="B149" s="41"/>
    </row>
    <row r="150" spans="1:7" x14ac:dyDescent="0.25">
      <c r="B150" s="41"/>
    </row>
    <row r="151" spans="1:7" x14ac:dyDescent="0.25">
      <c r="B151" s="41"/>
    </row>
    <row r="152" spans="1:7" x14ac:dyDescent="0.25">
      <c r="A152" t="s">
        <v>49</v>
      </c>
      <c r="B152" s="30" t="s">
        <v>50</v>
      </c>
      <c r="C152" s="33">
        <v>28199</v>
      </c>
    </row>
    <row r="153" spans="1:7" x14ac:dyDescent="0.25">
      <c r="B153" s="30" t="s">
        <v>34</v>
      </c>
      <c r="C153" s="33">
        <v>2550</v>
      </c>
    </row>
    <row r="154" spans="1:7" x14ac:dyDescent="0.25">
      <c r="B154" s="30" t="s">
        <v>51</v>
      </c>
      <c r="C154" s="33">
        <v>54171</v>
      </c>
    </row>
    <row r="155" spans="1:7" x14ac:dyDescent="0.25">
      <c r="B155" s="30" t="s">
        <v>94</v>
      </c>
      <c r="C155" s="33">
        <v>740</v>
      </c>
    </row>
    <row r="156" spans="1:7" x14ac:dyDescent="0.25">
      <c r="C156" s="33">
        <f>SUM(C152:C155)</f>
        <v>85660</v>
      </c>
    </row>
    <row r="157" spans="1:7" x14ac:dyDescent="0.25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32" workbookViewId="0">
      <selection activeCell="A32" sqref="A1:IV65536"/>
    </sheetView>
  </sheetViews>
  <sheetFormatPr defaultRowHeight="13.2" x14ac:dyDescent="0.25"/>
  <cols>
    <col min="1" max="1" width="21.6640625" customWidth="1"/>
    <col min="2" max="2" width="10.33203125" style="30" customWidth="1"/>
    <col min="3" max="3" width="13.33203125" style="33" customWidth="1"/>
    <col min="5" max="5" width="14.109375" customWidth="1"/>
    <col min="6" max="6" width="13.88671875" customWidth="1"/>
    <col min="7" max="7" width="14.109375" customWidth="1"/>
    <col min="8" max="8" width="11.33203125" customWidth="1"/>
  </cols>
  <sheetData>
    <row r="1" spans="1:9" x14ac:dyDescent="0.25">
      <c r="A1" s="2" t="s">
        <v>213</v>
      </c>
    </row>
    <row r="3" spans="1:9" x14ac:dyDescent="0.25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5">
      <c r="A4">
        <v>2.2000000000000001E-3</v>
      </c>
      <c r="C4" s="33" t="s">
        <v>45</v>
      </c>
      <c r="D4">
        <v>1.03E-2</v>
      </c>
    </row>
    <row r="5" spans="1:9" x14ac:dyDescent="0.25">
      <c r="C5" s="33" t="s">
        <v>47</v>
      </c>
      <c r="D5">
        <v>6.2199999999999998E-2</v>
      </c>
    </row>
    <row r="6" spans="1:9" x14ac:dyDescent="0.25">
      <c r="E6" t="s">
        <v>36</v>
      </c>
    </row>
    <row r="7" spans="1:9" x14ac:dyDescent="0.25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5">
      <c r="A8" s="76" t="s">
        <v>32</v>
      </c>
      <c r="B8" s="77">
        <v>10000</v>
      </c>
      <c r="C8" s="78">
        <v>3.5449999999999999</v>
      </c>
      <c r="D8" s="76">
        <v>0</v>
      </c>
      <c r="E8" s="79">
        <f t="shared" ref="E8:E20" si="0">+B8*C8</f>
        <v>35450</v>
      </c>
      <c r="F8" s="79">
        <f t="shared" ref="F8:F20" si="1">+B8*D8</f>
        <v>0</v>
      </c>
      <c r="G8" s="76"/>
      <c r="H8" s="76"/>
      <c r="I8" s="76"/>
    </row>
    <row r="9" spans="1:9" x14ac:dyDescent="0.25">
      <c r="A9" s="76" t="s">
        <v>32</v>
      </c>
      <c r="B9" s="77">
        <v>10000</v>
      </c>
      <c r="C9" s="78">
        <v>3.53</v>
      </c>
      <c r="D9" s="76">
        <v>0</v>
      </c>
      <c r="E9" s="79">
        <f t="shared" si="0"/>
        <v>35300</v>
      </c>
      <c r="F9" s="79">
        <f t="shared" si="1"/>
        <v>0</v>
      </c>
      <c r="G9" s="76"/>
      <c r="H9" s="76"/>
      <c r="I9" s="76"/>
    </row>
    <row r="10" spans="1:9" x14ac:dyDescent="0.25">
      <c r="A10" s="76" t="s">
        <v>92</v>
      </c>
      <c r="B10" s="77">
        <v>5000</v>
      </c>
      <c r="C10" s="78">
        <v>3.5449999999999999</v>
      </c>
      <c r="D10" s="76">
        <v>0</v>
      </c>
      <c r="E10" s="79">
        <f t="shared" si="0"/>
        <v>17725</v>
      </c>
      <c r="F10" s="79">
        <f t="shared" si="1"/>
        <v>0</v>
      </c>
      <c r="G10" s="76"/>
      <c r="H10" s="76"/>
      <c r="I10" s="76"/>
    </row>
    <row r="11" spans="1:9" x14ac:dyDescent="0.25">
      <c r="A11" s="76" t="s">
        <v>127</v>
      </c>
      <c r="B11" s="77">
        <v>3185</v>
      </c>
      <c r="C11" s="78">
        <v>3.5649999999999999</v>
      </c>
      <c r="D11" s="76">
        <v>0</v>
      </c>
      <c r="E11" s="79">
        <f t="shared" si="0"/>
        <v>11354.525</v>
      </c>
      <c r="F11" s="79">
        <f t="shared" si="1"/>
        <v>0</v>
      </c>
      <c r="G11" s="76"/>
      <c r="H11" s="76"/>
      <c r="I11" s="76"/>
    </row>
    <row r="12" spans="1:9" s="29" customFormat="1" x14ac:dyDescent="0.25">
      <c r="A12" s="76" t="s">
        <v>92</v>
      </c>
      <c r="B12" s="77">
        <v>5000</v>
      </c>
      <c r="C12" s="78">
        <v>3.62</v>
      </c>
      <c r="D12" s="76">
        <v>0</v>
      </c>
      <c r="E12" s="79">
        <f t="shared" si="0"/>
        <v>18100</v>
      </c>
      <c r="F12" s="79">
        <f t="shared" si="1"/>
        <v>0</v>
      </c>
      <c r="G12" s="76"/>
      <c r="H12" s="76"/>
      <c r="I12" s="76"/>
    </row>
    <row r="13" spans="1:9" s="29" customFormat="1" x14ac:dyDescent="0.25">
      <c r="A13" s="76" t="s">
        <v>92</v>
      </c>
      <c r="B13" s="77">
        <v>5000</v>
      </c>
      <c r="C13" s="78">
        <v>4.63</v>
      </c>
      <c r="D13" s="76">
        <v>0</v>
      </c>
      <c r="E13" s="79">
        <f t="shared" si="0"/>
        <v>23150</v>
      </c>
      <c r="F13" s="79">
        <f t="shared" si="1"/>
        <v>0</v>
      </c>
      <c r="G13" s="76"/>
      <c r="H13" s="76"/>
      <c r="I13" s="76"/>
    </row>
    <row r="14" spans="1:9" x14ac:dyDescent="0.25">
      <c r="A14" s="76" t="s">
        <v>92</v>
      </c>
      <c r="B14" s="77">
        <v>5000</v>
      </c>
      <c r="C14" s="78">
        <v>4.67</v>
      </c>
      <c r="D14" s="76">
        <v>0</v>
      </c>
      <c r="E14" s="79">
        <f t="shared" si="0"/>
        <v>23350</v>
      </c>
      <c r="F14" s="79">
        <f t="shared" si="1"/>
        <v>0</v>
      </c>
      <c r="G14" s="76"/>
      <c r="H14" s="76"/>
      <c r="I14" s="76"/>
    </row>
    <row r="15" spans="1:9" x14ac:dyDescent="0.25">
      <c r="A15" s="76" t="s">
        <v>92</v>
      </c>
      <c r="B15" s="77">
        <v>-10000</v>
      </c>
      <c r="C15" s="78">
        <v>4.6500000000000004</v>
      </c>
      <c r="D15" s="76">
        <v>0</v>
      </c>
      <c r="E15" s="79">
        <f>+B15*C15</f>
        <v>-46500</v>
      </c>
      <c r="F15" s="79">
        <f>+B15*D15</f>
        <v>0</v>
      </c>
      <c r="G15" s="76"/>
      <c r="H15" s="76"/>
      <c r="I15" s="76"/>
    </row>
    <row r="16" spans="1:9" x14ac:dyDescent="0.25">
      <c r="A16" s="76" t="s">
        <v>127</v>
      </c>
      <c r="B16" s="77">
        <v>-3192</v>
      </c>
      <c r="C16" s="78">
        <v>3.74</v>
      </c>
      <c r="D16" s="76">
        <v>0</v>
      </c>
      <c r="E16" s="79">
        <f t="shared" si="0"/>
        <v>-11938.08</v>
      </c>
      <c r="F16" s="79">
        <f t="shared" si="1"/>
        <v>0</v>
      </c>
      <c r="G16" s="76"/>
      <c r="H16" s="76"/>
      <c r="I16" s="76"/>
    </row>
    <row r="17" spans="1:9" x14ac:dyDescent="0.25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5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5">
      <c r="A19" s="76" t="s">
        <v>111</v>
      </c>
      <c r="B19" s="77">
        <v>0</v>
      </c>
      <c r="C19" s="78">
        <v>0</v>
      </c>
      <c r="D19" s="76">
        <v>1.2500000000000001E-2</v>
      </c>
      <c r="E19" s="79">
        <f>+B19*C19</f>
        <v>0</v>
      </c>
      <c r="F19" s="79">
        <f>+B19*D19</f>
        <v>0</v>
      </c>
      <c r="G19" s="76"/>
      <c r="H19" s="76"/>
      <c r="I19" s="76"/>
    </row>
    <row r="20" spans="1:9" s="29" customFormat="1" x14ac:dyDescent="0.25">
      <c r="A20" s="76" t="s">
        <v>111</v>
      </c>
      <c r="B20" s="77">
        <v>0</v>
      </c>
      <c r="C20" s="78">
        <v>0</v>
      </c>
      <c r="D20" s="76">
        <v>1.2500000000000001E-2</v>
      </c>
      <c r="E20" s="79">
        <f t="shared" si="0"/>
        <v>0</v>
      </c>
      <c r="F20" s="79">
        <f t="shared" si="1"/>
        <v>0</v>
      </c>
      <c r="G20" s="76"/>
      <c r="H20" s="76"/>
      <c r="I20" s="76"/>
    </row>
    <row r="21" spans="1:9" x14ac:dyDescent="0.25">
      <c r="A21" s="76"/>
      <c r="B21" s="77"/>
      <c r="C21" s="78"/>
      <c r="D21" s="76"/>
      <c r="E21" s="79"/>
      <c r="F21" s="79"/>
      <c r="G21" s="76"/>
      <c r="H21" s="76"/>
      <c r="I21" s="76"/>
    </row>
    <row r="22" spans="1:9" x14ac:dyDescent="0.25">
      <c r="A22" s="76" t="s">
        <v>126</v>
      </c>
      <c r="B22" s="77">
        <v>0</v>
      </c>
      <c r="C22" s="78">
        <v>0</v>
      </c>
      <c r="D22" s="76">
        <v>0</v>
      </c>
      <c r="E22" s="79">
        <f>+B22*C22</f>
        <v>0</v>
      </c>
      <c r="F22" s="79">
        <f>+B22*D22</f>
        <v>0</v>
      </c>
      <c r="G22" s="76"/>
      <c r="H22" s="76"/>
      <c r="I22" s="76"/>
    </row>
    <row r="23" spans="1:9" x14ac:dyDescent="0.25">
      <c r="A23" s="76" t="s">
        <v>97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5">
      <c r="A24" s="76"/>
      <c r="B24" s="77"/>
      <c r="C24" s="78"/>
      <c r="D24" s="76"/>
      <c r="E24" s="79"/>
      <c r="F24" s="79"/>
      <c r="G24" s="76"/>
      <c r="H24" s="76"/>
      <c r="I24" s="76"/>
    </row>
    <row r="25" spans="1:9" x14ac:dyDescent="0.25">
      <c r="A25" s="76" t="s">
        <v>119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5">
      <c r="A26" s="76" t="s">
        <v>120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s="29" customFormat="1" x14ac:dyDescent="0.25">
      <c r="A27" s="76" t="s">
        <v>93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5">
      <c r="A28" s="76" t="s">
        <v>93</v>
      </c>
      <c r="B28" s="77">
        <v>0</v>
      </c>
      <c r="C28" s="78">
        <v>0</v>
      </c>
      <c r="D28" s="76">
        <v>0</v>
      </c>
      <c r="E28" s="79">
        <f>+B28*C28</f>
        <v>0</v>
      </c>
      <c r="F28" s="79">
        <f>+B28*D28</f>
        <v>0</v>
      </c>
      <c r="G28" s="76"/>
      <c r="H28" s="76"/>
      <c r="I28" s="76"/>
    </row>
    <row r="29" spans="1:9" x14ac:dyDescent="0.25">
      <c r="A29" s="76" t="s">
        <v>68</v>
      </c>
      <c r="B29" s="77">
        <v>0</v>
      </c>
      <c r="C29" s="78">
        <v>0</v>
      </c>
      <c r="D29" s="76">
        <v>0</v>
      </c>
      <c r="E29" s="79">
        <f>+B29*C29</f>
        <v>0</v>
      </c>
      <c r="F29" s="79">
        <f>+B29*D29</f>
        <v>0</v>
      </c>
      <c r="G29" s="76"/>
      <c r="H29" s="76"/>
      <c r="I29" s="76"/>
    </row>
    <row r="30" spans="1:9" x14ac:dyDescent="0.25">
      <c r="A30" s="76"/>
      <c r="B30" s="77"/>
      <c r="C30" s="78"/>
      <c r="D30" s="76"/>
      <c r="E30" s="79"/>
      <c r="F30" s="79"/>
      <c r="G30" s="76"/>
      <c r="H30" s="76"/>
      <c r="I30" s="76"/>
    </row>
    <row r="31" spans="1:9" x14ac:dyDescent="0.25">
      <c r="A31" s="76" t="s">
        <v>121</v>
      </c>
      <c r="B31" s="77">
        <v>10000</v>
      </c>
      <c r="C31" s="78">
        <v>3.53</v>
      </c>
      <c r="D31" s="76">
        <v>0</v>
      </c>
      <c r="E31" s="79">
        <f>+B31*C31</f>
        <v>35300</v>
      </c>
      <c r="F31" s="79">
        <f>+B31*D31</f>
        <v>0</v>
      </c>
      <c r="G31" s="76"/>
      <c r="H31" s="76"/>
      <c r="I31" s="76"/>
    </row>
    <row r="32" spans="1:9" s="29" customFormat="1" x14ac:dyDescent="0.25">
      <c r="A32" s="76" t="s">
        <v>112</v>
      </c>
      <c r="B32" s="77">
        <v>-10000</v>
      </c>
      <c r="C32" s="78">
        <v>3.54</v>
      </c>
      <c r="D32" s="76">
        <v>0</v>
      </c>
      <c r="E32" s="79">
        <f>+B32*C32</f>
        <v>-35400</v>
      </c>
      <c r="F32" s="79">
        <f>+B32*D32</f>
        <v>0</v>
      </c>
      <c r="G32" s="76"/>
      <c r="H32" s="76"/>
      <c r="I32" s="76"/>
    </row>
    <row r="33" spans="1:9" s="29" customFormat="1" x14ac:dyDescent="0.25">
      <c r="A33" s="76" t="s">
        <v>67</v>
      </c>
      <c r="B33" s="77">
        <v>0</v>
      </c>
      <c r="C33" s="78">
        <v>0</v>
      </c>
      <c r="D33" s="76">
        <v>0</v>
      </c>
      <c r="E33" s="79">
        <f>+B33*C33</f>
        <v>0</v>
      </c>
      <c r="F33" s="79">
        <f>+B33*D33</f>
        <v>0</v>
      </c>
      <c r="G33" s="76"/>
      <c r="H33" s="76"/>
      <c r="I33" s="76"/>
    </row>
    <row r="34" spans="1:9" x14ac:dyDescent="0.25">
      <c r="A34" s="76" t="s">
        <v>112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5">
      <c r="A35" s="76"/>
      <c r="B35" s="77"/>
      <c r="C35" s="78"/>
      <c r="D35" s="76"/>
      <c r="E35" s="79"/>
      <c r="F35" s="79"/>
      <c r="G35" s="76"/>
      <c r="H35" s="76"/>
      <c r="I35" s="76"/>
    </row>
    <row r="36" spans="1:9" x14ac:dyDescent="0.25">
      <c r="A36" s="76" t="s">
        <v>104</v>
      </c>
      <c r="B36" s="77">
        <v>10000</v>
      </c>
      <c r="C36" s="78">
        <v>3.82</v>
      </c>
      <c r="D36" s="76">
        <v>0</v>
      </c>
      <c r="E36" s="79">
        <f>+B36*C36</f>
        <v>38200</v>
      </c>
      <c r="F36" s="79">
        <f>+B36*D36</f>
        <v>0</v>
      </c>
      <c r="G36" s="76"/>
      <c r="H36" s="76"/>
      <c r="I36" s="76"/>
    </row>
    <row r="37" spans="1:9" x14ac:dyDescent="0.25">
      <c r="A37" s="76" t="s">
        <v>105</v>
      </c>
      <c r="B37" s="77">
        <v>0</v>
      </c>
      <c r="C37" s="78">
        <v>0</v>
      </c>
      <c r="D37" s="76">
        <v>0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5">
      <c r="A38" s="76"/>
      <c r="B38" s="77"/>
      <c r="C38" s="78"/>
      <c r="D38" s="76"/>
      <c r="E38" s="79"/>
      <c r="F38" s="79"/>
      <c r="G38" s="76"/>
      <c r="H38" s="76"/>
      <c r="I38" s="76"/>
    </row>
    <row r="39" spans="1:9" x14ac:dyDescent="0.25">
      <c r="A39" s="76" t="s">
        <v>101</v>
      </c>
      <c r="B39" s="77">
        <v>0</v>
      </c>
      <c r="C39" s="78">
        <v>0</v>
      </c>
      <c r="D39" s="76">
        <v>1.2500000000000001E-2</v>
      </c>
      <c r="E39" s="79">
        <f>+B39*C39</f>
        <v>0</v>
      </c>
      <c r="F39" s="79">
        <f>+B39*D39</f>
        <v>0</v>
      </c>
      <c r="G39" s="76"/>
      <c r="H39" s="76"/>
      <c r="I39" s="76"/>
    </row>
    <row r="40" spans="1:9" x14ac:dyDescent="0.25">
      <c r="A40" s="76" t="s">
        <v>101</v>
      </c>
      <c r="B40" s="77">
        <v>0</v>
      </c>
      <c r="C40" s="78">
        <v>0</v>
      </c>
      <c r="D40" s="76">
        <v>0</v>
      </c>
      <c r="E40" s="79">
        <f>+B40*C40</f>
        <v>0</v>
      </c>
      <c r="F40" s="79">
        <f>+B40*D40</f>
        <v>0</v>
      </c>
      <c r="G40" s="76"/>
      <c r="H40" s="76"/>
      <c r="I40" s="76"/>
    </row>
    <row r="41" spans="1:9" x14ac:dyDescent="0.25">
      <c r="A41" s="76"/>
      <c r="B41" s="77"/>
      <c r="C41" s="78"/>
      <c r="D41" s="76"/>
      <c r="E41" s="79"/>
      <c r="F41" s="79"/>
      <c r="G41" s="76"/>
      <c r="H41" s="76"/>
      <c r="I41" s="76"/>
    </row>
    <row r="42" spans="1:9" x14ac:dyDescent="0.25">
      <c r="A42" s="135" t="s">
        <v>226</v>
      </c>
      <c r="B42" s="136">
        <v>8237</v>
      </c>
      <c r="C42" s="137">
        <f>3.738+0.23</f>
        <v>3.968</v>
      </c>
      <c r="D42" s="138">
        <v>0</v>
      </c>
      <c r="E42" s="139">
        <f t="shared" ref="E42:E50" si="2">+B42*C42</f>
        <v>32684.416000000001</v>
      </c>
      <c r="F42" s="139">
        <f t="shared" ref="F42:F50" si="3">+B42*D42</f>
        <v>0</v>
      </c>
      <c r="G42" s="138"/>
      <c r="H42" s="140"/>
      <c r="I42" s="141"/>
    </row>
    <row r="43" spans="1:9" x14ac:dyDescent="0.25">
      <c r="A43" s="142" t="s">
        <v>225</v>
      </c>
      <c r="B43" s="143">
        <v>-5144</v>
      </c>
      <c r="C43" s="144">
        <v>3.915</v>
      </c>
      <c r="D43" s="145">
        <v>0</v>
      </c>
      <c r="E43" s="146">
        <f t="shared" si="2"/>
        <v>-20138.759999999998</v>
      </c>
      <c r="F43" s="146">
        <f t="shared" si="3"/>
        <v>0</v>
      </c>
      <c r="G43" s="145"/>
      <c r="H43" s="147"/>
      <c r="I43" s="148"/>
    </row>
    <row r="44" spans="1:9" x14ac:dyDescent="0.25">
      <c r="A44" s="142" t="s">
        <v>227</v>
      </c>
      <c r="B44" s="143">
        <v>-2524</v>
      </c>
      <c r="C44" s="144">
        <f>3.738+0.295</f>
        <v>4.0330000000000004</v>
      </c>
      <c r="D44" s="145">
        <v>-3.5000000000000001E-3</v>
      </c>
      <c r="E44" s="146">
        <f t="shared" si="2"/>
        <v>-10179.292000000001</v>
      </c>
      <c r="F44" s="146">
        <f t="shared" si="3"/>
        <v>8.8339999999999996</v>
      </c>
      <c r="G44" s="145"/>
      <c r="H44" s="147"/>
      <c r="I44" s="148"/>
    </row>
    <row r="45" spans="1:9" x14ac:dyDescent="0.25">
      <c r="A45" s="142" t="s">
        <v>228</v>
      </c>
      <c r="B45" s="143">
        <f>ROUND(+B44/(1-0.02)-B44,0)</f>
        <v>-52</v>
      </c>
      <c r="C45" s="144">
        <v>0</v>
      </c>
      <c r="D45" s="145">
        <v>0</v>
      </c>
      <c r="E45" s="146">
        <f t="shared" si="2"/>
        <v>0</v>
      </c>
      <c r="F45" s="146">
        <f t="shared" si="3"/>
        <v>0</v>
      </c>
      <c r="G45" s="145"/>
      <c r="H45" s="147"/>
      <c r="I45" s="148"/>
    </row>
    <row r="46" spans="1:9" x14ac:dyDescent="0.25">
      <c r="A46" s="142" t="s">
        <v>6</v>
      </c>
      <c r="B46" s="143">
        <v>0</v>
      </c>
      <c r="C46" s="144">
        <v>0</v>
      </c>
      <c r="D46" s="145">
        <v>0</v>
      </c>
      <c r="E46" s="146">
        <f t="shared" si="2"/>
        <v>0</v>
      </c>
      <c r="F46" s="146">
        <f t="shared" si="3"/>
        <v>0</v>
      </c>
      <c r="G46" s="145"/>
      <c r="H46" s="147"/>
      <c r="I46" s="148"/>
    </row>
    <row r="47" spans="1:9" x14ac:dyDescent="0.25">
      <c r="A47" s="142" t="s">
        <v>229</v>
      </c>
      <c r="B47" s="143">
        <f>-6000+496</f>
        <v>-5504</v>
      </c>
      <c r="C47" s="144">
        <f>3.738+0.425</f>
        <v>4.1630000000000003</v>
      </c>
      <c r="D47" s="145">
        <v>-1.95E-2</v>
      </c>
      <c r="E47" s="146">
        <f t="shared" si="2"/>
        <v>-22913.152000000002</v>
      </c>
      <c r="F47" s="146">
        <f t="shared" si="3"/>
        <v>107.328</v>
      </c>
      <c r="G47" s="145"/>
      <c r="H47" s="147"/>
      <c r="I47" s="148"/>
    </row>
    <row r="48" spans="1:9" x14ac:dyDescent="0.25">
      <c r="A48" s="142" t="s">
        <v>229</v>
      </c>
      <c r="B48" s="143">
        <v>5000</v>
      </c>
      <c r="C48" s="144">
        <v>3.94</v>
      </c>
      <c r="D48" s="145"/>
      <c r="E48" s="146">
        <f t="shared" si="2"/>
        <v>19700</v>
      </c>
      <c r="F48" s="146">
        <f t="shared" si="3"/>
        <v>0</v>
      </c>
      <c r="G48" s="145"/>
      <c r="H48" s="147"/>
      <c r="I48" s="148"/>
    </row>
    <row r="49" spans="1:9" x14ac:dyDescent="0.25">
      <c r="A49" s="142" t="s">
        <v>230</v>
      </c>
      <c r="B49" s="143">
        <f>ROUND((+B47+B48)/(1-0.0081)-(+B47+B48),0)</f>
        <v>-4</v>
      </c>
      <c r="C49" s="144"/>
      <c r="D49" s="145">
        <v>0</v>
      </c>
      <c r="E49" s="146">
        <f t="shared" si="2"/>
        <v>0</v>
      </c>
      <c r="F49" s="146">
        <f t="shared" si="3"/>
        <v>0</v>
      </c>
      <c r="G49" s="145"/>
      <c r="H49" s="147"/>
      <c r="I49" s="148"/>
    </row>
    <row r="50" spans="1:9" x14ac:dyDescent="0.25">
      <c r="A50" s="149" t="s">
        <v>233</v>
      </c>
      <c r="B50" s="150">
        <f>ROUND((+B47+B48+B49)/0.98-(B47+B48+B49),0)</f>
        <v>-10</v>
      </c>
      <c r="C50" s="151"/>
      <c r="D50" s="152">
        <v>0</v>
      </c>
      <c r="E50" s="153">
        <f t="shared" si="2"/>
        <v>0</v>
      </c>
      <c r="F50" s="153">
        <f t="shared" si="3"/>
        <v>0</v>
      </c>
      <c r="G50" s="152"/>
      <c r="H50" s="154"/>
      <c r="I50" s="155"/>
    </row>
    <row r="51" spans="1:9" x14ac:dyDescent="0.25">
      <c r="A51" s="76"/>
      <c r="B51" s="77"/>
      <c r="C51" s="78"/>
      <c r="D51" s="76"/>
      <c r="E51" s="79"/>
      <c r="F51" s="79"/>
      <c r="G51" s="76"/>
      <c r="H51" s="80"/>
      <c r="I51" s="76"/>
    </row>
    <row r="52" spans="1:9" x14ac:dyDescent="0.25">
      <c r="A52" s="76"/>
      <c r="B52" s="77"/>
      <c r="C52" s="78"/>
      <c r="D52" s="76"/>
      <c r="E52" s="79"/>
      <c r="F52" s="79"/>
      <c r="G52" s="76"/>
      <c r="H52" s="80"/>
      <c r="I52" s="76"/>
    </row>
    <row r="53" spans="1:9" x14ac:dyDescent="0.25">
      <c r="A53" s="76" t="s">
        <v>229</v>
      </c>
      <c r="B53" s="77">
        <v>-496</v>
      </c>
      <c r="C53" s="78">
        <f>3.738+0.425</f>
        <v>4.1630000000000003</v>
      </c>
      <c r="D53" s="76">
        <v>-1.95E-2</v>
      </c>
      <c r="E53" s="79">
        <f>+B53*C53</f>
        <v>-2064.848</v>
      </c>
      <c r="F53" s="79">
        <f>+B53*D53</f>
        <v>9.6720000000000006</v>
      </c>
      <c r="G53" s="76"/>
      <c r="H53" s="80"/>
      <c r="I53" s="76"/>
    </row>
    <row r="54" spans="1:9" x14ac:dyDescent="0.25">
      <c r="A54" s="76" t="s">
        <v>230</v>
      </c>
      <c r="B54" s="77">
        <f>ROUND(+B53/(1-0.0081)-B53,0)</f>
        <v>-4</v>
      </c>
      <c r="C54" s="78">
        <v>0</v>
      </c>
      <c r="D54" s="76">
        <v>0</v>
      </c>
      <c r="E54" s="79">
        <f>+B54*C54</f>
        <v>0</v>
      </c>
      <c r="F54" s="79">
        <f>+B54*D54</f>
        <v>0</v>
      </c>
      <c r="G54" s="76"/>
      <c r="H54" s="80"/>
      <c r="I54" s="76"/>
    </row>
    <row r="55" spans="1:9" x14ac:dyDescent="0.25">
      <c r="A55" s="76" t="s">
        <v>232</v>
      </c>
      <c r="B55" s="77">
        <v>500</v>
      </c>
      <c r="C55" s="78">
        <f>3.95-0.04</f>
        <v>3.91</v>
      </c>
      <c r="D55" s="76">
        <v>0</v>
      </c>
      <c r="E55" s="79">
        <f>+B55*C55</f>
        <v>1955</v>
      </c>
      <c r="F55" s="79">
        <f>+B55*D55</f>
        <v>0</v>
      </c>
      <c r="G55" s="76"/>
      <c r="H55" s="80"/>
      <c r="I55" s="76"/>
    </row>
    <row r="56" spans="1:9" x14ac:dyDescent="0.25">
      <c r="A56" s="81" t="s">
        <v>41</v>
      </c>
      <c r="B56" s="77">
        <f>SUM(B8:B55)</f>
        <v>39992</v>
      </c>
      <c r="C56" s="78"/>
      <c r="D56" s="76"/>
      <c r="E56" s="79">
        <f>SUM(E8:E55)</f>
        <v>143134.80900000001</v>
      </c>
      <c r="F56" s="79">
        <f>SUM(F8:F55)</f>
        <v>125.834</v>
      </c>
      <c r="G56" s="76"/>
      <c r="H56" s="76"/>
      <c r="I56" s="76"/>
    </row>
    <row r="57" spans="1:9" x14ac:dyDescent="0.25">
      <c r="B57" s="41"/>
      <c r="E57" s="22"/>
      <c r="F57" s="22"/>
    </row>
    <row r="58" spans="1:9" x14ac:dyDescent="0.25">
      <c r="B58" s="41"/>
      <c r="E58" s="22"/>
      <c r="F58" s="22"/>
    </row>
    <row r="59" spans="1:9" x14ac:dyDescent="0.25">
      <c r="B59" s="41"/>
      <c r="E59" s="22"/>
      <c r="F59" s="22"/>
    </row>
    <row r="60" spans="1:9" x14ac:dyDescent="0.25">
      <c r="B60" s="41"/>
      <c r="E60" s="22"/>
      <c r="F60" s="22"/>
    </row>
    <row r="61" spans="1:9" ht="15.6" x14ac:dyDescent="0.3">
      <c r="A61" s="50" t="s">
        <v>69</v>
      </c>
      <c r="B61" s="51"/>
      <c r="C61" s="52"/>
      <c r="D61" s="53"/>
      <c r="E61" s="54"/>
      <c r="F61" s="54"/>
      <c r="G61" s="53"/>
      <c r="H61" s="53"/>
      <c r="I61" s="53"/>
    </row>
    <row r="62" spans="1:9" x14ac:dyDescent="0.25">
      <c r="A62" s="53" t="s">
        <v>201</v>
      </c>
      <c r="B62" s="51"/>
      <c r="C62" s="52"/>
      <c r="D62" s="53"/>
      <c r="E62" s="54"/>
      <c r="F62" s="54"/>
      <c r="G62" s="53"/>
      <c r="H62" s="53"/>
      <c r="I62" s="53"/>
    </row>
    <row r="63" spans="1:9" x14ac:dyDescent="0.25">
      <c r="A63" s="53" t="s">
        <v>128</v>
      </c>
      <c r="B63" s="51">
        <v>6081</v>
      </c>
      <c r="C63" s="52">
        <v>3.71</v>
      </c>
      <c r="D63" s="53">
        <v>-1.2500000000000001E-2</v>
      </c>
      <c r="E63" s="54">
        <f>+B63*C63</f>
        <v>22560.51</v>
      </c>
      <c r="F63" s="54">
        <f>+B63*D63</f>
        <v>-76.012500000000003</v>
      </c>
      <c r="G63" s="53"/>
      <c r="H63" s="53"/>
      <c r="I63" s="53"/>
    </row>
    <row r="64" spans="1:9" x14ac:dyDescent="0.25">
      <c r="A64" s="53" t="s">
        <v>33</v>
      </c>
      <c r="B64" s="51">
        <v>12059</v>
      </c>
      <c r="C64" s="52">
        <v>3.7</v>
      </c>
      <c r="D64" s="53">
        <v>-1.2500000000000001E-2</v>
      </c>
      <c r="E64" s="54">
        <f>+B64*C64</f>
        <v>44618.3</v>
      </c>
      <c r="F64" s="54">
        <f>+B64*D64</f>
        <v>-150.73750000000001</v>
      </c>
      <c r="G64" s="53"/>
      <c r="H64" s="53"/>
      <c r="I64" s="53"/>
    </row>
    <row r="65" spans="1:9" x14ac:dyDescent="0.25">
      <c r="A65" s="53" t="s">
        <v>33</v>
      </c>
      <c r="B65" s="51">
        <v>0</v>
      </c>
      <c r="C65" s="52">
        <v>0</v>
      </c>
      <c r="D65" s="53">
        <v>-1.2500000000000001E-2</v>
      </c>
      <c r="E65" s="54">
        <f>+B65*C65</f>
        <v>0</v>
      </c>
      <c r="F65" s="54">
        <f>+B65*D65</f>
        <v>0</v>
      </c>
      <c r="G65" s="53"/>
      <c r="H65" s="53"/>
      <c r="I65" s="53"/>
    </row>
    <row r="66" spans="1:9" x14ac:dyDescent="0.25">
      <c r="A66" s="53"/>
      <c r="B66" s="51"/>
      <c r="C66" s="52"/>
      <c r="D66" s="53"/>
      <c r="E66" s="54"/>
      <c r="F66" s="54"/>
      <c r="G66" s="53"/>
      <c r="H66" s="53"/>
      <c r="I66" s="53"/>
    </row>
    <row r="67" spans="1:9" x14ac:dyDescent="0.25">
      <c r="A67" s="53" t="s">
        <v>198</v>
      </c>
      <c r="B67" s="51"/>
      <c r="C67" s="52"/>
      <c r="D67" s="53"/>
      <c r="E67" s="54"/>
      <c r="F67" s="54"/>
      <c r="G67" s="53"/>
      <c r="H67" s="53"/>
      <c r="I67" s="53"/>
    </row>
    <row r="68" spans="1:9" x14ac:dyDescent="0.25">
      <c r="A68" s="53" t="s">
        <v>6</v>
      </c>
      <c r="B68" s="51">
        <v>10000</v>
      </c>
      <c r="C68" s="52">
        <v>3.6949999999999998</v>
      </c>
      <c r="D68" s="53">
        <v>-1.2500000000000001E-2</v>
      </c>
      <c r="E68" s="54">
        <f>+B68*C68</f>
        <v>36950</v>
      </c>
      <c r="F68" s="54">
        <f>+B68*D68</f>
        <v>-125</v>
      </c>
      <c r="G68" s="53"/>
      <c r="H68" s="53"/>
      <c r="I68" s="53"/>
    </row>
    <row r="69" spans="1:9" x14ac:dyDescent="0.25">
      <c r="A69" s="53" t="s">
        <v>40</v>
      </c>
      <c r="B69" s="51">
        <f>ROUND(+B68/(1-0.0045)-B68,0)</f>
        <v>45</v>
      </c>
      <c r="C69" s="52"/>
      <c r="D69" s="53"/>
      <c r="E69" s="54"/>
      <c r="F69" s="54"/>
      <c r="G69" s="53"/>
      <c r="H69" s="53"/>
      <c r="I69" s="53"/>
    </row>
    <row r="70" spans="1:9" x14ac:dyDescent="0.25">
      <c r="A70" s="53" t="s">
        <v>71</v>
      </c>
      <c r="B70" s="51">
        <v>1800</v>
      </c>
      <c r="C70" s="52">
        <v>3.6949999999999998</v>
      </c>
      <c r="D70" s="53">
        <v>-1.2500000000000001E-2</v>
      </c>
      <c r="E70" s="54">
        <f>+B70*C70</f>
        <v>6651</v>
      </c>
      <c r="F70" s="54">
        <f>+B70*D70</f>
        <v>-22.5</v>
      </c>
      <c r="G70" s="53"/>
      <c r="H70" s="53"/>
      <c r="I70" s="53"/>
    </row>
    <row r="71" spans="1:9" x14ac:dyDescent="0.25">
      <c r="A71" s="53" t="s">
        <v>40</v>
      </c>
      <c r="B71" s="51">
        <f>ROUND(+B70/(1-0.0045)-B70,0)</f>
        <v>8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5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5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5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5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5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5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5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5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5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5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5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5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8" thickBot="1" x14ac:dyDescent="0.3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5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5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5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5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5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5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5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5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5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5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8" thickBot="1" x14ac:dyDescent="0.3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5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8" thickBot="1" x14ac:dyDescent="0.3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5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5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5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5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5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5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5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5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5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5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5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5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5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5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8" thickBot="1" x14ac:dyDescent="0.3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5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8" thickBot="1" x14ac:dyDescent="0.3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5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5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5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5">
      <c r="A118" s="61" t="s">
        <v>79</v>
      </c>
      <c r="B118" s="62">
        <v>-5000</v>
      </c>
      <c r="C118" s="63">
        <v>3.93</v>
      </c>
      <c r="D118" s="40">
        <v>0</v>
      </c>
      <c r="E118" s="64">
        <f t="shared" si="7"/>
        <v>-19650</v>
      </c>
      <c r="F118" s="64">
        <f t="shared" si="8"/>
        <v>0</v>
      </c>
      <c r="G118" s="40"/>
      <c r="H118" s="40"/>
      <c r="I118" s="65"/>
    </row>
    <row r="119" spans="1:9" x14ac:dyDescent="0.25">
      <c r="A119" s="61" t="s">
        <v>110</v>
      </c>
      <c r="B119" s="62">
        <v>9495</v>
      </c>
      <c r="C119" s="63">
        <v>4.1100000000000003</v>
      </c>
      <c r="D119" s="40">
        <v>0</v>
      </c>
      <c r="E119" s="64">
        <f t="shared" si="7"/>
        <v>39024.450000000004</v>
      </c>
      <c r="F119" s="64">
        <f t="shared" si="8"/>
        <v>0</v>
      </c>
      <c r="G119" s="40"/>
      <c r="H119" s="40"/>
      <c r="I119" s="65"/>
    </row>
    <row r="120" spans="1:9" x14ac:dyDescent="0.25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5">
      <c r="A121" s="66" t="s">
        <v>107</v>
      </c>
      <c r="B121" s="67">
        <f>SUM(B115:B120)</f>
        <v>9495</v>
      </c>
      <c r="C121" s="63"/>
      <c r="D121" s="40"/>
      <c r="E121" s="64"/>
      <c r="F121" s="64"/>
      <c r="G121" s="40"/>
      <c r="H121" s="40"/>
      <c r="I121" s="65"/>
    </row>
    <row r="122" spans="1:9" x14ac:dyDescent="0.25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5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5">
      <c r="A124" s="61" t="s">
        <v>81</v>
      </c>
      <c r="B124" s="62">
        <v>0</v>
      </c>
      <c r="C124" s="62">
        <f>ROUND(+B124/(1-0.0823)-B124,0)</f>
        <v>0</v>
      </c>
      <c r="D124" s="40">
        <v>-6.7799999999999999E-2</v>
      </c>
      <c r="E124" s="64"/>
      <c r="F124" s="64">
        <f t="shared" si="9"/>
        <v>0</v>
      </c>
      <c r="G124" s="40"/>
      <c r="H124" s="40">
        <v>735047</v>
      </c>
      <c r="I124" s="65"/>
    </row>
    <row r="125" spans="1:9" x14ac:dyDescent="0.25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5">
      <c r="A126" s="61" t="s">
        <v>83</v>
      </c>
      <c r="B126" s="62">
        <v>0</v>
      </c>
      <c r="C126" s="62">
        <f>ROUND(+B126/(1-0.0796)-B126,0)</f>
        <v>0</v>
      </c>
      <c r="D126" s="40">
        <v>-0.1016</v>
      </c>
      <c r="E126" s="64"/>
      <c r="F126" s="64">
        <f t="shared" si="9"/>
        <v>0</v>
      </c>
      <c r="G126" s="40"/>
      <c r="H126" s="133">
        <v>821199</v>
      </c>
      <c r="I126" s="65"/>
    </row>
    <row r="127" spans="1:9" x14ac:dyDescent="0.25">
      <c r="A127" s="61" t="s">
        <v>106</v>
      </c>
      <c r="B127" s="62">
        <v>9495</v>
      </c>
      <c r="C127" s="62">
        <f>ROUND(+B127/(1-0.0505)-B127,0)</f>
        <v>505</v>
      </c>
      <c r="D127" s="40">
        <v>-8.14E-2</v>
      </c>
      <c r="E127" s="64"/>
      <c r="F127" s="64">
        <f t="shared" si="9"/>
        <v>-772.89300000000003</v>
      </c>
      <c r="G127" s="40"/>
      <c r="H127" s="133">
        <v>640187</v>
      </c>
      <c r="I127" s="65"/>
    </row>
    <row r="128" spans="1:9" x14ac:dyDescent="0.25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9"/>
        <v>0</v>
      </c>
      <c r="G128" s="40"/>
      <c r="H128" s="40">
        <v>749874</v>
      </c>
      <c r="I128" s="65"/>
    </row>
    <row r="129" spans="1:9" x14ac:dyDescent="0.25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9"/>
        <v>0</v>
      </c>
      <c r="G129" s="40"/>
      <c r="H129" s="40">
        <v>749875</v>
      </c>
      <c r="I129" s="65"/>
    </row>
    <row r="130" spans="1:9" x14ac:dyDescent="0.25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9"/>
        <v>0</v>
      </c>
      <c r="G130" s="40"/>
      <c r="H130" s="40">
        <v>749877</v>
      </c>
      <c r="I130" s="65"/>
    </row>
    <row r="131" spans="1:9" x14ac:dyDescent="0.25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9"/>
        <v>0</v>
      </c>
      <c r="G131" s="40"/>
      <c r="H131" s="40">
        <v>749878</v>
      </c>
      <c r="I131" s="65"/>
    </row>
    <row r="132" spans="1:9" x14ac:dyDescent="0.25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9"/>
        <v>0</v>
      </c>
      <c r="G132" s="40"/>
      <c r="H132" s="40">
        <v>749879</v>
      </c>
      <c r="I132" s="65"/>
    </row>
    <row r="133" spans="1:9" x14ac:dyDescent="0.25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5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5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5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5">
      <c r="A137" s="61"/>
      <c r="B137" s="62">
        <f>SUM(B123:B136)</f>
        <v>9495</v>
      </c>
      <c r="C137" s="62">
        <f>SUM(C123:C136)</f>
        <v>505</v>
      </c>
      <c r="D137" s="40"/>
      <c r="E137" s="64"/>
      <c r="F137" s="64"/>
      <c r="G137" s="40"/>
      <c r="H137" s="40"/>
      <c r="I137" s="65"/>
    </row>
    <row r="138" spans="1:9" ht="13.8" thickBot="1" x14ac:dyDescent="0.3">
      <c r="A138" s="68" t="s">
        <v>90</v>
      </c>
      <c r="B138" s="74">
        <f>+B137+C137</f>
        <v>10000</v>
      </c>
      <c r="C138" s="70"/>
      <c r="D138" s="71"/>
      <c r="E138" s="72"/>
      <c r="F138" s="72"/>
      <c r="G138" s="71"/>
      <c r="H138" s="71"/>
      <c r="I138" s="73"/>
    </row>
    <row r="139" spans="1:9" x14ac:dyDescent="0.25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5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5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5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5">
      <c r="A143" s="75" t="s">
        <v>42</v>
      </c>
      <c r="B143" s="51">
        <f>SUM(B138,B112,B94,B61:B84)</f>
        <v>39993</v>
      </c>
      <c r="C143" s="52"/>
      <c r="D143" s="53"/>
      <c r="E143" s="54">
        <f>SUM(E61:E142)</f>
        <v>152004.26</v>
      </c>
      <c r="F143" s="54">
        <f>SUM(F61:F142)</f>
        <v>-1147.143</v>
      </c>
      <c r="G143" s="53"/>
      <c r="H143" s="53"/>
      <c r="I143" s="53"/>
    </row>
    <row r="144" spans="1:9" x14ac:dyDescent="0.25">
      <c r="B144" s="41"/>
      <c r="E144" s="22"/>
      <c r="F144" s="22"/>
    </row>
    <row r="145" spans="1:7" x14ac:dyDescent="0.25">
      <c r="A145" t="s">
        <v>43</v>
      </c>
      <c r="B145" s="41">
        <f>+B56-B143</f>
        <v>-1</v>
      </c>
      <c r="E145" s="22">
        <f>+E143-E56</f>
        <v>8869.4510000000009</v>
      </c>
      <c r="F145" s="22">
        <f>+F143-F56</f>
        <v>-1272.9770000000001</v>
      </c>
      <c r="G145" s="23">
        <f>+F145+E145</f>
        <v>7596.4740000000011</v>
      </c>
    </row>
    <row r="146" spans="1:7" x14ac:dyDescent="0.25">
      <c r="B146" s="41"/>
    </row>
    <row r="147" spans="1:7" x14ac:dyDescent="0.25">
      <c r="B147" s="41"/>
      <c r="F147" s="2" t="s">
        <v>48</v>
      </c>
      <c r="G147" s="24">
        <f>+C157</f>
        <v>2855.3333333333335</v>
      </c>
    </row>
    <row r="148" spans="1:7" ht="13.8" thickBot="1" x14ac:dyDescent="0.3">
      <c r="B148" s="41"/>
      <c r="F148" t="s">
        <v>58</v>
      </c>
      <c r="G148" s="25">
        <f>+G145-G147</f>
        <v>4741.140666666668</v>
      </c>
    </row>
    <row r="149" spans="1:7" ht="13.8" thickTop="1" x14ac:dyDescent="0.25">
      <c r="B149" s="41"/>
    </row>
    <row r="150" spans="1:7" x14ac:dyDescent="0.25">
      <c r="B150" s="41"/>
    </row>
    <row r="151" spans="1:7" x14ac:dyDescent="0.25">
      <c r="B151" s="41"/>
    </row>
    <row r="152" spans="1:7" x14ac:dyDescent="0.25">
      <c r="A152" t="s">
        <v>49</v>
      </c>
      <c r="B152" s="30" t="s">
        <v>50</v>
      </c>
      <c r="C152" s="33">
        <v>28199</v>
      </c>
    </row>
    <row r="153" spans="1:7" x14ac:dyDescent="0.25">
      <c r="B153" s="30" t="s">
        <v>34</v>
      </c>
      <c r="C153" s="33">
        <v>2550</v>
      </c>
    </row>
    <row r="154" spans="1:7" x14ac:dyDescent="0.25">
      <c r="B154" s="30" t="s">
        <v>51</v>
      </c>
      <c r="C154" s="33">
        <v>54171</v>
      </c>
    </row>
    <row r="155" spans="1:7" x14ac:dyDescent="0.25">
      <c r="B155" s="30" t="s">
        <v>94</v>
      </c>
      <c r="C155" s="33">
        <v>740</v>
      </c>
    </row>
    <row r="156" spans="1:7" x14ac:dyDescent="0.25">
      <c r="C156" s="33">
        <f>SUM(C152:C155)</f>
        <v>85660</v>
      </c>
    </row>
    <row r="157" spans="1:7" x14ac:dyDescent="0.25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157"/>
  <sheetViews>
    <sheetView topLeftCell="A35" workbookViewId="0">
      <selection activeCell="C56" sqref="C56"/>
    </sheetView>
  </sheetViews>
  <sheetFormatPr defaultRowHeight="13.2" x14ac:dyDescent="0.25"/>
  <cols>
    <col min="1" max="1" width="21.6640625" customWidth="1"/>
    <col min="2" max="2" width="10.33203125" style="30" customWidth="1"/>
    <col min="3" max="3" width="13.33203125" style="33" customWidth="1"/>
    <col min="5" max="5" width="14.109375" customWidth="1"/>
    <col min="6" max="6" width="13.88671875" customWidth="1"/>
    <col min="7" max="7" width="14.109375" customWidth="1"/>
    <col min="8" max="8" width="11.33203125" customWidth="1"/>
  </cols>
  <sheetData>
    <row r="1" spans="1:9" x14ac:dyDescent="0.25">
      <c r="A1" s="2" t="s">
        <v>113</v>
      </c>
    </row>
    <row r="3" spans="1:9" x14ac:dyDescent="0.25">
      <c r="A3">
        <v>0.05</v>
      </c>
      <c r="C3" s="33" t="s">
        <v>44</v>
      </c>
      <c r="D3">
        <v>1.4E-2</v>
      </c>
      <c r="E3" t="s">
        <v>46</v>
      </c>
      <c r="F3">
        <v>9.5999999999999992E-3</v>
      </c>
    </row>
    <row r="4" spans="1:9" x14ac:dyDescent="0.25">
      <c r="A4">
        <v>2.2000000000000001E-3</v>
      </c>
      <c r="C4" s="33" t="s">
        <v>45</v>
      </c>
      <c r="D4">
        <v>1.03E-2</v>
      </c>
    </row>
    <row r="5" spans="1:9" x14ac:dyDescent="0.25">
      <c r="C5" s="33" t="s">
        <v>47</v>
      </c>
      <c r="D5">
        <v>6.2199999999999998E-2</v>
      </c>
    </row>
    <row r="6" spans="1:9" x14ac:dyDescent="0.25">
      <c r="E6" t="s">
        <v>36</v>
      </c>
    </row>
    <row r="7" spans="1:9" x14ac:dyDescent="0.25">
      <c r="A7" s="76" t="s">
        <v>35</v>
      </c>
      <c r="B7" s="77"/>
      <c r="C7" s="78" t="s">
        <v>36</v>
      </c>
      <c r="D7" s="76" t="s">
        <v>37</v>
      </c>
      <c r="E7" s="76" t="s">
        <v>38</v>
      </c>
      <c r="F7" s="76" t="s">
        <v>39</v>
      </c>
      <c r="G7" s="76"/>
      <c r="H7" s="76"/>
      <c r="I7" s="76"/>
    </row>
    <row r="8" spans="1:9" x14ac:dyDescent="0.25">
      <c r="A8" s="76" t="s">
        <v>95</v>
      </c>
      <c r="B8" s="77">
        <v>10000</v>
      </c>
      <c r="C8" s="78">
        <v>3.6</v>
      </c>
      <c r="D8" s="76">
        <v>0</v>
      </c>
      <c r="E8" s="79">
        <f t="shared" ref="E8:E20" si="0">+B8*C8</f>
        <v>36000</v>
      </c>
      <c r="F8" s="79">
        <f t="shared" ref="F8:F20" si="1">+B8*D8</f>
        <v>0</v>
      </c>
      <c r="G8" s="76"/>
      <c r="H8" s="76"/>
      <c r="I8" s="76"/>
    </row>
    <row r="9" spans="1:9" x14ac:dyDescent="0.25">
      <c r="A9" s="76" t="s">
        <v>92</v>
      </c>
      <c r="B9" s="77">
        <v>5000</v>
      </c>
      <c r="C9" s="78">
        <v>3.585</v>
      </c>
      <c r="D9" s="76">
        <v>0</v>
      </c>
      <c r="E9" s="79">
        <f t="shared" si="0"/>
        <v>17925</v>
      </c>
      <c r="F9" s="79">
        <f t="shared" si="1"/>
        <v>0</v>
      </c>
      <c r="G9" s="76"/>
      <c r="H9" s="76"/>
      <c r="I9" s="76"/>
    </row>
    <row r="10" spans="1:9" x14ac:dyDescent="0.25">
      <c r="A10" s="76" t="s">
        <v>92</v>
      </c>
      <c r="B10" s="77">
        <v>5000</v>
      </c>
      <c r="C10" s="78">
        <v>3.59</v>
      </c>
      <c r="D10" s="76">
        <v>0</v>
      </c>
      <c r="E10" s="79">
        <f t="shared" si="0"/>
        <v>17950</v>
      </c>
      <c r="F10" s="79">
        <f t="shared" si="1"/>
        <v>0</v>
      </c>
      <c r="G10" s="76"/>
      <c r="H10" s="76"/>
      <c r="I10" s="76"/>
    </row>
    <row r="11" spans="1:9" x14ac:dyDescent="0.25">
      <c r="A11" s="76" t="s">
        <v>127</v>
      </c>
      <c r="B11" s="77">
        <v>0</v>
      </c>
      <c r="C11" s="78">
        <v>0</v>
      </c>
      <c r="D11" s="76">
        <v>0</v>
      </c>
      <c r="E11" s="79">
        <f t="shared" si="0"/>
        <v>0</v>
      </c>
      <c r="F11" s="79">
        <f t="shared" si="1"/>
        <v>0</v>
      </c>
      <c r="G11" s="76"/>
      <c r="H11" s="76"/>
      <c r="I11" s="76"/>
    </row>
    <row r="12" spans="1:9" s="29" customFormat="1" x14ac:dyDescent="0.25">
      <c r="A12" s="76" t="s">
        <v>32</v>
      </c>
      <c r="B12" s="77">
        <v>0</v>
      </c>
      <c r="C12" s="78">
        <v>0</v>
      </c>
      <c r="D12" s="76">
        <v>0</v>
      </c>
      <c r="E12" s="79">
        <f t="shared" si="0"/>
        <v>0</v>
      </c>
      <c r="F12" s="79">
        <f t="shared" si="1"/>
        <v>0</v>
      </c>
      <c r="G12" s="76"/>
      <c r="H12" s="76"/>
      <c r="I12" s="76"/>
    </row>
    <row r="13" spans="1:9" s="29" customFormat="1" x14ac:dyDescent="0.25">
      <c r="A13" s="76" t="s">
        <v>32</v>
      </c>
      <c r="B13" s="77">
        <v>0</v>
      </c>
      <c r="C13" s="78">
        <v>0</v>
      </c>
      <c r="D13" s="76">
        <v>0</v>
      </c>
      <c r="E13" s="79">
        <f t="shared" si="0"/>
        <v>0</v>
      </c>
      <c r="F13" s="79">
        <f t="shared" si="1"/>
        <v>0</v>
      </c>
      <c r="G13" s="76"/>
      <c r="H13" s="76"/>
      <c r="I13" s="76"/>
    </row>
    <row r="14" spans="1:9" x14ac:dyDescent="0.25">
      <c r="A14" s="76" t="s">
        <v>149</v>
      </c>
      <c r="B14" s="77">
        <v>0</v>
      </c>
      <c r="C14" s="78">
        <v>0</v>
      </c>
      <c r="D14" s="76">
        <v>0</v>
      </c>
      <c r="E14" s="79">
        <f t="shared" si="0"/>
        <v>0</v>
      </c>
      <c r="F14" s="79">
        <f t="shared" si="1"/>
        <v>0</v>
      </c>
      <c r="G14" s="76"/>
      <c r="H14" s="76"/>
      <c r="I14" s="76"/>
    </row>
    <row r="15" spans="1:9" x14ac:dyDescent="0.25">
      <c r="A15" s="76" t="s">
        <v>95</v>
      </c>
      <c r="B15" s="77">
        <v>0</v>
      </c>
      <c r="C15" s="78">
        <v>0</v>
      </c>
      <c r="D15" s="76">
        <v>0</v>
      </c>
      <c r="E15" s="79">
        <f>+B15*C15</f>
        <v>0</v>
      </c>
      <c r="F15" s="79">
        <f>+B15*D15</f>
        <v>0</v>
      </c>
      <c r="G15" s="76"/>
      <c r="H15" s="76"/>
      <c r="I15" s="76"/>
    </row>
    <row r="16" spans="1:9" x14ac:dyDescent="0.25">
      <c r="A16" s="76" t="s">
        <v>109</v>
      </c>
      <c r="B16" s="77">
        <v>0</v>
      </c>
      <c r="C16" s="78">
        <v>0</v>
      </c>
      <c r="D16" s="76">
        <v>0</v>
      </c>
      <c r="E16" s="79">
        <f t="shared" si="0"/>
        <v>0</v>
      </c>
      <c r="F16" s="79">
        <f t="shared" si="1"/>
        <v>0</v>
      </c>
      <c r="G16" s="76"/>
      <c r="H16" s="76"/>
      <c r="I16" s="76"/>
    </row>
    <row r="17" spans="1:9" x14ac:dyDescent="0.25">
      <c r="A17" s="76" t="s">
        <v>95</v>
      </c>
      <c r="B17" s="77">
        <v>0</v>
      </c>
      <c r="C17" s="78">
        <v>0</v>
      </c>
      <c r="D17" s="76">
        <v>0</v>
      </c>
      <c r="E17" s="79">
        <f t="shared" si="0"/>
        <v>0</v>
      </c>
      <c r="F17" s="79">
        <f t="shared" si="1"/>
        <v>0</v>
      </c>
      <c r="G17" s="76"/>
      <c r="H17" s="76"/>
      <c r="I17" s="76"/>
    </row>
    <row r="18" spans="1:9" x14ac:dyDescent="0.25">
      <c r="A18" s="76" t="s">
        <v>95</v>
      </c>
      <c r="B18" s="77">
        <v>0</v>
      </c>
      <c r="C18" s="78">
        <v>0</v>
      </c>
      <c r="D18" s="76">
        <v>0</v>
      </c>
      <c r="E18" s="79">
        <f t="shared" si="0"/>
        <v>0</v>
      </c>
      <c r="F18" s="79">
        <f t="shared" si="1"/>
        <v>0</v>
      </c>
      <c r="G18" s="76"/>
      <c r="H18" s="76"/>
      <c r="I18" s="76"/>
    </row>
    <row r="19" spans="1:9" x14ac:dyDescent="0.25">
      <c r="A19" s="76" t="s">
        <v>111</v>
      </c>
      <c r="B19" s="77">
        <v>0</v>
      </c>
      <c r="C19" s="78">
        <v>0</v>
      </c>
      <c r="D19" s="76">
        <v>1.2500000000000001E-2</v>
      </c>
      <c r="E19" s="79">
        <f>+B19*C19</f>
        <v>0</v>
      </c>
      <c r="F19" s="79">
        <f>+B19*D19</f>
        <v>0</v>
      </c>
      <c r="G19" s="76"/>
      <c r="H19" s="76"/>
      <c r="I19" s="76"/>
    </row>
    <row r="20" spans="1:9" s="29" customFormat="1" x14ac:dyDescent="0.25">
      <c r="A20" s="76" t="s">
        <v>111</v>
      </c>
      <c r="B20" s="77">
        <v>0</v>
      </c>
      <c r="C20" s="78">
        <v>0</v>
      </c>
      <c r="D20" s="76">
        <v>1.2500000000000001E-2</v>
      </c>
      <c r="E20" s="79">
        <f t="shared" si="0"/>
        <v>0</v>
      </c>
      <c r="F20" s="79">
        <f t="shared" si="1"/>
        <v>0</v>
      </c>
      <c r="G20" s="76"/>
      <c r="H20" s="76"/>
      <c r="I20" s="76"/>
    </row>
    <row r="21" spans="1:9" x14ac:dyDescent="0.25">
      <c r="A21" s="76"/>
      <c r="B21" s="77"/>
      <c r="C21" s="78"/>
      <c r="D21" s="76"/>
      <c r="E21" s="79"/>
      <c r="F21" s="79"/>
      <c r="G21" s="76"/>
      <c r="H21" s="76"/>
      <c r="I21" s="76"/>
    </row>
    <row r="22" spans="1:9" x14ac:dyDescent="0.25">
      <c r="A22" s="76" t="s">
        <v>126</v>
      </c>
      <c r="B22" s="77">
        <v>0</v>
      </c>
      <c r="C22" s="78">
        <v>0</v>
      </c>
      <c r="D22" s="76">
        <v>0</v>
      </c>
      <c r="E22" s="79">
        <f>+B22*C22</f>
        <v>0</v>
      </c>
      <c r="F22" s="79">
        <f>+B22*D22</f>
        <v>0</v>
      </c>
      <c r="G22" s="76"/>
      <c r="H22" s="76"/>
      <c r="I22" s="76"/>
    </row>
    <row r="23" spans="1:9" x14ac:dyDescent="0.25">
      <c r="A23" s="76" t="s">
        <v>97</v>
      </c>
      <c r="B23" s="77">
        <v>0</v>
      </c>
      <c r="C23" s="78">
        <v>0</v>
      </c>
      <c r="D23" s="76">
        <v>0</v>
      </c>
      <c r="E23" s="79">
        <f>+B23*C23</f>
        <v>0</v>
      </c>
      <c r="F23" s="79">
        <f>+B23*D23</f>
        <v>0</v>
      </c>
      <c r="G23" s="76"/>
      <c r="H23" s="76"/>
      <c r="I23" s="76"/>
    </row>
    <row r="24" spans="1:9" x14ac:dyDescent="0.25">
      <c r="A24" s="76"/>
      <c r="B24" s="77"/>
      <c r="C24" s="78"/>
      <c r="D24" s="76"/>
      <c r="E24" s="79"/>
      <c r="F24" s="79"/>
      <c r="G24" s="76"/>
      <c r="H24" s="76"/>
      <c r="I24" s="76"/>
    </row>
    <row r="25" spans="1:9" x14ac:dyDescent="0.25">
      <c r="A25" s="76" t="s">
        <v>119</v>
      </c>
      <c r="B25" s="77">
        <v>0</v>
      </c>
      <c r="C25" s="78">
        <v>0</v>
      </c>
      <c r="D25" s="76">
        <v>0</v>
      </c>
      <c r="E25" s="79">
        <f>+B25*C25</f>
        <v>0</v>
      </c>
      <c r="F25" s="79">
        <f>+B25*D25</f>
        <v>0</v>
      </c>
      <c r="G25" s="76"/>
      <c r="H25" s="76"/>
      <c r="I25" s="76"/>
    </row>
    <row r="26" spans="1:9" x14ac:dyDescent="0.25">
      <c r="A26" s="76" t="s">
        <v>120</v>
      </c>
      <c r="B26" s="77">
        <v>0</v>
      </c>
      <c r="C26" s="78">
        <v>0</v>
      </c>
      <c r="D26" s="76">
        <v>0</v>
      </c>
      <c r="E26" s="79">
        <f>+B26*C26</f>
        <v>0</v>
      </c>
      <c r="F26" s="79">
        <f>+B26*D26</f>
        <v>0</v>
      </c>
      <c r="G26" s="76"/>
      <c r="H26" s="76"/>
      <c r="I26" s="76"/>
    </row>
    <row r="27" spans="1:9" s="29" customFormat="1" x14ac:dyDescent="0.25">
      <c r="A27" s="76" t="s">
        <v>93</v>
      </c>
      <c r="B27" s="77">
        <v>0</v>
      </c>
      <c r="C27" s="78">
        <v>0</v>
      </c>
      <c r="D27" s="76">
        <v>0</v>
      </c>
      <c r="E27" s="79">
        <f>+B27*C27</f>
        <v>0</v>
      </c>
      <c r="F27" s="79">
        <f>+B27*D27</f>
        <v>0</v>
      </c>
      <c r="G27" s="76"/>
      <c r="H27" s="76"/>
      <c r="I27" s="76"/>
    </row>
    <row r="28" spans="1:9" x14ac:dyDescent="0.25">
      <c r="A28" s="76" t="s">
        <v>93</v>
      </c>
      <c r="B28" s="77">
        <v>0</v>
      </c>
      <c r="C28" s="78">
        <v>0</v>
      </c>
      <c r="D28" s="76">
        <v>0</v>
      </c>
      <c r="E28" s="79">
        <f>+B28*C28</f>
        <v>0</v>
      </c>
      <c r="F28" s="79">
        <f>+B28*D28</f>
        <v>0</v>
      </c>
      <c r="G28" s="76"/>
      <c r="H28" s="76"/>
      <c r="I28" s="76"/>
    </row>
    <row r="29" spans="1:9" x14ac:dyDescent="0.25">
      <c r="A29" s="76" t="s">
        <v>68</v>
      </c>
      <c r="B29" s="77">
        <v>0</v>
      </c>
      <c r="C29" s="78">
        <v>0</v>
      </c>
      <c r="D29" s="76">
        <v>0</v>
      </c>
      <c r="E29" s="79">
        <f>+B29*C29</f>
        <v>0</v>
      </c>
      <c r="F29" s="79">
        <f>+B29*D29</f>
        <v>0</v>
      </c>
      <c r="G29" s="76"/>
      <c r="H29" s="76"/>
      <c r="I29" s="76"/>
    </row>
    <row r="30" spans="1:9" x14ac:dyDescent="0.25">
      <c r="A30" s="76"/>
      <c r="B30" s="77"/>
      <c r="C30" s="78"/>
      <c r="D30" s="76"/>
      <c r="E30" s="79"/>
      <c r="F30" s="79"/>
      <c r="G30" s="76"/>
      <c r="H30" s="76"/>
      <c r="I30" s="76"/>
    </row>
    <row r="31" spans="1:9" x14ac:dyDescent="0.25">
      <c r="A31" s="76" t="s">
        <v>121</v>
      </c>
      <c r="B31" s="77">
        <v>10433</v>
      </c>
      <c r="C31" s="78">
        <v>3.63</v>
      </c>
      <c r="D31" s="76">
        <v>0</v>
      </c>
      <c r="E31" s="79">
        <f>+B31*C31</f>
        <v>37871.79</v>
      </c>
      <c r="F31" s="79">
        <f>+B31*D31</f>
        <v>0</v>
      </c>
      <c r="G31" s="76"/>
      <c r="H31" s="76"/>
      <c r="I31" s="76"/>
    </row>
    <row r="32" spans="1:9" s="29" customFormat="1" x14ac:dyDescent="0.25">
      <c r="A32" s="76" t="s">
        <v>112</v>
      </c>
      <c r="B32" s="77">
        <v>-5000</v>
      </c>
      <c r="C32" s="78">
        <v>3.58</v>
      </c>
      <c r="D32" s="76">
        <v>0</v>
      </c>
      <c r="E32" s="79">
        <f>+B32*C32</f>
        <v>-17900</v>
      </c>
      <c r="F32" s="79">
        <f>+B32*D32</f>
        <v>0</v>
      </c>
      <c r="G32" s="76"/>
      <c r="H32" s="76"/>
      <c r="I32" s="76"/>
    </row>
    <row r="33" spans="1:9" s="29" customFormat="1" x14ac:dyDescent="0.25">
      <c r="A33" s="76" t="s">
        <v>125</v>
      </c>
      <c r="B33" s="77"/>
      <c r="C33" s="78">
        <v>0</v>
      </c>
      <c r="D33" s="76"/>
      <c r="E33" s="79"/>
      <c r="F33" s="79"/>
      <c r="G33" s="76"/>
      <c r="H33" s="76"/>
      <c r="I33" s="76"/>
    </row>
    <row r="34" spans="1:9" s="29" customFormat="1" x14ac:dyDescent="0.25">
      <c r="A34" s="76" t="s">
        <v>67</v>
      </c>
      <c r="B34" s="77">
        <v>0</v>
      </c>
      <c r="C34" s="78">
        <v>0</v>
      </c>
      <c r="D34" s="76">
        <v>0</v>
      </c>
      <c r="E34" s="79">
        <f>+B34*C34</f>
        <v>0</v>
      </c>
      <c r="F34" s="79">
        <f>+B34*D34</f>
        <v>0</v>
      </c>
      <c r="G34" s="76"/>
      <c r="H34" s="76"/>
      <c r="I34" s="76"/>
    </row>
    <row r="35" spans="1:9" x14ac:dyDescent="0.25">
      <c r="A35" s="76" t="s">
        <v>112</v>
      </c>
      <c r="B35" s="77">
        <v>0</v>
      </c>
      <c r="C35" s="78">
        <v>0</v>
      </c>
      <c r="D35" s="76">
        <v>0</v>
      </c>
      <c r="E35" s="79">
        <f>+B35*C35</f>
        <v>0</v>
      </c>
      <c r="F35" s="79">
        <f>+B35*D35</f>
        <v>0</v>
      </c>
      <c r="G35" s="76"/>
      <c r="H35" s="76"/>
      <c r="I35" s="76"/>
    </row>
    <row r="36" spans="1:9" x14ac:dyDescent="0.25">
      <c r="A36" s="76"/>
      <c r="B36" s="77"/>
      <c r="C36" s="78"/>
      <c r="D36" s="76"/>
      <c r="E36" s="79"/>
      <c r="F36" s="79"/>
      <c r="G36" s="76"/>
      <c r="H36" s="76"/>
      <c r="I36" s="76"/>
    </row>
    <row r="37" spans="1:9" x14ac:dyDescent="0.25">
      <c r="A37" s="76" t="s">
        <v>104</v>
      </c>
      <c r="B37" s="77">
        <v>0</v>
      </c>
      <c r="C37" s="78">
        <v>0</v>
      </c>
      <c r="D37" s="76">
        <v>0</v>
      </c>
      <c r="E37" s="79">
        <f>+B37*C37</f>
        <v>0</v>
      </c>
      <c r="F37" s="79">
        <f>+B37*D37</f>
        <v>0</v>
      </c>
      <c r="G37" s="76"/>
      <c r="H37" s="76"/>
      <c r="I37" s="76"/>
    </row>
    <row r="38" spans="1:9" x14ac:dyDescent="0.25">
      <c r="A38" s="76" t="s">
        <v>105</v>
      </c>
      <c r="B38" s="77">
        <v>0</v>
      </c>
      <c r="C38" s="78">
        <v>0</v>
      </c>
      <c r="D38" s="76">
        <v>0</v>
      </c>
      <c r="E38" s="79">
        <f>+B38*C38</f>
        <v>0</v>
      </c>
      <c r="F38" s="79">
        <f>+B38*D38</f>
        <v>0</v>
      </c>
      <c r="G38" s="76"/>
      <c r="H38" s="76"/>
      <c r="I38" s="76"/>
    </row>
    <row r="39" spans="1:9" x14ac:dyDescent="0.25">
      <c r="A39" s="76"/>
      <c r="B39" s="77"/>
      <c r="C39" s="78"/>
      <c r="D39" s="76"/>
      <c r="E39" s="79"/>
      <c r="F39" s="79"/>
      <c r="G39" s="76"/>
      <c r="H39" s="76"/>
      <c r="I39" s="76"/>
    </row>
    <row r="40" spans="1:9" x14ac:dyDescent="0.25">
      <c r="A40" s="76" t="s">
        <v>101</v>
      </c>
      <c r="B40" s="77">
        <v>0</v>
      </c>
      <c r="C40" s="78">
        <v>0</v>
      </c>
      <c r="D40" s="76">
        <v>1.2500000000000001E-2</v>
      </c>
      <c r="E40" s="79">
        <f>+B40*C40</f>
        <v>0</v>
      </c>
      <c r="F40" s="79">
        <f>+B40*D40</f>
        <v>0</v>
      </c>
      <c r="G40" s="76"/>
      <c r="H40" s="76"/>
      <c r="I40" s="76"/>
    </row>
    <row r="41" spans="1:9" x14ac:dyDescent="0.25">
      <c r="A41" s="76" t="s">
        <v>101</v>
      </c>
      <c r="B41" s="77">
        <v>0</v>
      </c>
      <c r="C41" s="78">
        <v>0</v>
      </c>
      <c r="D41" s="76">
        <v>0</v>
      </c>
      <c r="E41" s="79">
        <f>+B41*C41</f>
        <v>0</v>
      </c>
      <c r="F41" s="79">
        <f>+B41*D41</f>
        <v>0</v>
      </c>
      <c r="G41" s="76"/>
      <c r="H41" s="76"/>
      <c r="I41" s="76"/>
    </row>
    <row r="42" spans="1:9" x14ac:dyDescent="0.25">
      <c r="A42" s="76"/>
      <c r="B42" s="77"/>
      <c r="C42" s="78"/>
      <c r="D42" s="76"/>
      <c r="E42" s="79"/>
      <c r="F42" s="79"/>
      <c r="G42" s="76"/>
      <c r="H42" s="76"/>
      <c r="I42" s="76"/>
    </row>
    <row r="43" spans="1:9" x14ac:dyDescent="0.25">
      <c r="A43" s="76" t="s">
        <v>226</v>
      </c>
      <c r="B43" s="77">
        <v>8237</v>
      </c>
      <c r="C43" s="78">
        <f>3.738+0.23</f>
        <v>3.968</v>
      </c>
      <c r="D43" s="76">
        <v>0</v>
      </c>
      <c r="E43" s="79">
        <f t="shared" ref="E43:E56" si="2">+B43*C43</f>
        <v>32684.416000000001</v>
      </c>
      <c r="F43" s="79">
        <f t="shared" ref="F43:F56" si="3">+B43*D43</f>
        <v>0</v>
      </c>
      <c r="G43" s="76"/>
      <c r="H43" s="80"/>
      <c r="I43" s="76"/>
    </row>
    <row r="44" spans="1:9" x14ac:dyDescent="0.25">
      <c r="A44" s="76" t="s">
        <v>225</v>
      </c>
      <c r="B44" s="77">
        <v>0</v>
      </c>
      <c r="C44" s="78">
        <v>0</v>
      </c>
      <c r="D44" s="76">
        <v>0</v>
      </c>
      <c r="E44" s="79">
        <f t="shared" si="2"/>
        <v>0</v>
      </c>
      <c r="F44" s="79">
        <f t="shared" si="3"/>
        <v>0</v>
      </c>
      <c r="G44" s="76"/>
      <c r="H44" s="80"/>
      <c r="I44" s="76"/>
    </row>
    <row r="45" spans="1:9" x14ac:dyDescent="0.25">
      <c r="A45" s="76" t="s">
        <v>227</v>
      </c>
      <c r="B45" s="77">
        <v>-2524</v>
      </c>
      <c r="C45" s="78">
        <f>3.738+0.295</f>
        <v>4.0330000000000004</v>
      </c>
      <c r="D45" s="76">
        <v>-3.5000000000000001E-3</v>
      </c>
      <c r="E45" s="79">
        <f t="shared" si="2"/>
        <v>-10179.292000000001</v>
      </c>
      <c r="F45" s="79">
        <f t="shared" si="3"/>
        <v>8.8339999999999996</v>
      </c>
      <c r="G45" s="76"/>
      <c r="H45" s="80"/>
      <c r="I45" s="76"/>
    </row>
    <row r="46" spans="1:9" x14ac:dyDescent="0.25">
      <c r="A46" s="76" t="s">
        <v>228</v>
      </c>
      <c r="B46" s="77">
        <f>ROUND(+B45/(1-0.02)-B45,0)</f>
        <v>-52</v>
      </c>
      <c r="C46" s="78">
        <v>0</v>
      </c>
      <c r="D46" s="76">
        <v>0</v>
      </c>
      <c r="E46" s="79">
        <f t="shared" si="2"/>
        <v>0</v>
      </c>
      <c r="F46" s="79">
        <f t="shared" si="3"/>
        <v>0</v>
      </c>
      <c r="G46" s="76"/>
      <c r="H46" s="80"/>
      <c r="I46" s="76"/>
    </row>
    <row r="47" spans="1:9" x14ac:dyDescent="0.25">
      <c r="A47" s="76" t="s">
        <v>6</v>
      </c>
      <c r="B47" s="77">
        <v>0</v>
      </c>
      <c r="C47" s="78">
        <v>0</v>
      </c>
      <c r="D47" s="76">
        <v>0</v>
      </c>
      <c r="E47" s="79">
        <f t="shared" si="2"/>
        <v>0</v>
      </c>
      <c r="F47" s="79">
        <f t="shared" si="3"/>
        <v>0</v>
      </c>
      <c r="G47" s="76"/>
      <c r="H47" s="80"/>
      <c r="I47" s="76"/>
    </row>
    <row r="48" spans="1:9" x14ac:dyDescent="0.25">
      <c r="A48" s="76" t="s">
        <v>229</v>
      </c>
      <c r="B48" s="77">
        <f>-6000+496</f>
        <v>-5504</v>
      </c>
      <c r="C48" s="78">
        <f>3.738+0.425</f>
        <v>4.1630000000000003</v>
      </c>
      <c r="D48" s="76">
        <v>-1.95E-2</v>
      </c>
      <c r="E48" s="79">
        <f t="shared" si="2"/>
        <v>-22913.152000000002</v>
      </c>
      <c r="F48" s="79">
        <f t="shared" si="3"/>
        <v>107.328</v>
      </c>
      <c r="G48" s="76"/>
      <c r="H48" s="80"/>
      <c r="I48" s="76"/>
    </row>
    <row r="49" spans="1:9" x14ac:dyDescent="0.25">
      <c r="A49" s="76" t="s">
        <v>229</v>
      </c>
      <c r="B49" s="77">
        <v>0</v>
      </c>
      <c r="C49" s="78">
        <v>0</v>
      </c>
      <c r="D49" s="76"/>
      <c r="E49" s="79">
        <f t="shared" si="2"/>
        <v>0</v>
      </c>
      <c r="F49" s="79">
        <f t="shared" si="3"/>
        <v>0</v>
      </c>
      <c r="G49" s="76"/>
      <c r="H49" s="80"/>
      <c r="I49" s="76"/>
    </row>
    <row r="50" spans="1:9" x14ac:dyDescent="0.25">
      <c r="A50" s="76" t="s">
        <v>230</v>
      </c>
      <c r="B50" s="77">
        <f>ROUND((+B48+B49)/(1-0.0081)-(+B48+B49),0)</f>
        <v>-45</v>
      </c>
      <c r="C50" s="78"/>
      <c r="D50" s="76">
        <v>0</v>
      </c>
      <c r="E50" s="79">
        <f t="shared" si="2"/>
        <v>0</v>
      </c>
      <c r="F50" s="79">
        <f t="shared" si="3"/>
        <v>0</v>
      </c>
      <c r="G50" s="76"/>
      <c r="H50" s="80"/>
      <c r="I50" s="76"/>
    </row>
    <row r="51" spans="1:9" x14ac:dyDescent="0.25">
      <c r="A51" s="76" t="s">
        <v>233</v>
      </c>
      <c r="B51" s="77">
        <f>ROUND((+B48+B49+B50)/0.98-(B48+B49+B50),0)</f>
        <v>-113</v>
      </c>
      <c r="C51" s="78"/>
      <c r="D51" s="76">
        <v>0</v>
      </c>
      <c r="E51" s="79">
        <f t="shared" si="2"/>
        <v>0</v>
      </c>
      <c r="F51" s="79">
        <f t="shared" si="3"/>
        <v>0</v>
      </c>
      <c r="G51" s="76"/>
      <c r="H51" s="80"/>
      <c r="I51" s="76"/>
    </row>
    <row r="52" spans="1:9" x14ac:dyDescent="0.25">
      <c r="A52" s="76"/>
      <c r="B52" s="77"/>
      <c r="C52" s="78"/>
      <c r="D52" s="76"/>
      <c r="E52" s="79"/>
      <c r="F52" s="79"/>
      <c r="G52" s="76"/>
      <c r="H52" s="80"/>
      <c r="I52" s="76"/>
    </row>
    <row r="53" spans="1:9" x14ac:dyDescent="0.25">
      <c r="A53" s="76"/>
      <c r="B53" s="77"/>
      <c r="C53" s="78"/>
      <c r="D53" s="76"/>
      <c r="E53" s="79"/>
      <c r="F53" s="79"/>
      <c r="G53" s="76"/>
      <c r="H53" s="80"/>
      <c r="I53" s="76"/>
    </row>
    <row r="54" spans="1:9" x14ac:dyDescent="0.25">
      <c r="A54" s="76" t="s">
        <v>229</v>
      </c>
      <c r="B54" s="77">
        <v>-496</v>
      </c>
      <c r="C54" s="78">
        <f>3.738+0.425</f>
        <v>4.1630000000000003</v>
      </c>
      <c r="D54" s="76">
        <v>-1.95E-2</v>
      </c>
      <c r="E54" s="79">
        <f t="shared" si="2"/>
        <v>-2064.848</v>
      </c>
      <c r="F54" s="79">
        <f t="shared" si="3"/>
        <v>9.6720000000000006</v>
      </c>
      <c r="G54" s="76"/>
      <c r="H54" s="80"/>
      <c r="I54" s="76"/>
    </row>
    <row r="55" spans="1:9" x14ac:dyDescent="0.25">
      <c r="A55" s="76" t="s">
        <v>230</v>
      </c>
      <c r="B55" s="77">
        <f>ROUND(+B54/(1-0.0081)-B54,0)</f>
        <v>-4</v>
      </c>
      <c r="C55" s="78">
        <v>0</v>
      </c>
      <c r="D55" s="76">
        <v>0</v>
      </c>
      <c r="E55" s="79">
        <f t="shared" si="2"/>
        <v>0</v>
      </c>
      <c r="F55" s="79">
        <f t="shared" si="3"/>
        <v>0</v>
      </c>
      <c r="G55" s="76"/>
      <c r="H55" s="80"/>
      <c r="I55" s="76"/>
    </row>
    <row r="56" spans="1:9" x14ac:dyDescent="0.25">
      <c r="A56" s="76" t="s">
        <v>232</v>
      </c>
      <c r="B56" s="77">
        <v>500</v>
      </c>
      <c r="C56" s="78">
        <f>3.95-0.04</f>
        <v>3.91</v>
      </c>
      <c r="D56" s="76">
        <v>0</v>
      </c>
      <c r="E56" s="79">
        <f t="shared" si="2"/>
        <v>1955</v>
      </c>
      <c r="F56" s="79">
        <f t="shared" si="3"/>
        <v>0</v>
      </c>
      <c r="G56" s="76"/>
      <c r="H56" s="80"/>
      <c r="I56" s="76"/>
    </row>
    <row r="57" spans="1:9" x14ac:dyDescent="0.25">
      <c r="A57" s="76" t="s">
        <v>70</v>
      </c>
      <c r="B57" s="77">
        <v>0</v>
      </c>
      <c r="C57" s="78">
        <v>0</v>
      </c>
      <c r="D57" s="76">
        <v>0</v>
      </c>
      <c r="E57" s="79">
        <f>+B57*C57</f>
        <v>0</v>
      </c>
      <c r="F57" s="79">
        <f>+B57*D57</f>
        <v>0</v>
      </c>
      <c r="G57" s="76"/>
      <c r="H57" s="80"/>
      <c r="I57" s="76"/>
    </row>
    <row r="58" spans="1:9" x14ac:dyDescent="0.25">
      <c r="A58" s="81" t="s">
        <v>41</v>
      </c>
      <c r="B58" s="77">
        <f>SUM(B8:B57)</f>
        <v>25432</v>
      </c>
      <c r="C58" s="78"/>
      <c r="D58" s="76"/>
      <c r="E58" s="79">
        <f>SUM(E8:E57)</f>
        <v>91328.914000000004</v>
      </c>
      <c r="F58" s="79">
        <f>SUM(F8:F57)</f>
        <v>125.834</v>
      </c>
      <c r="G58" s="76"/>
      <c r="H58" s="76"/>
      <c r="I58" s="76"/>
    </row>
    <row r="59" spans="1:9" x14ac:dyDescent="0.25">
      <c r="B59" s="41"/>
      <c r="E59" s="22"/>
      <c r="F59" s="22"/>
    </row>
    <row r="60" spans="1:9" x14ac:dyDescent="0.25">
      <c r="B60" s="41"/>
      <c r="E60" s="22"/>
      <c r="F60" s="22"/>
    </row>
    <row r="61" spans="1:9" x14ac:dyDescent="0.25">
      <c r="B61" s="41"/>
      <c r="E61" s="22"/>
      <c r="F61" s="22"/>
    </row>
    <row r="62" spans="1:9" x14ac:dyDescent="0.25">
      <c r="B62" s="41"/>
      <c r="E62" s="22"/>
      <c r="F62" s="22"/>
    </row>
    <row r="63" spans="1:9" ht="15.6" x14ac:dyDescent="0.3">
      <c r="A63" s="50" t="s">
        <v>69</v>
      </c>
      <c r="B63" s="51"/>
      <c r="C63" s="52"/>
      <c r="D63" s="53"/>
      <c r="E63" s="54"/>
      <c r="F63" s="54"/>
      <c r="G63" s="53"/>
      <c r="H63" s="53"/>
      <c r="I63" s="53"/>
    </row>
    <row r="64" spans="1:9" x14ac:dyDescent="0.25">
      <c r="A64" s="53" t="s">
        <v>201</v>
      </c>
      <c r="B64" s="51"/>
      <c r="C64" s="52"/>
      <c r="D64" s="53"/>
      <c r="E64" s="54"/>
      <c r="F64" s="54"/>
      <c r="G64" s="53"/>
      <c r="H64" s="53"/>
      <c r="I64" s="53"/>
    </row>
    <row r="65" spans="1:9" x14ac:dyDescent="0.25">
      <c r="A65" s="53" t="s">
        <v>128</v>
      </c>
      <c r="B65" s="51">
        <v>6081</v>
      </c>
      <c r="C65" s="52">
        <v>3.7450000000000001</v>
      </c>
      <c r="D65" s="53">
        <v>-1.2500000000000001E-2</v>
      </c>
      <c r="E65" s="54">
        <f>+B65*C65</f>
        <v>22773.345000000001</v>
      </c>
      <c r="F65" s="54">
        <f>+B65*D65</f>
        <v>-76.012500000000003</v>
      </c>
      <c r="G65" s="53"/>
      <c r="H65" s="53"/>
      <c r="I65" s="53"/>
    </row>
    <row r="66" spans="1:9" x14ac:dyDescent="0.25">
      <c r="A66" s="53" t="s">
        <v>33</v>
      </c>
      <c r="B66" s="51">
        <v>11734</v>
      </c>
      <c r="C66" s="52">
        <v>3.7349999999999999</v>
      </c>
      <c r="D66" s="53">
        <v>-1.2500000000000001E-2</v>
      </c>
      <c r="E66" s="54">
        <f>+B66*C66</f>
        <v>43826.49</v>
      </c>
      <c r="F66" s="54">
        <f>+B66*D66</f>
        <v>-146.67500000000001</v>
      </c>
      <c r="G66" s="53"/>
      <c r="H66" s="53"/>
      <c r="I66" s="53"/>
    </row>
    <row r="67" spans="1:9" x14ac:dyDescent="0.25">
      <c r="A67" s="53" t="s">
        <v>33</v>
      </c>
      <c r="B67" s="51">
        <v>0</v>
      </c>
      <c r="C67" s="52">
        <v>0</v>
      </c>
      <c r="D67" s="53">
        <v>-1.2500000000000001E-2</v>
      </c>
      <c r="E67" s="54">
        <f>+B67*C67</f>
        <v>0</v>
      </c>
      <c r="F67" s="54">
        <f>+B67*D67</f>
        <v>0</v>
      </c>
      <c r="G67" s="53"/>
      <c r="H67" s="53"/>
      <c r="I67" s="53"/>
    </row>
    <row r="68" spans="1:9" x14ac:dyDescent="0.25">
      <c r="A68" s="53"/>
      <c r="B68" s="51"/>
      <c r="C68" s="52"/>
      <c r="D68" s="53"/>
      <c r="E68" s="54"/>
      <c r="F68" s="54"/>
      <c r="G68" s="53"/>
      <c r="H68" s="53"/>
      <c r="I68" s="53"/>
    </row>
    <row r="69" spans="1:9" x14ac:dyDescent="0.25">
      <c r="A69" s="53" t="s">
        <v>198</v>
      </c>
      <c r="B69" s="51"/>
      <c r="C69" s="52"/>
      <c r="D69" s="53"/>
      <c r="E69" s="54"/>
      <c r="F69" s="54"/>
      <c r="G69" s="53"/>
      <c r="H69" s="53"/>
      <c r="I69" s="53"/>
    </row>
    <row r="70" spans="1:9" x14ac:dyDescent="0.25">
      <c r="A70" s="53" t="s">
        <v>6</v>
      </c>
      <c r="B70" s="51">
        <v>2177</v>
      </c>
      <c r="C70" s="52">
        <v>3.7149999999999999</v>
      </c>
      <c r="D70" s="53">
        <v>-1.2500000000000001E-2</v>
      </c>
      <c r="E70" s="54">
        <f>+B70*C70</f>
        <v>8087.5549999999994</v>
      </c>
      <c r="F70" s="54">
        <f>+B70*D70</f>
        <v>-27.212500000000002</v>
      </c>
      <c r="G70" s="53"/>
      <c r="H70" s="53"/>
      <c r="I70" s="53"/>
    </row>
    <row r="71" spans="1:9" x14ac:dyDescent="0.25">
      <c r="A71" s="53" t="s">
        <v>40</v>
      </c>
      <c r="B71" s="51">
        <f>ROUND(+B70/(1-0.0045)-B70,0)</f>
        <v>10</v>
      </c>
      <c r="C71" s="52"/>
      <c r="D71" s="53"/>
      <c r="E71" s="54"/>
      <c r="F71" s="54"/>
      <c r="G71" s="53"/>
      <c r="H71" s="53"/>
      <c r="I71" s="53"/>
    </row>
    <row r="72" spans="1:9" s="29" customFormat="1" x14ac:dyDescent="0.25">
      <c r="A72" s="53" t="s">
        <v>199</v>
      </c>
      <c r="B72" s="51">
        <v>0</v>
      </c>
      <c r="C72" s="52">
        <v>0</v>
      </c>
      <c r="D72" s="53">
        <v>-1.2500000000000001E-2</v>
      </c>
      <c r="E72" s="54">
        <f>+B72*C72</f>
        <v>0</v>
      </c>
      <c r="F72" s="54">
        <f>+B72*D72</f>
        <v>0</v>
      </c>
      <c r="G72" s="53"/>
      <c r="H72" s="53"/>
      <c r="I72" s="53"/>
    </row>
    <row r="73" spans="1:9" x14ac:dyDescent="0.25">
      <c r="A73" s="53" t="s">
        <v>200</v>
      </c>
      <c r="B73" s="51">
        <v>0</v>
      </c>
      <c r="C73" s="52">
        <v>0</v>
      </c>
      <c r="D73" s="53">
        <v>-1.2500000000000001E-2</v>
      </c>
      <c r="E73" s="54">
        <f>+B73*C73</f>
        <v>0</v>
      </c>
      <c r="F73" s="54">
        <f>+B73*D73</f>
        <v>0</v>
      </c>
      <c r="G73" s="53"/>
      <c r="H73" s="53"/>
      <c r="I73" s="53"/>
    </row>
    <row r="74" spans="1:9" x14ac:dyDescent="0.25">
      <c r="A74" s="53"/>
      <c r="B74" s="51"/>
      <c r="C74" s="52"/>
      <c r="D74" s="53"/>
      <c r="E74" s="54"/>
      <c r="F74" s="54"/>
      <c r="G74" s="53"/>
      <c r="H74" s="53"/>
      <c r="I74" s="53"/>
    </row>
    <row r="75" spans="1:9" x14ac:dyDescent="0.25">
      <c r="A75" s="53" t="s">
        <v>150</v>
      </c>
      <c r="B75" s="51"/>
      <c r="C75" s="52"/>
      <c r="D75" s="53"/>
      <c r="E75" s="54"/>
      <c r="F75" s="54"/>
      <c r="G75" s="53"/>
      <c r="H75" s="53"/>
      <c r="I75" s="53"/>
    </row>
    <row r="76" spans="1:9" x14ac:dyDescent="0.25">
      <c r="A76" s="53" t="s">
        <v>34</v>
      </c>
      <c r="B76" s="51">
        <v>0</v>
      </c>
      <c r="C76" s="52">
        <v>0</v>
      </c>
      <c r="D76" s="53">
        <v>-1.2500000000000001E-2</v>
      </c>
      <c r="E76" s="54">
        <f t="shared" ref="E76:E81" si="4">+B76*C76</f>
        <v>0</v>
      </c>
      <c r="F76" s="54">
        <f t="shared" ref="F76:F81" si="5">+B76*D76</f>
        <v>0</v>
      </c>
      <c r="G76" s="53"/>
      <c r="H76" s="53"/>
      <c r="I76" s="53"/>
    </row>
    <row r="77" spans="1:9" s="29" customFormat="1" x14ac:dyDescent="0.25">
      <c r="A77" s="53" t="s">
        <v>34</v>
      </c>
      <c r="B77" s="51">
        <v>0</v>
      </c>
      <c r="C77" s="52">
        <v>0</v>
      </c>
      <c r="D77" s="53">
        <v>-1.2500000000000001E-2</v>
      </c>
      <c r="E77" s="54">
        <f t="shared" si="4"/>
        <v>0</v>
      </c>
      <c r="F77" s="54">
        <f t="shared" si="5"/>
        <v>0</v>
      </c>
      <c r="G77" s="53"/>
      <c r="H77" s="53"/>
      <c r="I77" s="53"/>
    </row>
    <row r="78" spans="1:9" x14ac:dyDescent="0.25">
      <c r="A78" s="53" t="s">
        <v>34</v>
      </c>
      <c r="B78" s="51">
        <v>0</v>
      </c>
      <c r="C78" s="52">
        <v>0</v>
      </c>
      <c r="D78" s="53">
        <v>-1.2500000000000001E-2</v>
      </c>
      <c r="E78" s="54">
        <f t="shared" si="4"/>
        <v>0</v>
      </c>
      <c r="F78" s="54">
        <f t="shared" si="5"/>
        <v>0</v>
      </c>
      <c r="G78" s="53"/>
      <c r="H78" s="53"/>
      <c r="I78" s="53"/>
    </row>
    <row r="79" spans="1:9" x14ac:dyDescent="0.25">
      <c r="A79" s="53" t="s">
        <v>91</v>
      </c>
      <c r="B79" s="51">
        <v>0</v>
      </c>
      <c r="C79" s="52">
        <v>0</v>
      </c>
      <c r="D79" s="53">
        <v>-1.2500000000000001E-2</v>
      </c>
      <c r="E79" s="54">
        <f t="shared" si="4"/>
        <v>0</v>
      </c>
      <c r="F79" s="54">
        <f t="shared" si="5"/>
        <v>0</v>
      </c>
      <c r="G79" s="53"/>
      <c r="H79" s="53"/>
      <c r="I79" s="53"/>
    </row>
    <row r="80" spans="1:9" x14ac:dyDescent="0.25">
      <c r="A80" s="53" t="s">
        <v>91</v>
      </c>
      <c r="B80" s="51">
        <v>0</v>
      </c>
      <c r="C80" s="52">
        <v>0</v>
      </c>
      <c r="D80" s="53">
        <v>-1.2500000000000001E-2</v>
      </c>
      <c r="E80" s="54">
        <f t="shared" si="4"/>
        <v>0</v>
      </c>
      <c r="F80" s="54">
        <f t="shared" si="5"/>
        <v>0</v>
      </c>
      <c r="G80" s="53"/>
      <c r="H80" s="53"/>
      <c r="I80" s="53"/>
    </row>
    <row r="81" spans="1:9" x14ac:dyDescent="0.25">
      <c r="A81" s="53" t="s">
        <v>91</v>
      </c>
      <c r="B81" s="51">
        <v>0</v>
      </c>
      <c r="C81" s="52">
        <v>0</v>
      </c>
      <c r="D81" s="53">
        <v>-1.2500000000000001E-2</v>
      </c>
      <c r="E81" s="54">
        <f t="shared" si="4"/>
        <v>0</v>
      </c>
      <c r="F81" s="54">
        <f t="shared" si="5"/>
        <v>0</v>
      </c>
      <c r="G81" s="53"/>
      <c r="H81" s="53"/>
      <c r="I81" s="53"/>
    </row>
    <row r="82" spans="1:9" x14ac:dyDescent="0.25">
      <c r="A82" s="53"/>
      <c r="B82" s="51"/>
      <c r="C82" s="52"/>
      <c r="D82" s="53"/>
      <c r="E82" s="54"/>
      <c r="F82" s="54"/>
      <c r="G82" s="53"/>
      <c r="H82" s="53"/>
      <c r="I82" s="53"/>
    </row>
    <row r="83" spans="1:9" x14ac:dyDescent="0.25">
      <c r="A83" s="53"/>
      <c r="B83" s="51"/>
      <c r="C83" s="52"/>
      <c r="D83" s="53"/>
      <c r="E83" s="54"/>
      <c r="F83" s="54"/>
      <c r="G83" s="53"/>
      <c r="H83" s="53"/>
      <c r="I83" s="53"/>
    </row>
    <row r="84" spans="1:9" ht="13.8" thickBot="1" x14ac:dyDescent="0.3">
      <c r="A84" s="53"/>
      <c r="B84" s="51"/>
      <c r="C84" s="52"/>
      <c r="D84" s="53"/>
      <c r="E84" s="54"/>
      <c r="F84" s="54"/>
      <c r="G84" s="53"/>
      <c r="H84" s="53"/>
      <c r="I84" s="53"/>
    </row>
    <row r="85" spans="1:9" x14ac:dyDescent="0.25">
      <c r="A85" s="55" t="s">
        <v>102</v>
      </c>
      <c r="B85" s="56">
        <v>0</v>
      </c>
      <c r="C85" s="57">
        <v>0</v>
      </c>
      <c r="D85" s="58">
        <v>0</v>
      </c>
      <c r="E85" s="59">
        <f>+B85*C85</f>
        <v>0</v>
      </c>
      <c r="F85" s="59">
        <f>+B85*D85</f>
        <v>0</v>
      </c>
      <c r="G85" s="58"/>
      <c r="H85" s="58"/>
      <c r="I85" s="60"/>
    </row>
    <row r="86" spans="1:9" x14ac:dyDescent="0.25">
      <c r="A86" s="61"/>
      <c r="B86" s="62">
        <v>0</v>
      </c>
      <c r="C86" s="63">
        <v>0</v>
      </c>
      <c r="D86" s="40">
        <v>0</v>
      </c>
      <c r="E86" s="64">
        <f>+B86*C86</f>
        <v>0</v>
      </c>
      <c r="F86" s="64">
        <f>+B86*D86</f>
        <v>0</v>
      </c>
      <c r="G86" s="40"/>
      <c r="H86" s="40"/>
      <c r="I86" s="65"/>
    </row>
    <row r="87" spans="1:9" x14ac:dyDescent="0.25">
      <c r="A87" s="66" t="s">
        <v>103</v>
      </c>
      <c r="B87" s="67">
        <f>SUM(B85:B86)</f>
        <v>0</v>
      </c>
      <c r="C87" s="63"/>
      <c r="D87" s="40"/>
      <c r="E87" s="64"/>
      <c r="F87" s="64"/>
      <c r="G87" s="40"/>
      <c r="H87" s="40"/>
      <c r="I87" s="65"/>
    </row>
    <row r="88" spans="1:9" x14ac:dyDescent="0.25">
      <c r="A88" s="61"/>
      <c r="B88" s="62"/>
      <c r="C88" s="63"/>
      <c r="D88" s="40"/>
      <c r="E88" s="64"/>
      <c r="F88" s="64"/>
      <c r="G88" s="40"/>
      <c r="H88" s="40" t="s">
        <v>85</v>
      </c>
      <c r="I88" s="65"/>
    </row>
    <row r="89" spans="1:9" x14ac:dyDescent="0.25">
      <c r="A89" s="61" t="s">
        <v>80</v>
      </c>
      <c r="B89" s="62">
        <v>0</v>
      </c>
      <c r="C89" s="62">
        <f>ROUND(+B89/(1-0.0307)-B89,0)</f>
        <v>0</v>
      </c>
      <c r="D89" s="40">
        <v>-1.18E-2</v>
      </c>
      <c r="E89" s="64"/>
      <c r="F89" s="64">
        <f>+D89*B89</f>
        <v>0</v>
      </c>
      <c r="G89" s="40"/>
      <c r="H89" s="40">
        <v>637172</v>
      </c>
      <c r="I89" s="65"/>
    </row>
    <row r="90" spans="1:9" x14ac:dyDescent="0.25">
      <c r="A90" s="61" t="s">
        <v>81</v>
      </c>
      <c r="B90" s="62">
        <v>0</v>
      </c>
      <c r="C90" s="62">
        <f>ROUND(+B90/(1-0.0734)-B90,0)</f>
        <v>0</v>
      </c>
      <c r="D90" s="40">
        <v>-5.3900000000000003E-2</v>
      </c>
      <c r="E90" s="64"/>
      <c r="F90" s="64">
        <f>+D90*B90</f>
        <v>0</v>
      </c>
      <c r="G90" s="40"/>
      <c r="H90" s="40"/>
      <c r="I90" s="65"/>
    </row>
    <row r="91" spans="1:9" x14ac:dyDescent="0.25">
      <c r="A91" s="61" t="s">
        <v>82</v>
      </c>
      <c r="B91" s="62">
        <v>0</v>
      </c>
      <c r="C91" s="62">
        <f>ROUND(+B91/(1-0.0707)-B91,0)</f>
        <v>0</v>
      </c>
      <c r="D91" s="40">
        <v>-5.2299999999999999E-2</v>
      </c>
      <c r="E91" s="64"/>
      <c r="F91" s="64">
        <f>+D91*B91</f>
        <v>0</v>
      </c>
      <c r="G91" s="40"/>
      <c r="H91" s="40"/>
      <c r="I91" s="65"/>
    </row>
    <row r="92" spans="1:9" x14ac:dyDescent="0.25">
      <c r="A92" s="61" t="s">
        <v>83</v>
      </c>
      <c r="B92" s="62">
        <v>0</v>
      </c>
      <c r="C92" s="62">
        <f>ROUND(+B92/(1-0.0707)-B92,0)</f>
        <v>0</v>
      </c>
      <c r="D92" s="40">
        <v>-5.2299999999999999E-2</v>
      </c>
      <c r="E92" s="64"/>
      <c r="F92" s="64">
        <f>+D92*B92</f>
        <v>0</v>
      </c>
      <c r="G92" s="40"/>
      <c r="H92" s="40"/>
      <c r="I92" s="65"/>
    </row>
    <row r="93" spans="1:9" x14ac:dyDescent="0.25">
      <c r="A93" s="61"/>
      <c r="B93" s="62">
        <f>SUM(B89:B92)</f>
        <v>0</v>
      </c>
      <c r="C93" s="62">
        <f>SUM(C89:C92)</f>
        <v>0</v>
      </c>
      <c r="D93" s="40"/>
      <c r="E93" s="64"/>
      <c r="F93" s="64"/>
      <c r="G93" s="40"/>
      <c r="H93" s="40"/>
      <c r="I93" s="65"/>
    </row>
    <row r="94" spans="1:9" x14ac:dyDescent="0.25">
      <c r="A94" s="61"/>
      <c r="B94" s="67">
        <f>+B93+C93</f>
        <v>0</v>
      </c>
      <c r="C94" s="63"/>
      <c r="D94" s="40"/>
      <c r="E94" s="64"/>
      <c r="F94" s="64"/>
      <c r="G94" s="40"/>
      <c r="H94" s="40"/>
      <c r="I94" s="65"/>
    </row>
    <row r="95" spans="1:9" ht="13.8" thickBot="1" x14ac:dyDescent="0.3">
      <c r="A95" s="68"/>
      <c r="B95" s="69"/>
      <c r="C95" s="70"/>
      <c r="D95" s="71"/>
      <c r="E95" s="72"/>
      <c r="F95" s="72"/>
      <c r="G95" s="71"/>
      <c r="H95" s="71"/>
      <c r="I95" s="73"/>
    </row>
    <row r="96" spans="1:9" x14ac:dyDescent="0.25">
      <c r="A96" s="53"/>
      <c r="B96" s="51"/>
      <c r="C96" s="52"/>
      <c r="D96" s="53"/>
      <c r="E96" s="54"/>
      <c r="F96" s="54"/>
      <c r="G96" s="53"/>
      <c r="H96" s="53"/>
      <c r="I96" s="53"/>
    </row>
    <row r="97" spans="1:9" ht="13.8" thickBot="1" x14ac:dyDescent="0.3">
      <c r="A97" s="53"/>
      <c r="B97" s="51"/>
      <c r="C97" s="52"/>
      <c r="D97" s="53"/>
      <c r="E97" s="54"/>
      <c r="F97" s="54"/>
      <c r="G97" s="53"/>
      <c r="H97" s="53"/>
      <c r="I97" s="53"/>
    </row>
    <row r="98" spans="1:9" x14ac:dyDescent="0.25">
      <c r="A98" s="55" t="s">
        <v>78</v>
      </c>
      <c r="B98" s="56">
        <v>0</v>
      </c>
      <c r="C98" s="57">
        <v>0</v>
      </c>
      <c r="D98" s="58">
        <v>0</v>
      </c>
      <c r="E98" s="59">
        <f>+B98*C98</f>
        <v>0</v>
      </c>
      <c r="F98" s="59">
        <f>+B98*D98</f>
        <v>0</v>
      </c>
      <c r="G98" s="58"/>
      <c r="H98" s="58"/>
      <c r="I98" s="60"/>
    </row>
    <row r="99" spans="1:9" x14ac:dyDescent="0.25">
      <c r="A99" s="61" t="s">
        <v>77</v>
      </c>
      <c r="B99" s="62">
        <v>0</v>
      </c>
      <c r="C99" s="63">
        <v>0</v>
      </c>
      <c r="D99" s="40">
        <v>0</v>
      </c>
      <c r="E99" s="64">
        <f>+B99*C99</f>
        <v>0</v>
      </c>
      <c r="F99" s="64">
        <f>+B99*D99</f>
        <v>0</v>
      </c>
      <c r="G99" s="40"/>
      <c r="H99" s="40"/>
      <c r="I99" s="65"/>
    </row>
    <row r="100" spans="1:9" x14ac:dyDescent="0.25">
      <c r="A100" s="66" t="s">
        <v>84</v>
      </c>
      <c r="B100" s="67">
        <f>SUM(B98:B99)</f>
        <v>0</v>
      </c>
      <c r="C100" s="63"/>
      <c r="D100" s="40"/>
      <c r="E100" s="64"/>
      <c r="F100" s="64"/>
      <c r="G100" s="40"/>
      <c r="H100" s="40"/>
      <c r="I100" s="65"/>
    </row>
    <row r="101" spans="1:9" x14ac:dyDescent="0.25">
      <c r="A101" s="61"/>
      <c r="B101" s="62"/>
      <c r="C101" s="63"/>
      <c r="D101" s="40"/>
      <c r="E101" s="64"/>
      <c r="F101" s="64"/>
      <c r="G101" s="40"/>
      <c r="H101" s="40" t="s">
        <v>85</v>
      </c>
      <c r="I101" s="65"/>
    </row>
    <row r="102" spans="1:9" x14ac:dyDescent="0.25">
      <c r="A102" s="61" t="s">
        <v>80</v>
      </c>
      <c r="B102" s="62">
        <v>0</v>
      </c>
      <c r="C102" s="62">
        <f>ROUND(+B102/(1-0.0795)-B102,0)</f>
        <v>0</v>
      </c>
      <c r="D102" s="40">
        <v>-5.7599999999999998E-2</v>
      </c>
      <c r="E102" s="64"/>
      <c r="F102" s="64">
        <f>+D102*B102</f>
        <v>0</v>
      </c>
      <c r="G102" s="40"/>
      <c r="H102" s="40">
        <v>640171</v>
      </c>
      <c r="I102" s="65"/>
    </row>
    <row r="103" spans="1:9" x14ac:dyDescent="0.25">
      <c r="A103" s="61" t="s">
        <v>81</v>
      </c>
      <c r="B103" s="62">
        <v>0</v>
      </c>
      <c r="C103" s="62">
        <f>ROUND(+B103/(1-0.0734)-B103,0)</f>
        <v>0</v>
      </c>
      <c r="D103" s="40">
        <v>-5.3900000000000003E-2</v>
      </c>
      <c r="E103" s="64"/>
      <c r="F103" s="64">
        <f t="shared" ref="F103:F110" si="6">+D103*B103</f>
        <v>0</v>
      </c>
      <c r="G103" s="40"/>
      <c r="H103" s="40">
        <v>640179</v>
      </c>
      <c r="I103" s="65"/>
    </row>
    <row r="104" spans="1:9" x14ac:dyDescent="0.25">
      <c r="A104" s="61" t="s">
        <v>123</v>
      </c>
      <c r="B104" s="62">
        <v>0</v>
      </c>
      <c r="C104" s="62">
        <f>ROUND(+B104/(1-0.0707)-B104,0)</f>
        <v>0</v>
      </c>
      <c r="D104" s="40">
        <v>-5.2299999999999999E-2</v>
      </c>
      <c r="E104" s="64"/>
      <c r="F104" s="64">
        <f t="shared" si="6"/>
        <v>0</v>
      </c>
      <c r="G104" s="40"/>
      <c r="H104" s="40">
        <v>637224</v>
      </c>
      <c r="I104" s="65"/>
    </row>
    <row r="105" spans="1:9" x14ac:dyDescent="0.25">
      <c r="A105" s="61" t="s">
        <v>83</v>
      </c>
      <c r="B105" s="62">
        <v>0</v>
      </c>
      <c r="C105" s="62">
        <f>ROUND(+B105/(1-0.0707)-B105,0)</f>
        <v>0</v>
      </c>
      <c r="D105" s="40">
        <v>-5.2299999999999999E-2</v>
      </c>
      <c r="E105" s="64"/>
      <c r="F105" s="64">
        <f t="shared" si="6"/>
        <v>0</v>
      </c>
      <c r="G105" s="40"/>
      <c r="H105" s="40">
        <v>640151</v>
      </c>
      <c r="I105" s="65"/>
    </row>
    <row r="106" spans="1:9" x14ac:dyDescent="0.25">
      <c r="A106" s="61" t="s">
        <v>106</v>
      </c>
      <c r="B106" s="62">
        <v>0</v>
      </c>
      <c r="C106" s="62">
        <f>ROUND(+B106/(1-0.0416)-B106,0)</f>
        <v>0</v>
      </c>
      <c r="D106" s="40">
        <v>-3.6600000000000001E-2</v>
      </c>
      <c r="E106" s="64"/>
      <c r="F106" s="64">
        <f>+D106*B106</f>
        <v>0</v>
      </c>
      <c r="G106" s="40"/>
      <c r="H106" s="40"/>
      <c r="I106" s="65"/>
    </row>
    <row r="107" spans="1:9" x14ac:dyDescent="0.25">
      <c r="A107" s="61" t="s">
        <v>86</v>
      </c>
      <c r="B107" s="62">
        <v>0</v>
      </c>
      <c r="C107" s="62">
        <f>ROUND(+B107/(1-0.0795)-B107,0)</f>
        <v>0</v>
      </c>
      <c r="D107" s="40">
        <v>-0.13220000000000001</v>
      </c>
      <c r="E107" s="64"/>
      <c r="F107" s="64">
        <f t="shared" si="6"/>
        <v>0</v>
      </c>
      <c r="G107" s="40"/>
      <c r="H107" s="40">
        <v>712266</v>
      </c>
      <c r="I107" s="65"/>
    </row>
    <row r="108" spans="1:9" x14ac:dyDescent="0.25">
      <c r="A108" s="61" t="s">
        <v>88</v>
      </c>
      <c r="B108" s="62"/>
      <c r="C108" s="62">
        <f>ROUND(+B108/(1-0.0734)-B108,0)</f>
        <v>0</v>
      </c>
      <c r="D108" s="40"/>
      <c r="E108" s="64"/>
      <c r="F108" s="64">
        <f t="shared" si="6"/>
        <v>0</v>
      </c>
      <c r="G108" s="40"/>
      <c r="H108" s="40"/>
      <c r="I108" s="65"/>
    </row>
    <row r="109" spans="1:9" x14ac:dyDescent="0.25">
      <c r="A109" s="61" t="s">
        <v>89</v>
      </c>
      <c r="B109" s="62"/>
      <c r="C109" s="62">
        <f>ROUND(+B109/(1-0.0707)-B109,0)</f>
        <v>0</v>
      </c>
      <c r="D109" s="40"/>
      <c r="E109" s="64"/>
      <c r="F109" s="64">
        <f t="shared" si="6"/>
        <v>0</v>
      </c>
      <c r="G109" s="40"/>
      <c r="H109" s="40">
        <v>705541</v>
      </c>
      <c r="I109" s="65"/>
    </row>
    <row r="110" spans="1:9" x14ac:dyDescent="0.25">
      <c r="A110" s="61" t="s">
        <v>87</v>
      </c>
      <c r="B110" s="62"/>
      <c r="C110" s="62">
        <f>ROUND(+B110/(1-0.0707)-B110,0)</f>
        <v>0</v>
      </c>
      <c r="D110" s="40"/>
      <c r="E110" s="64"/>
      <c r="F110" s="64">
        <f t="shared" si="6"/>
        <v>0</v>
      </c>
      <c r="G110" s="40"/>
      <c r="H110" s="40">
        <v>705238</v>
      </c>
      <c r="I110" s="65"/>
    </row>
    <row r="111" spans="1:9" x14ac:dyDescent="0.25">
      <c r="A111" s="61"/>
      <c r="B111" s="62">
        <f>SUM(B102:B110)</f>
        <v>0</v>
      </c>
      <c r="C111" s="62">
        <f>SUM(C102:C110)</f>
        <v>0</v>
      </c>
      <c r="D111" s="40"/>
      <c r="E111" s="64"/>
      <c r="F111" s="64"/>
      <c r="G111" s="40"/>
      <c r="H111" s="40"/>
      <c r="I111" s="65"/>
    </row>
    <row r="112" spans="1:9" ht="13.8" thickBot="1" x14ac:dyDescent="0.3">
      <c r="A112" s="68"/>
      <c r="B112" s="74">
        <f>+B111+C111</f>
        <v>0</v>
      </c>
      <c r="C112" s="70"/>
      <c r="D112" s="71"/>
      <c r="E112" s="72"/>
      <c r="F112" s="72"/>
      <c r="G112" s="71"/>
      <c r="H112" s="71"/>
      <c r="I112" s="73"/>
    </row>
    <row r="113" spans="1:9" x14ac:dyDescent="0.25">
      <c r="A113" s="53"/>
      <c r="B113" s="62"/>
      <c r="C113" s="52"/>
      <c r="D113" s="53"/>
      <c r="E113" s="54"/>
      <c r="F113" s="54"/>
      <c r="G113" s="53"/>
      <c r="H113" s="53"/>
      <c r="I113" s="53"/>
    </row>
    <row r="114" spans="1:9" ht="13.8" thickBot="1" x14ac:dyDescent="0.3">
      <c r="A114" s="53"/>
      <c r="B114" s="51"/>
      <c r="C114" s="52"/>
      <c r="D114" s="53"/>
      <c r="E114" s="54"/>
      <c r="F114" s="54"/>
      <c r="G114" s="53"/>
      <c r="H114" s="53"/>
      <c r="I114" s="53"/>
    </row>
    <row r="115" spans="1:9" x14ac:dyDescent="0.25">
      <c r="A115" s="55" t="s">
        <v>98</v>
      </c>
      <c r="B115" s="56">
        <v>5000</v>
      </c>
      <c r="C115" s="57">
        <v>4.24</v>
      </c>
      <c r="D115" s="58">
        <v>0</v>
      </c>
      <c r="E115" s="59">
        <f t="shared" ref="E115:E120" si="7">+B115*C115</f>
        <v>21200</v>
      </c>
      <c r="F115" s="59">
        <f t="shared" ref="F115:F120" si="8">+B115*D115</f>
        <v>0</v>
      </c>
      <c r="G115" s="58"/>
      <c r="H115" s="58"/>
      <c r="I115" s="60"/>
    </row>
    <row r="116" spans="1:9" x14ac:dyDescent="0.25">
      <c r="A116" s="61" t="s">
        <v>212</v>
      </c>
      <c r="B116" s="62">
        <v>-5000</v>
      </c>
      <c r="C116" s="63">
        <v>4.5674999999999999</v>
      </c>
      <c r="D116" s="40">
        <v>0</v>
      </c>
      <c r="E116" s="64">
        <f t="shared" si="7"/>
        <v>-22837.5</v>
      </c>
      <c r="F116" s="64">
        <f t="shared" si="8"/>
        <v>0</v>
      </c>
      <c r="G116" s="40"/>
      <c r="H116" s="40"/>
      <c r="I116" s="65"/>
    </row>
    <row r="117" spans="1:9" x14ac:dyDescent="0.25">
      <c r="A117" s="61" t="s">
        <v>212</v>
      </c>
      <c r="B117" s="62">
        <v>5000</v>
      </c>
      <c r="C117" s="63">
        <v>4.6974999999999998</v>
      </c>
      <c r="D117" s="40">
        <v>0</v>
      </c>
      <c r="E117" s="64">
        <f t="shared" si="7"/>
        <v>23487.5</v>
      </c>
      <c r="F117" s="64">
        <f t="shared" si="8"/>
        <v>0</v>
      </c>
      <c r="G117" s="40"/>
      <c r="H117" s="40"/>
      <c r="I117" s="65"/>
    </row>
    <row r="118" spans="1:9" x14ac:dyDescent="0.25">
      <c r="A118" s="61" t="s">
        <v>79</v>
      </c>
      <c r="B118" s="62">
        <v>5000</v>
      </c>
      <c r="C118" s="63">
        <v>4.0750000000000002</v>
      </c>
      <c r="D118" s="40">
        <v>0</v>
      </c>
      <c r="E118" s="64">
        <f t="shared" si="7"/>
        <v>20375</v>
      </c>
      <c r="F118" s="64">
        <f t="shared" si="8"/>
        <v>0</v>
      </c>
      <c r="G118" s="40"/>
      <c r="H118" s="40"/>
      <c r="I118" s="65"/>
    </row>
    <row r="119" spans="1:9" x14ac:dyDescent="0.25">
      <c r="A119" s="61" t="s">
        <v>110</v>
      </c>
      <c r="B119" s="62">
        <v>-5000</v>
      </c>
      <c r="C119" s="63">
        <v>3.915</v>
      </c>
      <c r="D119" s="40">
        <v>0</v>
      </c>
      <c r="E119" s="64">
        <f t="shared" si="7"/>
        <v>-19575</v>
      </c>
      <c r="F119" s="64">
        <f t="shared" si="8"/>
        <v>0</v>
      </c>
      <c r="G119" s="40"/>
      <c r="H119" s="40"/>
      <c r="I119" s="65"/>
    </row>
    <row r="120" spans="1:9" x14ac:dyDescent="0.25">
      <c r="A120" s="61" t="s">
        <v>96</v>
      </c>
      <c r="B120" s="62">
        <v>0</v>
      </c>
      <c r="C120" s="63">
        <v>0</v>
      </c>
      <c r="D120" s="40">
        <v>0</v>
      </c>
      <c r="E120" s="64">
        <f t="shared" si="7"/>
        <v>0</v>
      </c>
      <c r="F120" s="64">
        <f t="shared" si="8"/>
        <v>0</v>
      </c>
      <c r="G120" s="40"/>
      <c r="H120" s="40"/>
      <c r="I120" s="65"/>
    </row>
    <row r="121" spans="1:9" x14ac:dyDescent="0.25">
      <c r="A121" s="66" t="s">
        <v>107</v>
      </c>
      <c r="B121" s="67">
        <f>SUM(B115:B120)</f>
        <v>5000</v>
      </c>
      <c r="C121" s="63"/>
      <c r="D121" s="40"/>
      <c r="E121" s="64"/>
      <c r="F121" s="64"/>
      <c r="G121" s="40"/>
      <c r="H121" s="40"/>
      <c r="I121" s="65"/>
    </row>
    <row r="122" spans="1:9" x14ac:dyDescent="0.25">
      <c r="A122" s="61"/>
      <c r="B122" s="62"/>
      <c r="C122" s="63"/>
      <c r="D122" s="40"/>
      <c r="E122" s="64"/>
      <c r="F122" s="64"/>
      <c r="G122" s="40"/>
      <c r="H122" s="40"/>
      <c r="I122" s="65"/>
    </row>
    <row r="123" spans="1:9" x14ac:dyDescent="0.25">
      <c r="A123" s="61" t="s">
        <v>122</v>
      </c>
      <c r="B123" s="62">
        <v>0</v>
      </c>
      <c r="C123" s="62">
        <f>ROUND(+B123/(1-0.0884)-B123,0)</f>
        <v>0</v>
      </c>
      <c r="D123" s="40">
        <v>-7.1499999999999994E-2</v>
      </c>
      <c r="E123" s="64"/>
      <c r="F123" s="64">
        <f t="shared" ref="F123:F136" si="9">+D123*B123</f>
        <v>0</v>
      </c>
      <c r="G123" s="40"/>
      <c r="H123" s="40">
        <v>640165</v>
      </c>
      <c r="I123" s="65"/>
    </row>
    <row r="124" spans="1:9" x14ac:dyDescent="0.25">
      <c r="A124" s="61" t="s">
        <v>81</v>
      </c>
      <c r="B124" s="62">
        <v>0</v>
      </c>
      <c r="C124" s="62">
        <f>ROUND(+B124/(1-0.0823)-B124,0)</f>
        <v>0</v>
      </c>
      <c r="D124" s="40">
        <v>-6.7799999999999999E-2</v>
      </c>
      <c r="E124" s="64"/>
      <c r="F124" s="64">
        <f t="shared" si="9"/>
        <v>0</v>
      </c>
      <c r="G124" s="40"/>
      <c r="H124" s="40">
        <v>735047</v>
      </c>
      <c r="I124" s="65"/>
    </row>
    <row r="125" spans="1:9" x14ac:dyDescent="0.25">
      <c r="A125" s="61" t="s">
        <v>82</v>
      </c>
      <c r="B125" s="62">
        <v>0</v>
      </c>
      <c r="C125" s="62">
        <f>ROUND(+B125/(1-0.0796)-B125,0)</f>
        <v>0</v>
      </c>
      <c r="D125" s="40">
        <v>-6.6199999999999995E-2</v>
      </c>
      <c r="E125" s="64"/>
      <c r="F125" s="64">
        <f t="shared" si="9"/>
        <v>0</v>
      </c>
      <c r="G125" s="40"/>
      <c r="H125" s="40">
        <v>637220</v>
      </c>
      <c r="I125" s="65"/>
    </row>
    <row r="126" spans="1:9" x14ac:dyDescent="0.25">
      <c r="A126" s="61" t="s">
        <v>83</v>
      </c>
      <c r="B126" s="62">
        <v>5000</v>
      </c>
      <c r="C126" s="62">
        <f>ROUND(+B126/(1-0.0796)-B126,0)</f>
        <v>432</v>
      </c>
      <c r="D126" s="40">
        <v>-0.1016</v>
      </c>
      <c r="E126" s="64"/>
      <c r="F126" s="64">
        <f t="shared" ref="F126:F132" si="10">+D126*B126</f>
        <v>-508</v>
      </c>
      <c r="G126" s="40"/>
      <c r="H126" s="133">
        <v>821199</v>
      </c>
      <c r="I126" s="65"/>
    </row>
    <row r="127" spans="1:9" x14ac:dyDescent="0.25">
      <c r="A127" s="61" t="s">
        <v>106</v>
      </c>
      <c r="B127" s="62">
        <v>0</v>
      </c>
      <c r="C127" s="62">
        <f>ROUND(+B127/(1-0.0505)-B127,0)</f>
        <v>0</v>
      </c>
      <c r="D127" s="40">
        <v>-5.7500000000000002E-2</v>
      </c>
      <c r="E127" s="64"/>
      <c r="F127" s="64">
        <f t="shared" si="10"/>
        <v>0</v>
      </c>
      <c r="G127" s="40"/>
      <c r="H127" s="40">
        <v>732718</v>
      </c>
      <c r="I127" s="65"/>
    </row>
    <row r="128" spans="1:9" x14ac:dyDescent="0.25">
      <c r="A128" s="97" t="s">
        <v>114</v>
      </c>
      <c r="B128" s="62">
        <v>0</v>
      </c>
      <c r="C128" s="62">
        <f>ROUND(+B128/(1-0.0831)-B128,0)</f>
        <v>0</v>
      </c>
      <c r="D128" s="40">
        <v>-6.3200000000000006E-2</v>
      </c>
      <c r="E128" s="64"/>
      <c r="F128" s="64">
        <f t="shared" si="10"/>
        <v>0</v>
      </c>
      <c r="G128" s="40"/>
      <c r="H128" s="40">
        <v>749874</v>
      </c>
      <c r="I128" s="65"/>
    </row>
    <row r="129" spans="1:9" x14ac:dyDescent="0.25">
      <c r="A129" s="97" t="s">
        <v>115</v>
      </c>
      <c r="B129" s="62">
        <v>0</v>
      </c>
      <c r="C129" s="62">
        <f>ROUND(+B129/(1-0.077)-B129,0)</f>
        <v>0</v>
      </c>
      <c r="D129" s="40">
        <v>-5.9499999999999997E-2</v>
      </c>
      <c r="E129" s="64"/>
      <c r="F129" s="64">
        <f t="shared" si="10"/>
        <v>0</v>
      </c>
      <c r="G129" s="40"/>
      <c r="H129" s="40">
        <v>749875</v>
      </c>
      <c r="I129" s="65"/>
    </row>
    <row r="130" spans="1:9" x14ac:dyDescent="0.25">
      <c r="A130" s="97" t="s">
        <v>116</v>
      </c>
      <c r="B130" s="62">
        <v>0</v>
      </c>
      <c r="C130" s="62">
        <f>ROUND(+B130/(1-0.0743)-B130,0)</f>
        <v>0</v>
      </c>
      <c r="D130" s="40">
        <v>-5.7799999999999997E-2</v>
      </c>
      <c r="E130" s="64"/>
      <c r="F130" s="64">
        <f t="shared" si="10"/>
        <v>0</v>
      </c>
      <c r="G130" s="40"/>
      <c r="H130" s="40">
        <v>749877</v>
      </c>
      <c r="I130" s="65"/>
    </row>
    <row r="131" spans="1:9" x14ac:dyDescent="0.25">
      <c r="A131" s="97" t="s">
        <v>117</v>
      </c>
      <c r="B131" s="62">
        <v>0</v>
      </c>
      <c r="C131" s="62">
        <f>ROUND(+B131/(1-0.0743)-B131,0)</f>
        <v>0</v>
      </c>
      <c r="D131" s="40">
        <v>-5.7799999999999997E-2</v>
      </c>
      <c r="E131" s="64"/>
      <c r="F131" s="64">
        <f t="shared" si="10"/>
        <v>0</v>
      </c>
      <c r="G131" s="40"/>
      <c r="H131" s="40">
        <v>749878</v>
      </c>
      <c r="I131" s="65"/>
    </row>
    <row r="132" spans="1:9" x14ac:dyDescent="0.25">
      <c r="A132" s="97" t="s">
        <v>118</v>
      </c>
      <c r="B132" s="62">
        <v>0</v>
      </c>
      <c r="C132" s="62">
        <f>ROUND(+B132/(1-0.0452)-B132,0)</f>
        <v>0</v>
      </c>
      <c r="D132" s="40">
        <v>-4.9200000000000001E-2</v>
      </c>
      <c r="E132" s="64"/>
      <c r="F132" s="64">
        <f t="shared" si="10"/>
        <v>0</v>
      </c>
      <c r="G132" s="40"/>
      <c r="H132" s="40">
        <v>749879</v>
      </c>
      <c r="I132" s="65"/>
    </row>
    <row r="133" spans="1:9" x14ac:dyDescent="0.25">
      <c r="A133" s="61" t="s">
        <v>86</v>
      </c>
      <c r="B133" s="62">
        <v>0</v>
      </c>
      <c r="C133" s="62">
        <f>ROUND(+B133/(1-0.0884)-B133,0)</f>
        <v>0</v>
      </c>
      <c r="D133" s="40"/>
      <c r="E133" s="64"/>
      <c r="F133" s="64">
        <f t="shared" si="9"/>
        <v>0</v>
      </c>
      <c r="G133" s="40"/>
      <c r="H133" s="40"/>
      <c r="I133" s="65"/>
    </row>
    <row r="134" spans="1:9" x14ac:dyDescent="0.25">
      <c r="A134" s="61" t="s">
        <v>88</v>
      </c>
      <c r="B134" s="62">
        <v>0</v>
      </c>
      <c r="C134" s="62">
        <f>ROUND(+B134/(1-0.0823)-B134,0)</f>
        <v>0</v>
      </c>
      <c r="D134" s="40"/>
      <c r="E134" s="64"/>
      <c r="F134" s="64">
        <f t="shared" si="9"/>
        <v>0</v>
      </c>
      <c r="G134" s="40"/>
      <c r="H134" s="40">
        <v>640178</v>
      </c>
      <c r="I134" s="65"/>
    </row>
    <row r="135" spans="1:9" x14ac:dyDescent="0.25">
      <c r="A135" s="61" t="s">
        <v>89</v>
      </c>
      <c r="B135" s="62"/>
      <c r="C135" s="62">
        <f>ROUND(+B135/(1-0.0796)-B135,0)</f>
        <v>0</v>
      </c>
      <c r="D135" s="40"/>
      <c r="E135" s="64"/>
      <c r="F135" s="64">
        <f t="shared" si="9"/>
        <v>0</v>
      </c>
      <c r="G135" s="40"/>
      <c r="H135" s="40"/>
      <c r="I135" s="65"/>
    </row>
    <row r="136" spans="1:9" x14ac:dyDescent="0.25">
      <c r="A136" s="61" t="s">
        <v>87</v>
      </c>
      <c r="B136" s="62"/>
      <c r="C136" s="62">
        <f>ROUND(+B136/(1-0.0796)-B136,0)</f>
        <v>0</v>
      </c>
      <c r="D136" s="40"/>
      <c r="E136" s="64"/>
      <c r="F136" s="64">
        <f t="shared" si="9"/>
        <v>0</v>
      </c>
      <c r="G136" s="40"/>
      <c r="H136" s="40"/>
      <c r="I136" s="65"/>
    </row>
    <row r="137" spans="1:9" x14ac:dyDescent="0.25">
      <c r="A137" s="61"/>
      <c r="B137" s="62">
        <f>SUM(B123:B136)</f>
        <v>5000</v>
      </c>
      <c r="C137" s="62">
        <f>SUM(C123:C136)</f>
        <v>432</v>
      </c>
      <c r="D137" s="40"/>
      <c r="E137" s="64"/>
      <c r="F137" s="64"/>
      <c r="G137" s="40"/>
      <c r="H137" s="40"/>
      <c r="I137" s="65"/>
    </row>
    <row r="138" spans="1:9" ht="13.8" thickBot="1" x14ac:dyDescent="0.3">
      <c r="A138" s="68" t="s">
        <v>90</v>
      </c>
      <c r="B138" s="74">
        <f>+B137+C137</f>
        <v>5432</v>
      </c>
      <c r="C138" s="70"/>
      <c r="D138" s="71"/>
      <c r="E138" s="72"/>
      <c r="F138" s="72"/>
      <c r="G138" s="71"/>
      <c r="H138" s="71"/>
      <c r="I138" s="73"/>
    </row>
    <row r="139" spans="1:9" x14ac:dyDescent="0.25">
      <c r="A139" s="53"/>
      <c r="B139" s="51"/>
      <c r="C139" s="52"/>
      <c r="D139" s="53"/>
      <c r="E139" s="54"/>
      <c r="F139" s="54"/>
      <c r="G139" s="53"/>
      <c r="H139" s="53"/>
      <c r="I139" s="53"/>
    </row>
    <row r="140" spans="1:9" x14ac:dyDescent="0.25">
      <c r="A140" s="53" t="s">
        <v>108</v>
      </c>
      <c r="B140" s="51">
        <f>+B137-B121</f>
        <v>0</v>
      </c>
      <c r="C140" s="52"/>
      <c r="D140" s="53"/>
      <c r="E140" s="54"/>
      <c r="F140" s="54"/>
      <c r="G140" s="53"/>
      <c r="H140" s="53"/>
      <c r="I140" s="53"/>
    </row>
    <row r="141" spans="1:9" x14ac:dyDescent="0.25">
      <c r="A141" s="53"/>
      <c r="B141" s="51"/>
      <c r="C141" s="52"/>
      <c r="D141" s="53"/>
      <c r="E141" s="54"/>
      <c r="F141" s="54"/>
      <c r="G141" s="53"/>
      <c r="H141" s="53"/>
      <c r="I141" s="53"/>
    </row>
    <row r="142" spans="1:9" x14ac:dyDescent="0.25">
      <c r="A142" s="53"/>
      <c r="B142" s="67"/>
      <c r="C142" s="52"/>
      <c r="D142" s="53"/>
      <c r="E142" s="54"/>
      <c r="F142" s="54"/>
      <c r="G142" s="53"/>
      <c r="H142" s="53"/>
      <c r="I142" s="53"/>
    </row>
    <row r="143" spans="1:9" x14ac:dyDescent="0.25">
      <c r="A143" s="75" t="s">
        <v>42</v>
      </c>
      <c r="B143" s="51">
        <f>SUM(B138,B112,B94,B63:B84)</f>
        <v>25434</v>
      </c>
      <c r="C143" s="52"/>
      <c r="D143" s="53"/>
      <c r="E143" s="54">
        <f>SUM(E63:E142)</f>
        <v>97337.389999999985</v>
      </c>
      <c r="F143" s="54">
        <f>SUM(F63:F142)</f>
        <v>-757.9</v>
      </c>
      <c r="G143" s="53"/>
      <c r="H143" s="53"/>
      <c r="I143" s="53"/>
    </row>
    <row r="144" spans="1:9" x14ac:dyDescent="0.25">
      <c r="B144" s="41"/>
      <c r="E144" s="22"/>
      <c r="F144" s="22"/>
    </row>
    <row r="145" spans="1:7" x14ac:dyDescent="0.25">
      <c r="A145" t="s">
        <v>43</v>
      </c>
      <c r="B145" s="41">
        <f>+B58-B143</f>
        <v>-2</v>
      </c>
      <c r="E145" s="22">
        <f>+E143-E58</f>
        <v>6008.4759999999806</v>
      </c>
      <c r="F145" s="22">
        <f>+F143-F58</f>
        <v>-883.73399999999992</v>
      </c>
      <c r="G145" s="23">
        <f>+F145+E145</f>
        <v>5124.7419999999802</v>
      </c>
    </row>
    <row r="146" spans="1:7" x14ac:dyDescent="0.25">
      <c r="B146" s="41"/>
    </row>
    <row r="147" spans="1:7" x14ac:dyDescent="0.25">
      <c r="B147" s="41"/>
      <c r="F147" s="2" t="s">
        <v>48</v>
      </c>
      <c r="G147" s="24">
        <f>+C157</f>
        <v>2855.3333333333335</v>
      </c>
    </row>
    <row r="148" spans="1:7" ht="13.8" thickBot="1" x14ac:dyDescent="0.3">
      <c r="B148" s="41"/>
      <c r="F148" t="s">
        <v>58</v>
      </c>
      <c r="G148" s="25">
        <f>+G145-G147</f>
        <v>2269.4086666666467</v>
      </c>
    </row>
    <row r="149" spans="1:7" ht="13.8" thickTop="1" x14ac:dyDescent="0.25">
      <c r="B149" s="41"/>
    </row>
    <row r="150" spans="1:7" x14ac:dyDescent="0.25">
      <c r="B150" s="41"/>
    </row>
    <row r="151" spans="1:7" x14ac:dyDescent="0.25">
      <c r="B151" s="41"/>
    </row>
    <row r="152" spans="1:7" x14ac:dyDescent="0.25">
      <c r="A152" t="s">
        <v>49</v>
      </c>
      <c r="B152" s="30" t="s">
        <v>50</v>
      </c>
      <c r="C152" s="33">
        <v>28199</v>
      </c>
    </row>
    <row r="153" spans="1:7" x14ac:dyDescent="0.25">
      <c r="B153" s="30" t="s">
        <v>34</v>
      </c>
      <c r="C153" s="33">
        <v>2550</v>
      </c>
    </row>
    <row r="154" spans="1:7" x14ac:dyDescent="0.25">
      <c r="B154" s="30" t="s">
        <v>51</v>
      </c>
      <c r="C154" s="33">
        <v>54171</v>
      </c>
    </row>
    <row r="155" spans="1:7" x14ac:dyDescent="0.25">
      <c r="B155" s="30" t="s">
        <v>94</v>
      </c>
      <c r="C155" s="33">
        <v>740</v>
      </c>
    </row>
    <row r="156" spans="1:7" x14ac:dyDescent="0.25">
      <c r="C156" s="33">
        <f>SUM(C152:C155)</f>
        <v>85660</v>
      </c>
    </row>
    <row r="157" spans="1:7" x14ac:dyDescent="0.25">
      <c r="A157" t="s">
        <v>48</v>
      </c>
      <c r="C157" s="33">
        <f>+C156/30</f>
        <v>2855.3333333333335</v>
      </c>
    </row>
  </sheetData>
  <phoneticPr fontId="0" type="noConversion"/>
  <pageMargins left="0.75" right="0.75" top="1" bottom="1" header="0.5" footer="0.5"/>
  <pageSetup scale="2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Net 284</vt:lpstr>
      <vt:lpstr>NFUL_daily</vt:lpstr>
      <vt:lpstr>Trco_NFUL</vt:lpstr>
      <vt:lpstr>Tickets</vt:lpstr>
      <vt:lpstr>price_calc</vt:lpstr>
      <vt:lpstr>Sheet1</vt:lpstr>
      <vt:lpstr>5th</vt:lpstr>
      <vt:lpstr>2nd</vt:lpstr>
      <vt:lpstr>1st</vt:lpstr>
      <vt:lpstr>Trco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cp:lastPrinted>2001-05-23T16:20:02Z</cp:lastPrinted>
  <dcterms:created xsi:type="dcterms:W3CDTF">2001-03-10T18:26:31Z</dcterms:created>
  <dcterms:modified xsi:type="dcterms:W3CDTF">2023-09-10T15:47:21Z</dcterms:modified>
</cp:coreProperties>
</file>