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5412" yWindow="156" windowWidth="8676" windowHeight="7932" tabRatio="602" activeTab="5"/>
  </bookViews>
  <sheets>
    <sheet name="Pricing Notes" sheetId="24" r:id="rId1"/>
    <sheet name="CGAS" sheetId="22" r:id="rId2"/>
    <sheet name="Pricing" sheetId="21" r:id="rId3"/>
    <sheet name="CES Retail East" sheetId="25" r:id="rId4"/>
    <sheet name="CES Retail Mrkt" sheetId="19" r:id="rId5"/>
    <sheet name="MetroMedia" sheetId="27" r:id="rId6"/>
    <sheet name="Original" sheetId="26" r:id="rId7"/>
  </sheets>
  <definedNames>
    <definedName name="_xlnm.Print_Area" localSheetId="0">'Pricing Notes'!$A$1:$N$72</definedName>
  </definedNames>
  <calcPr calcId="0" iterate="1" iterateCount="20" iterateDelta="0.01"/>
</workbook>
</file>

<file path=xl/calcChain.xml><?xml version="1.0" encoding="utf-8"?>
<calcChain xmlns="http://schemas.openxmlformats.org/spreadsheetml/2006/main">
  <c r="W11" i="25" l="1"/>
  <c r="J12" i="25"/>
  <c r="P12" i="25"/>
  <c r="T12" i="25"/>
  <c r="J13" i="25"/>
  <c r="P13" i="25"/>
  <c r="T13" i="25"/>
  <c r="J14" i="25"/>
  <c r="P14" i="25"/>
  <c r="T14" i="25"/>
  <c r="J15" i="25"/>
  <c r="P15" i="25"/>
  <c r="T15" i="25"/>
  <c r="J16" i="25"/>
  <c r="P16" i="25"/>
  <c r="T16" i="25"/>
  <c r="J17" i="25"/>
  <c r="P17" i="25"/>
  <c r="T17" i="25"/>
  <c r="J18" i="25"/>
  <c r="P18" i="25"/>
  <c r="T18" i="25"/>
  <c r="J19" i="25"/>
  <c r="P19" i="25"/>
  <c r="T19" i="25"/>
  <c r="J20" i="25"/>
  <c r="P20" i="25"/>
  <c r="T20" i="25"/>
  <c r="J21" i="25"/>
  <c r="P21" i="25"/>
  <c r="T21" i="25"/>
  <c r="J22" i="25"/>
  <c r="P22" i="25"/>
  <c r="T22" i="25"/>
  <c r="J23" i="25"/>
  <c r="P23" i="25"/>
  <c r="T23" i="25"/>
  <c r="J24" i="25"/>
  <c r="T24" i="25"/>
  <c r="J25" i="25"/>
  <c r="P25" i="25"/>
  <c r="T25" i="25"/>
  <c r="J26" i="25"/>
  <c r="P26" i="25"/>
  <c r="T26" i="25"/>
  <c r="J27" i="25"/>
  <c r="T27" i="25"/>
  <c r="J28" i="25"/>
  <c r="T28" i="25"/>
  <c r="T29" i="25"/>
  <c r="T30" i="25"/>
  <c r="T31" i="25"/>
  <c r="R34" i="25"/>
  <c r="T34" i="25"/>
  <c r="W35" i="25"/>
  <c r="P36" i="25"/>
  <c r="T36" i="25"/>
  <c r="J37" i="25"/>
  <c r="P37" i="25"/>
  <c r="T37" i="25"/>
  <c r="P38" i="25"/>
  <c r="T38" i="25"/>
  <c r="J39" i="25"/>
  <c r="P39" i="25"/>
  <c r="T39" i="25"/>
  <c r="J40" i="25"/>
  <c r="T40" i="25"/>
  <c r="J41" i="25"/>
  <c r="T41" i="25"/>
  <c r="J42" i="25"/>
  <c r="T42" i="25"/>
  <c r="J43" i="25"/>
  <c r="T43" i="25"/>
  <c r="T45" i="25"/>
  <c r="W46" i="25"/>
  <c r="J47" i="25"/>
  <c r="P47" i="25"/>
  <c r="T47" i="25"/>
  <c r="J48" i="25"/>
  <c r="P48" i="25"/>
  <c r="T48" i="25"/>
  <c r="J49" i="25"/>
  <c r="P49" i="25"/>
  <c r="T49" i="25"/>
  <c r="J50" i="25"/>
  <c r="P50" i="25"/>
  <c r="T50" i="25"/>
  <c r="T51" i="25"/>
  <c r="J52" i="25"/>
  <c r="T52" i="25"/>
  <c r="T53" i="25"/>
  <c r="T54" i="25"/>
  <c r="T56" i="25"/>
  <c r="W57" i="25"/>
  <c r="P58" i="25"/>
  <c r="T58" i="25"/>
  <c r="P59" i="25"/>
  <c r="T59" i="25"/>
  <c r="P60" i="25"/>
  <c r="T60" i="25"/>
  <c r="P61" i="25"/>
  <c r="T61" i="25"/>
  <c r="P62" i="25"/>
  <c r="T62" i="25"/>
  <c r="P63" i="25"/>
  <c r="T63" i="25"/>
  <c r="P64" i="25"/>
  <c r="T64" i="25"/>
  <c r="P65" i="25"/>
  <c r="T65" i="25"/>
  <c r="T66" i="25"/>
  <c r="T67" i="25"/>
  <c r="J68" i="25"/>
  <c r="T68" i="25"/>
  <c r="T69" i="25"/>
  <c r="T70" i="25"/>
  <c r="J71" i="25"/>
  <c r="T71" i="25"/>
  <c r="T72" i="25"/>
  <c r="J73" i="25"/>
  <c r="T73" i="25"/>
  <c r="T74" i="25"/>
  <c r="P75" i="25"/>
  <c r="T75" i="25"/>
  <c r="J76" i="25"/>
  <c r="T76" i="25"/>
  <c r="J77" i="25"/>
  <c r="T77" i="25"/>
  <c r="J78" i="25"/>
  <c r="T78" i="25"/>
  <c r="J79" i="25"/>
  <c r="T79" i="25"/>
  <c r="T80" i="25"/>
  <c r="T81" i="25"/>
  <c r="T82" i="25"/>
  <c r="T83" i="25"/>
  <c r="T84" i="25"/>
  <c r="T85" i="25"/>
  <c r="R86" i="25"/>
  <c r="T86" i="25"/>
  <c r="W87" i="25"/>
  <c r="P88" i="25"/>
  <c r="T88" i="25"/>
  <c r="P89" i="25"/>
  <c r="T89" i="25"/>
  <c r="P90" i="25"/>
  <c r="T90" i="25"/>
  <c r="R91" i="25"/>
  <c r="T91" i="25"/>
  <c r="W92" i="25"/>
  <c r="P93" i="25"/>
  <c r="T93" i="25"/>
  <c r="P94" i="25"/>
  <c r="T94" i="25"/>
  <c r="P95" i="25"/>
  <c r="R95" i="25"/>
  <c r="T95" i="25"/>
  <c r="J96" i="25"/>
  <c r="P96" i="25"/>
  <c r="T96" i="25"/>
  <c r="J97" i="25"/>
  <c r="P97" i="25"/>
  <c r="S97" i="25"/>
  <c r="T97" i="25"/>
  <c r="J98" i="25"/>
  <c r="P98" i="25"/>
  <c r="R98" i="25"/>
  <c r="S98" i="25"/>
  <c r="T98" i="25"/>
  <c r="J99" i="25"/>
  <c r="P99" i="25"/>
  <c r="T99" i="25"/>
  <c r="J100" i="25"/>
  <c r="P100" i="25"/>
  <c r="T100" i="25"/>
  <c r="J101" i="25"/>
  <c r="P101" i="25"/>
  <c r="R101" i="25"/>
  <c r="T101" i="25"/>
  <c r="J102" i="25"/>
  <c r="P102" i="25"/>
  <c r="T102" i="25"/>
  <c r="P103" i="25"/>
  <c r="T103" i="25"/>
  <c r="P104" i="25"/>
  <c r="T104" i="25"/>
  <c r="P105" i="25"/>
  <c r="T105" i="25"/>
  <c r="P106" i="25"/>
  <c r="T106" i="25"/>
  <c r="J107" i="25"/>
  <c r="P107" i="25"/>
  <c r="T107" i="25"/>
  <c r="J108" i="25"/>
  <c r="P108" i="25"/>
  <c r="T108" i="25"/>
  <c r="J109" i="25"/>
  <c r="P109" i="25"/>
  <c r="T109" i="25"/>
  <c r="J110" i="25"/>
  <c r="P110" i="25"/>
  <c r="T110" i="25"/>
  <c r="T111" i="25"/>
  <c r="T114" i="25"/>
  <c r="J12" i="19"/>
  <c r="T12" i="19"/>
  <c r="J13" i="19"/>
  <c r="T13" i="19"/>
  <c r="J14" i="19"/>
  <c r="T14" i="19"/>
  <c r="J15" i="19"/>
  <c r="T15" i="19"/>
  <c r="J16" i="19"/>
  <c r="T16" i="19"/>
  <c r="J17" i="19"/>
  <c r="T17" i="19"/>
  <c r="J18" i="19"/>
  <c r="T18" i="19"/>
  <c r="J19" i="19"/>
  <c r="P19" i="19"/>
  <c r="T19" i="19"/>
  <c r="R20" i="19"/>
  <c r="T20" i="19"/>
  <c r="U20" i="19"/>
  <c r="J22" i="19"/>
  <c r="P22" i="19"/>
  <c r="T22" i="19"/>
  <c r="J23" i="19"/>
  <c r="P23" i="19"/>
  <c r="T23" i="19"/>
  <c r="P24" i="19"/>
  <c r="T24" i="19"/>
  <c r="P25" i="19"/>
  <c r="T25" i="19"/>
  <c r="P26" i="19"/>
  <c r="T26" i="19"/>
  <c r="J27" i="19"/>
  <c r="T27" i="19"/>
  <c r="J28" i="19"/>
  <c r="T28" i="19"/>
  <c r="J29" i="19"/>
  <c r="T29" i="19"/>
  <c r="J30" i="19"/>
  <c r="P30" i="19"/>
  <c r="T30" i="19"/>
  <c r="T31" i="19"/>
  <c r="T32" i="19"/>
  <c r="R33" i="19"/>
  <c r="T33" i="19"/>
  <c r="U33" i="19"/>
  <c r="W34" i="19"/>
  <c r="J35" i="19"/>
  <c r="P35" i="19"/>
  <c r="J36" i="19"/>
  <c r="P36" i="19"/>
  <c r="J37" i="19"/>
  <c r="P37" i="19"/>
  <c r="T37" i="19"/>
  <c r="J38" i="19"/>
  <c r="P38" i="19"/>
  <c r="T38" i="19"/>
  <c r="J39" i="19"/>
  <c r="P39" i="19"/>
  <c r="T39" i="19"/>
  <c r="J40" i="19"/>
  <c r="P40" i="19"/>
  <c r="T40" i="19"/>
  <c r="J41" i="19"/>
  <c r="P41" i="19"/>
  <c r="T41" i="19"/>
  <c r="J42" i="19"/>
  <c r="P42" i="19"/>
  <c r="T42" i="19"/>
  <c r="J43" i="19"/>
  <c r="P43" i="19"/>
  <c r="T43" i="19"/>
  <c r="J44" i="19"/>
  <c r="P44" i="19"/>
  <c r="T44" i="19"/>
  <c r="P45" i="19"/>
  <c r="T45" i="19"/>
  <c r="P46" i="19"/>
  <c r="T46" i="19"/>
  <c r="P47" i="19"/>
  <c r="T47" i="19"/>
  <c r="J48" i="19"/>
  <c r="P48" i="19"/>
  <c r="T48" i="19"/>
  <c r="J49" i="19"/>
  <c r="P49" i="19"/>
  <c r="T49" i="19"/>
  <c r="J50" i="19"/>
  <c r="P50" i="19"/>
  <c r="T50" i="19"/>
  <c r="J51" i="19"/>
  <c r="P51" i="19"/>
  <c r="T51" i="19"/>
  <c r="J52" i="19"/>
  <c r="P52" i="19"/>
  <c r="T52" i="19"/>
  <c r="J53" i="19"/>
  <c r="P53" i="19"/>
  <c r="T53" i="19"/>
  <c r="J54" i="19"/>
  <c r="P54" i="19"/>
  <c r="T54" i="19"/>
  <c r="J55" i="19"/>
  <c r="P55" i="19"/>
  <c r="T55" i="19"/>
  <c r="J56" i="19"/>
  <c r="P56" i="19"/>
  <c r="T56" i="19"/>
  <c r="J57" i="19"/>
  <c r="P57" i="19"/>
  <c r="T57" i="19"/>
  <c r="J58" i="19"/>
  <c r="P58" i="19"/>
  <c r="T58" i="19"/>
  <c r="J59" i="19"/>
  <c r="P59" i="19"/>
  <c r="T59" i="19"/>
  <c r="J60" i="19"/>
  <c r="P60" i="19"/>
  <c r="T60" i="19"/>
  <c r="J61" i="19"/>
  <c r="P61" i="19"/>
  <c r="T61" i="19"/>
  <c r="J62" i="19"/>
  <c r="P62" i="19"/>
  <c r="T62" i="19"/>
  <c r="P63" i="19"/>
  <c r="T63" i="19"/>
  <c r="J64" i="19"/>
  <c r="T64" i="19"/>
  <c r="T65" i="19"/>
  <c r="J66" i="19"/>
  <c r="P66" i="19"/>
  <c r="T66" i="19"/>
  <c r="J67" i="19"/>
  <c r="P67" i="19"/>
  <c r="T67" i="19"/>
  <c r="J68" i="19"/>
  <c r="T68" i="19"/>
  <c r="J69" i="19"/>
  <c r="P69" i="19"/>
  <c r="T69" i="19"/>
  <c r="J70" i="19"/>
  <c r="T70" i="19"/>
  <c r="J71" i="19"/>
  <c r="T71" i="19"/>
  <c r="T72" i="19"/>
  <c r="T73" i="19"/>
  <c r="T74" i="19"/>
  <c r="T75" i="19"/>
  <c r="T77" i="19"/>
  <c r="T78" i="19"/>
  <c r="T79" i="19"/>
  <c r="T80" i="19"/>
  <c r="T81" i="19"/>
  <c r="T82" i="19"/>
  <c r="T83" i="19"/>
  <c r="T84" i="19"/>
  <c r="T85" i="19"/>
  <c r="T86" i="19"/>
  <c r="J87" i="19"/>
  <c r="T87" i="19"/>
  <c r="T88" i="19"/>
  <c r="T89" i="19"/>
  <c r="T90" i="19"/>
  <c r="R91" i="19"/>
  <c r="T91" i="19"/>
  <c r="U91" i="19"/>
  <c r="W92" i="19"/>
  <c r="J93" i="19"/>
  <c r="P93" i="19"/>
  <c r="T93" i="19"/>
  <c r="T94" i="19"/>
  <c r="T97" i="19"/>
  <c r="F6" i="22"/>
  <c r="I6" i="22"/>
  <c r="K6" i="22"/>
  <c r="O6" i="22"/>
  <c r="Q6" i="22"/>
  <c r="S6" i="22"/>
  <c r="V6" i="22"/>
  <c r="A7" i="22"/>
  <c r="D7" i="22"/>
  <c r="F7" i="22"/>
  <c r="I7" i="22"/>
  <c r="K7" i="22"/>
  <c r="O7" i="22"/>
  <c r="P7" i="22"/>
  <c r="Q7" i="22"/>
  <c r="S7" i="22"/>
  <c r="V7" i="22"/>
  <c r="A8" i="22"/>
  <c r="D8" i="22"/>
  <c r="F8" i="22"/>
  <c r="I8" i="22"/>
  <c r="K8" i="22"/>
  <c r="O8" i="22"/>
  <c r="P8" i="22"/>
  <c r="Q8" i="22"/>
  <c r="S8" i="22"/>
  <c r="V8" i="22"/>
  <c r="A9" i="22"/>
  <c r="D9" i="22"/>
  <c r="F9" i="22"/>
  <c r="I9" i="22"/>
  <c r="K9" i="22"/>
  <c r="O9" i="22"/>
  <c r="P9" i="22"/>
  <c r="Q9" i="22"/>
  <c r="S9" i="22"/>
  <c r="V9" i="22"/>
  <c r="A10" i="22"/>
  <c r="D10" i="22"/>
  <c r="F10" i="22"/>
  <c r="I10" i="22"/>
  <c r="K10" i="22"/>
  <c r="O10" i="22"/>
  <c r="P10" i="22"/>
  <c r="Q10" i="22"/>
  <c r="S10" i="22"/>
  <c r="V10" i="22"/>
  <c r="A11" i="22"/>
  <c r="F11" i="22"/>
  <c r="I11" i="22"/>
  <c r="K11" i="22"/>
  <c r="O11" i="22"/>
  <c r="P11" i="22"/>
  <c r="Q11" i="22"/>
  <c r="S11" i="22"/>
  <c r="V11" i="22"/>
  <c r="A12" i="22"/>
  <c r="B12" i="22"/>
  <c r="C12" i="22"/>
  <c r="D12" i="22"/>
  <c r="F12" i="22"/>
  <c r="H12" i="22"/>
  <c r="I12" i="22"/>
  <c r="K12" i="22"/>
  <c r="O12" i="22"/>
  <c r="P12" i="22"/>
  <c r="Q12" i="22"/>
  <c r="S12" i="22"/>
  <c r="V12" i="22"/>
  <c r="A13" i="22"/>
  <c r="B13" i="22"/>
  <c r="C13" i="22"/>
  <c r="D13" i="22"/>
  <c r="F13" i="22"/>
  <c r="H13" i="22"/>
  <c r="I13" i="22"/>
  <c r="K13" i="22"/>
  <c r="O13" i="22"/>
  <c r="P13" i="22"/>
  <c r="Q13" i="22"/>
  <c r="S13" i="22"/>
  <c r="V13" i="22"/>
  <c r="A14" i="22"/>
  <c r="B14" i="22"/>
  <c r="C14" i="22"/>
  <c r="D14" i="22"/>
  <c r="F14" i="22"/>
  <c r="H14" i="22"/>
  <c r="I14" i="22"/>
  <c r="K14" i="22"/>
  <c r="O14" i="22"/>
  <c r="P14" i="22"/>
  <c r="Q14" i="22"/>
  <c r="S14" i="22"/>
  <c r="V14" i="22"/>
  <c r="A15" i="22"/>
  <c r="B15" i="22"/>
  <c r="C15" i="22"/>
  <c r="D15" i="22"/>
  <c r="F15" i="22"/>
  <c r="H15" i="22"/>
  <c r="I15" i="22"/>
  <c r="K15" i="22"/>
  <c r="O15" i="22"/>
  <c r="P15" i="22"/>
  <c r="Q15" i="22"/>
  <c r="S15" i="22"/>
  <c r="V15" i="22"/>
  <c r="A16" i="22"/>
  <c r="B16" i="22"/>
  <c r="C16" i="22"/>
  <c r="D16" i="22"/>
  <c r="F16" i="22"/>
  <c r="H16" i="22"/>
  <c r="I16" i="22"/>
  <c r="K16" i="22"/>
  <c r="O16" i="22"/>
  <c r="P16" i="22"/>
  <c r="Q16" i="22"/>
  <c r="S16" i="22"/>
  <c r="V16" i="22"/>
  <c r="A17" i="22"/>
  <c r="B17" i="22"/>
  <c r="C17" i="22"/>
  <c r="D17" i="22"/>
  <c r="F17" i="22"/>
  <c r="H17" i="22"/>
  <c r="I17" i="22"/>
  <c r="K17" i="22"/>
  <c r="O17" i="22"/>
  <c r="P17" i="22"/>
  <c r="Q17" i="22"/>
  <c r="S17" i="22"/>
  <c r="V17" i="22"/>
  <c r="A18" i="22"/>
  <c r="B18" i="22"/>
  <c r="C18" i="22"/>
  <c r="D18" i="22"/>
  <c r="F18" i="22"/>
  <c r="H18" i="22"/>
  <c r="I18" i="22"/>
  <c r="K18" i="22"/>
  <c r="O18" i="22"/>
  <c r="P18" i="22"/>
  <c r="Q18" i="22"/>
  <c r="S18" i="22"/>
  <c r="V18" i="22"/>
  <c r="A19" i="22"/>
  <c r="B19" i="22"/>
  <c r="C19" i="22"/>
  <c r="D19" i="22"/>
  <c r="F19" i="22"/>
  <c r="H19" i="22"/>
  <c r="I19" i="22"/>
  <c r="K19" i="22"/>
  <c r="O19" i="22"/>
  <c r="P19" i="22"/>
  <c r="Q19" i="22"/>
  <c r="S19" i="22"/>
  <c r="V19" i="22"/>
  <c r="A20" i="22"/>
  <c r="B20" i="22"/>
  <c r="C20" i="22"/>
  <c r="D20" i="22"/>
  <c r="F20" i="22"/>
  <c r="H20" i="22"/>
  <c r="I20" i="22"/>
  <c r="K20" i="22"/>
  <c r="O20" i="22"/>
  <c r="P20" i="22"/>
  <c r="Q20" i="22"/>
  <c r="S20" i="22"/>
  <c r="V20" i="22"/>
  <c r="A21" i="22"/>
  <c r="B21" i="22"/>
  <c r="C21" i="22"/>
  <c r="D21" i="22"/>
  <c r="F21" i="22"/>
  <c r="H21" i="22"/>
  <c r="I21" i="22"/>
  <c r="K21" i="22"/>
  <c r="O21" i="22"/>
  <c r="P21" i="22"/>
  <c r="Q21" i="22"/>
  <c r="S21" i="22"/>
  <c r="V21" i="22"/>
  <c r="A22" i="22"/>
  <c r="B22" i="22"/>
  <c r="C22" i="22"/>
  <c r="D22" i="22"/>
  <c r="F22" i="22"/>
  <c r="H22" i="22"/>
  <c r="I22" i="22"/>
  <c r="K22" i="22"/>
  <c r="O22" i="22"/>
  <c r="P22" i="22"/>
  <c r="Q22" i="22"/>
  <c r="S22" i="22"/>
  <c r="V22" i="22"/>
  <c r="A23" i="22"/>
  <c r="B23" i="22"/>
  <c r="C23" i="22"/>
  <c r="D23" i="22"/>
  <c r="F23" i="22"/>
  <c r="H23" i="22"/>
  <c r="I23" i="22"/>
  <c r="K23" i="22"/>
  <c r="O23" i="22"/>
  <c r="P23" i="22"/>
  <c r="Q23" i="22"/>
  <c r="S23" i="22"/>
  <c r="V23" i="22"/>
  <c r="A24" i="22"/>
  <c r="B24" i="22"/>
  <c r="C24" i="22"/>
  <c r="D24" i="22"/>
  <c r="F24" i="22"/>
  <c r="H24" i="22"/>
  <c r="I24" i="22"/>
  <c r="K24" i="22"/>
  <c r="O24" i="22"/>
  <c r="P24" i="22"/>
  <c r="Q24" i="22"/>
  <c r="S24" i="22"/>
  <c r="V24" i="22"/>
  <c r="A25" i="22"/>
  <c r="B25" i="22"/>
  <c r="C25" i="22"/>
  <c r="D25" i="22"/>
  <c r="F25" i="22"/>
  <c r="H25" i="22"/>
  <c r="I25" i="22"/>
  <c r="K25" i="22"/>
  <c r="O25" i="22"/>
  <c r="P25" i="22"/>
  <c r="Q25" i="22"/>
  <c r="S25" i="22"/>
  <c r="V25" i="22"/>
  <c r="A26" i="22"/>
  <c r="B26" i="22"/>
  <c r="C26" i="22"/>
  <c r="D26" i="22"/>
  <c r="F26" i="22"/>
  <c r="H26" i="22"/>
  <c r="I26" i="22"/>
  <c r="K26" i="22"/>
  <c r="O26" i="22"/>
  <c r="P26" i="22"/>
  <c r="Q26" i="22"/>
  <c r="S26" i="22"/>
  <c r="V26" i="22"/>
  <c r="A27" i="22"/>
  <c r="B27" i="22"/>
  <c r="C27" i="22"/>
  <c r="D27" i="22"/>
  <c r="F27" i="22"/>
  <c r="H27" i="22"/>
  <c r="I27" i="22"/>
  <c r="K27" i="22"/>
  <c r="O27" i="22"/>
  <c r="P27" i="22"/>
  <c r="Q27" i="22"/>
  <c r="S27" i="22"/>
  <c r="V27" i="22"/>
  <c r="A28" i="22"/>
  <c r="B28" i="22"/>
  <c r="C28" i="22"/>
  <c r="D28" i="22"/>
  <c r="F28" i="22"/>
  <c r="H28" i="22"/>
  <c r="I28" i="22"/>
  <c r="K28" i="22"/>
  <c r="O28" i="22"/>
  <c r="P28" i="22"/>
  <c r="Q28" i="22"/>
  <c r="S28" i="22"/>
  <c r="V28" i="22"/>
  <c r="A29" i="22"/>
  <c r="B29" i="22"/>
  <c r="C29" i="22"/>
  <c r="D29" i="22"/>
  <c r="F29" i="22"/>
  <c r="H29" i="22"/>
  <c r="I29" i="22"/>
  <c r="K29" i="22"/>
  <c r="O29" i="22"/>
  <c r="P29" i="22"/>
  <c r="Q29" i="22"/>
  <c r="S29" i="22"/>
  <c r="V29" i="22"/>
  <c r="A30" i="22"/>
  <c r="B30" i="22"/>
  <c r="C30" i="22"/>
  <c r="D30" i="22"/>
  <c r="F30" i="22"/>
  <c r="H30" i="22"/>
  <c r="I30" i="22"/>
  <c r="K30" i="22"/>
  <c r="O30" i="22"/>
  <c r="P30" i="22"/>
  <c r="Q30" i="22"/>
  <c r="S30" i="22"/>
  <c r="V30" i="22"/>
  <c r="Z30" i="22"/>
  <c r="A31" i="22"/>
  <c r="B31" i="22"/>
  <c r="C31" i="22"/>
  <c r="D31" i="22"/>
  <c r="F31" i="22"/>
  <c r="H31" i="22"/>
  <c r="I31" i="22"/>
  <c r="K31" i="22"/>
  <c r="O31" i="22"/>
  <c r="P31" i="22"/>
  <c r="Q31" i="22"/>
  <c r="S31" i="22"/>
  <c r="V31" i="22"/>
  <c r="Z31" i="22"/>
  <c r="A32" i="22"/>
  <c r="B32" i="22"/>
  <c r="C32" i="22"/>
  <c r="D32" i="22"/>
  <c r="F32" i="22"/>
  <c r="H32" i="22"/>
  <c r="I32" i="22"/>
  <c r="K32" i="22"/>
  <c r="O32" i="22"/>
  <c r="P32" i="22"/>
  <c r="Q32" i="22"/>
  <c r="S32" i="22"/>
  <c r="V32" i="22"/>
  <c r="Z32" i="22"/>
  <c r="A33" i="22"/>
  <c r="B33" i="22"/>
  <c r="C33" i="22"/>
  <c r="D33" i="22"/>
  <c r="F33" i="22"/>
  <c r="H33" i="22"/>
  <c r="I33" i="22"/>
  <c r="K33" i="22"/>
  <c r="O33" i="22"/>
  <c r="P33" i="22"/>
  <c r="Q33" i="22"/>
  <c r="S33" i="22"/>
  <c r="V33" i="22"/>
  <c r="Z33" i="22"/>
  <c r="A34" i="22"/>
  <c r="B34" i="22"/>
  <c r="C34" i="22"/>
  <c r="D34" i="22"/>
  <c r="F34" i="22"/>
  <c r="H34" i="22"/>
  <c r="I34" i="22"/>
  <c r="K34" i="22"/>
  <c r="O34" i="22"/>
  <c r="P34" i="22"/>
  <c r="Q34" i="22"/>
  <c r="S34" i="22"/>
  <c r="V34" i="22"/>
  <c r="Z34" i="22"/>
  <c r="A35" i="22"/>
  <c r="B35" i="22"/>
  <c r="C35" i="22"/>
  <c r="D35" i="22"/>
  <c r="F35" i="22"/>
  <c r="H35" i="22"/>
  <c r="I35" i="22"/>
  <c r="K35" i="22"/>
  <c r="O35" i="22"/>
  <c r="P35" i="22"/>
  <c r="Q35" i="22"/>
  <c r="S35" i="22"/>
  <c r="V35" i="22"/>
  <c r="Z35" i="22"/>
  <c r="A36" i="22"/>
  <c r="B36" i="22"/>
  <c r="C36" i="22"/>
  <c r="D36" i="22"/>
  <c r="F36" i="22"/>
  <c r="H36" i="22"/>
  <c r="I36" i="22"/>
  <c r="K36" i="22"/>
  <c r="O36" i="22"/>
  <c r="P36" i="22"/>
  <c r="Q36" i="22"/>
  <c r="S36" i="22"/>
  <c r="V36" i="22"/>
  <c r="Z36" i="22"/>
  <c r="B38" i="22"/>
  <c r="C38" i="22"/>
  <c r="D38" i="22"/>
  <c r="F38" i="22"/>
  <c r="H38" i="22"/>
  <c r="I38" i="22"/>
  <c r="K38" i="22"/>
  <c r="M38" i="22"/>
  <c r="O38" i="22"/>
  <c r="P38" i="22"/>
  <c r="Q38" i="22"/>
  <c r="S38" i="22"/>
  <c r="V38" i="22"/>
  <c r="X38" i="22"/>
  <c r="Z38" i="22"/>
  <c r="X41" i="22"/>
  <c r="I12" i="27"/>
  <c r="O12" i="27"/>
  <c r="Q12" i="27"/>
  <c r="I13" i="27"/>
  <c r="K13" i="27"/>
  <c r="O13" i="27"/>
  <c r="Q13" i="27"/>
  <c r="I14" i="27"/>
  <c r="K14" i="27"/>
  <c r="O14" i="27"/>
  <c r="Q14" i="27"/>
  <c r="I15" i="27"/>
  <c r="K15" i="27"/>
  <c r="O15" i="27"/>
  <c r="Q15" i="27"/>
  <c r="I16" i="27"/>
  <c r="K16" i="27"/>
  <c r="O16" i="27"/>
  <c r="Q16" i="27"/>
  <c r="I17" i="27"/>
  <c r="K17" i="27"/>
  <c r="O17" i="27"/>
  <c r="Q17" i="27"/>
  <c r="I18" i="27"/>
  <c r="K18" i="27"/>
  <c r="O18" i="27"/>
  <c r="Q18" i="27"/>
  <c r="I19" i="27"/>
  <c r="K19" i="27"/>
  <c r="O19" i="27"/>
  <c r="Q19" i="27"/>
  <c r="I20" i="27"/>
  <c r="K20" i="27"/>
  <c r="O20" i="27"/>
  <c r="Q20" i="27"/>
  <c r="I21" i="27"/>
  <c r="K21" i="27"/>
  <c r="O21" i="27"/>
  <c r="Q21" i="27"/>
  <c r="G22" i="27"/>
  <c r="I22" i="27"/>
  <c r="K22" i="27"/>
  <c r="O22" i="27"/>
  <c r="Q22" i="27"/>
  <c r="G24" i="27"/>
  <c r="I24" i="27"/>
  <c r="K24" i="27"/>
  <c r="M24" i="27"/>
  <c r="O24" i="27"/>
  <c r="Q24" i="27"/>
  <c r="J12" i="26"/>
  <c r="T12" i="26"/>
  <c r="J13" i="26"/>
  <c r="T13" i="26"/>
  <c r="J14" i="26"/>
  <c r="T14" i="26"/>
  <c r="J15" i="26"/>
  <c r="T15" i="26"/>
  <c r="J16" i="26"/>
  <c r="T16" i="26"/>
  <c r="J17" i="26"/>
  <c r="T17" i="26"/>
  <c r="J18" i="26"/>
  <c r="T18" i="26"/>
  <c r="J19" i="26"/>
  <c r="P19" i="26"/>
  <c r="T19" i="26"/>
  <c r="R20" i="26"/>
  <c r="T20" i="26"/>
  <c r="U20" i="26"/>
  <c r="J22" i="26"/>
  <c r="P22" i="26"/>
  <c r="T22" i="26"/>
  <c r="J23" i="26"/>
  <c r="P23" i="26"/>
  <c r="T23" i="26"/>
  <c r="J24" i="26"/>
  <c r="P24" i="26"/>
  <c r="T24" i="26"/>
  <c r="J25" i="26"/>
  <c r="P25" i="26"/>
  <c r="T25" i="26"/>
  <c r="J26" i="26"/>
  <c r="P26" i="26"/>
  <c r="T26" i="26"/>
  <c r="P27" i="26"/>
  <c r="T27" i="26"/>
  <c r="P28" i="26"/>
  <c r="T28" i="26"/>
  <c r="P29" i="26"/>
  <c r="T29" i="26"/>
  <c r="J30" i="26"/>
  <c r="T30" i="26"/>
  <c r="J31" i="26"/>
  <c r="T31" i="26"/>
  <c r="J32" i="26"/>
  <c r="T32" i="26"/>
  <c r="J33" i="26"/>
  <c r="P33" i="26"/>
  <c r="T33" i="26"/>
  <c r="T34" i="26"/>
  <c r="T35" i="26"/>
  <c r="R36" i="26"/>
  <c r="T36" i="26"/>
  <c r="U36" i="26"/>
  <c r="W37" i="26"/>
  <c r="J38" i="26"/>
  <c r="P38" i="26"/>
  <c r="J39" i="26"/>
  <c r="P39" i="26"/>
  <c r="J40" i="26"/>
  <c r="P40" i="26"/>
  <c r="T40" i="26"/>
  <c r="J41" i="26"/>
  <c r="P41" i="26"/>
  <c r="T41" i="26"/>
  <c r="J42" i="26"/>
  <c r="P42" i="26"/>
  <c r="T42" i="26"/>
  <c r="J43" i="26"/>
  <c r="P43" i="26"/>
  <c r="T43" i="26"/>
  <c r="J44" i="26"/>
  <c r="P44" i="26"/>
  <c r="T44" i="26"/>
  <c r="J45" i="26"/>
  <c r="P45" i="26"/>
  <c r="T45" i="26"/>
  <c r="J46" i="26"/>
  <c r="P46" i="26"/>
  <c r="T46" i="26"/>
  <c r="J47" i="26"/>
  <c r="P47" i="26"/>
  <c r="T47" i="26"/>
  <c r="P48" i="26"/>
  <c r="T48" i="26"/>
  <c r="P49" i="26"/>
  <c r="T49" i="26"/>
  <c r="J50" i="26"/>
  <c r="P50" i="26"/>
  <c r="T50" i="26"/>
  <c r="J51" i="26"/>
  <c r="P51" i="26"/>
  <c r="T51" i="26"/>
  <c r="J52" i="26"/>
  <c r="P52" i="26"/>
  <c r="T52" i="26"/>
  <c r="J53" i="26"/>
  <c r="P53" i="26"/>
  <c r="T53" i="26"/>
  <c r="J54" i="26"/>
  <c r="P54" i="26"/>
  <c r="T54" i="26"/>
  <c r="J55" i="26"/>
  <c r="P55" i="26"/>
  <c r="T55" i="26"/>
  <c r="J56" i="26"/>
  <c r="P56" i="26"/>
  <c r="T56" i="26"/>
  <c r="J57" i="26"/>
  <c r="P57" i="26"/>
  <c r="T57" i="26"/>
  <c r="J58" i="26"/>
  <c r="P58" i="26"/>
  <c r="T58" i="26"/>
  <c r="J59" i="26"/>
  <c r="P59" i="26"/>
  <c r="T59" i="26"/>
  <c r="J60" i="26"/>
  <c r="P60" i="26"/>
  <c r="T60" i="26"/>
  <c r="J61" i="26"/>
  <c r="P61" i="26"/>
  <c r="T61" i="26"/>
  <c r="J62" i="26"/>
  <c r="P62" i="26"/>
  <c r="T62" i="26"/>
  <c r="J63" i="26"/>
  <c r="P63" i="26"/>
  <c r="T63" i="26"/>
  <c r="J64" i="26"/>
  <c r="P64" i="26"/>
  <c r="T64" i="26"/>
  <c r="J65" i="26"/>
  <c r="T65" i="26"/>
  <c r="J66" i="26"/>
  <c r="P66" i="26"/>
  <c r="T66" i="26"/>
  <c r="J67" i="26"/>
  <c r="P67" i="26"/>
  <c r="T67" i="26"/>
  <c r="J68" i="26"/>
  <c r="T68" i="26"/>
  <c r="J69" i="26"/>
  <c r="P69" i="26"/>
  <c r="T69" i="26"/>
  <c r="J70" i="26"/>
  <c r="T70" i="26"/>
  <c r="J71" i="26"/>
  <c r="T71" i="26"/>
  <c r="T72" i="26"/>
  <c r="T73" i="26"/>
  <c r="T74" i="26"/>
  <c r="T75" i="26"/>
  <c r="T77" i="26"/>
  <c r="T78" i="26"/>
  <c r="T79" i="26"/>
  <c r="T80" i="26"/>
  <c r="T81" i="26"/>
  <c r="T82" i="26"/>
  <c r="T83" i="26"/>
  <c r="T84" i="26"/>
  <c r="T85" i="26"/>
  <c r="T86" i="26"/>
  <c r="J87" i="26"/>
  <c r="T87" i="26"/>
  <c r="T88" i="26"/>
  <c r="T89" i="26"/>
  <c r="T90" i="26"/>
  <c r="R91" i="26"/>
  <c r="T91" i="26"/>
  <c r="U91" i="26"/>
  <c r="W92" i="26"/>
  <c r="J93" i="26"/>
  <c r="P93" i="26"/>
  <c r="T93" i="26"/>
  <c r="J94" i="26"/>
  <c r="P94" i="26"/>
  <c r="T94" i="26"/>
  <c r="J95" i="26"/>
  <c r="P95" i="26"/>
  <c r="T95" i="26"/>
  <c r="J96" i="26"/>
  <c r="P96" i="26"/>
  <c r="T96" i="26"/>
  <c r="J97" i="26"/>
  <c r="P97" i="26"/>
  <c r="T97" i="26"/>
  <c r="J98" i="26"/>
  <c r="P98" i="26"/>
  <c r="T98" i="26"/>
  <c r="J99" i="26"/>
  <c r="P99" i="26"/>
  <c r="T99" i="26"/>
  <c r="J100" i="26"/>
  <c r="P100" i="26"/>
  <c r="T100" i="26"/>
  <c r="J101" i="26"/>
  <c r="P101" i="26"/>
  <c r="T101" i="26"/>
  <c r="J102" i="26"/>
  <c r="P102" i="26"/>
  <c r="T102" i="26"/>
  <c r="J103" i="26"/>
  <c r="P103" i="26"/>
  <c r="T103" i="26"/>
  <c r="J104" i="26"/>
  <c r="P104" i="26"/>
  <c r="T104" i="26"/>
  <c r="J105" i="26"/>
  <c r="T105" i="26"/>
  <c r="J106" i="26"/>
  <c r="P106" i="26"/>
  <c r="T106" i="26"/>
  <c r="J107" i="26"/>
  <c r="P107" i="26"/>
  <c r="T107" i="26"/>
  <c r="J108" i="26"/>
  <c r="T108" i="26"/>
  <c r="J109" i="26"/>
  <c r="T109" i="26"/>
  <c r="T110" i="26"/>
  <c r="T111" i="26"/>
  <c r="T112" i="26"/>
  <c r="R115" i="26"/>
  <c r="T115" i="26"/>
  <c r="W116" i="26"/>
  <c r="J117" i="26"/>
  <c r="P117" i="26"/>
  <c r="T117" i="26"/>
  <c r="T118" i="26"/>
  <c r="W119" i="26"/>
  <c r="P120" i="26"/>
  <c r="T120" i="26"/>
  <c r="J121" i="26"/>
  <c r="P121" i="26"/>
  <c r="T121" i="26"/>
  <c r="P122" i="26"/>
  <c r="T122" i="26"/>
  <c r="J123" i="26"/>
  <c r="P123" i="26"/>
  <c r="T123" i="26"/>
  <c r="J124" i="26"/>
  <c r="T124" i="26"/>
  <c r="J125" i="26"/>
  <c r="R125" i="26"/>
  <c r="T125" i="26"/>
  <c r="J126" i="26"/>
  <c r="T126" i="26"/>
  <c r="J127" i="26"/>
  <c r="T127" i="26"/>
  <c r="T129" i="26"/>
  <c r="W130" i="26"/>
  <c r="J131" i="26"/>
  <c r="P131" i="26"/>
  <c r="T131" i="26"/>
  <c r="J132" i="26"/>
  <c r="P132" i="26"/>
  <c r="T132" i="26"/>
  <c r="J133" i="26"/>
  <c r="P133" i="26"/>
  <c r="T133" i="26"/>
  <c r="J134" i="26"/>
  <c r="P134" i="26"/>
  <c r="T134" i="26"/>
  <c r="T135" i="26"/>
  <c r="J136" i="26"/>
  <c r="T136" i="26"/>
  <c r="T137" i="26"/>
  <c r="T138" i="26"/>
  <c r="T140" i="26"/>
  <c r="W141" i="26"/>
  <c r="P142" i="26"/>
  <c r="T142" i="26"/>
  <c r="P143" i="26"/>
  <c r="T143" i="26"/>
  <c r="P144" i="26"/>
  <c r="T144" i="26"/>
  <c r="P145" i="26"/>
  <c r="T145" i="26"/>
  <c r="P146" i="26"/>
  <c r="T146" i="26"/>
  <c r="P147" i="26"/>
  <c r="T147" i="26"/>
  <c r="P148" i="26"/>
  <c r="T148" i="26"/>
  <c r="P149" i="26"/>
  <c r="T149" i="26"/>
  <c r="T150" i="26"/>
  <c r="T151" i="26"/>
  <c r="J152" i="26"/>
  <c r="T152" i="26"/>
  <c r="T153" i="26"/>
  <c r="T154" i="26"/>
  <c r="J155" i="26"/>
  <c r="T155" i="26"/>
  <c r="T156" i="26"/>
  <c r="J157" i="26"/>
  <c r="T157" i="26"/>
  <c r="T158" i="26"/>
  <c r="P159" i="26"/>
  <c r="T159" i="26"/>
  <c r="J160" i="26"/>
  <c r="T160" i="26"/>
  <c r="J161" i="26"/>
  <c r="T161" i="26"/>
  <c r="J162" i="26"/>
  <c r="T162" i="26"/>
  <c r="J163" i="26"/>
  <c r="T163" i="26"/>
  <c r="T164" i="26"/>
  <c r="T165" i="26"/>
  <c r="T166" i="26"/>
  <c r="T167" i="26"/>
  <c r="T168" i="26"/>
  <c r="T169" i="26"/>
  <c r="R170" i="26"/>
  <c r="T170" i="26"/>
  <c r="W171" i="26"/>
  <c r="P172" i="26"/>
  <c r="T172" i="26"/>
  <c r="P173" i="26"/>
  <c r="T173" i="26"/>
  <c r="P174" i="26"/>
  <c r="T174" i="26"/>
  <c r="R175" i="26"/>
  <c r="T175" i="26"/>
  <c r="W176" i="26"/>
  <c r="P177" i="26"/>
  <c r="T177" i="26"/>
  <c r="P178" i="26"/>
  <c r="T178" i="26"/>
  <c r="P179" i="26"/>
  <c r="R179" i="26"/>
  <c r="T179" i="26"/>
  <c r="J180" i="26"/>
  <c r="P180" i="26"/>
  <c r="T180" i="26"/>
  <c r="J181" i="26"/>
  <c r="P181" i="26"/>
  <c r="T181" i="26"/>
  <c r="J182" i="26"/>
  <c r="P182" i="26"/>
  <c r="R182" i="26"/>
  <c r="T182" i="26"/>
  <c r="J183" i="26"/>
  <c r="P183" i="26"/>
  <c r="T183" i="26"/>
  <c r="J184" i="26"/>
  <c r="P184" i="26"/>
  <c r="T184" i="26"/>
  <c r="J185" i="26"/>
  <c r="P185" i="26"/>
  <c r="R185" i="26"/>
  <c r="T185" i="26"/>
  <c r="J186" i="26"/>
  <c r="P186" i="26"/>
  <c r="T186" i="26"/>
  <c r="P187" i="26"/>
  <c r="T187" i="26"/>
  <c r="P188" i="26"/>
  <c r="T188" i="26"/>
  <c r="P189" i="26"/>
  <c r="T189" i="26"/>
  <c r="P190" i="26"/>
  <c r="T190" i="26"/>
  <c r="J191" i="26"/>
  <c r="P191" i="26"/>
  <c r="T191" i="26"/>
  <c r="J192" i="26"/>
  <c r="P192" i="26"/>
  <c r="T192" i="26"/>
  <c r="J193" i="26"/>
  <c r="P193" i="26"/>
  <c r="T193" i="26"/>
  <c r="T194" i="26"/>
  <c r="T197" i="26"/>
  <c r="T200" i="26"/>
  <c r="T201" i="26"/>
  <c r="T202" i="26"/>
  <c r="C8" i="21"/>
  <c r="E8" i="21"/>
  <c r="C9" i="21"/>
  <c r="E9" i="21"/>
  <c r="I18" i="21"/>
  <c r="I22" i="21"/>
  <c r="C23" i="21"/>
  <c r="E23" i="21"/>
  <c r="I23" i="21"/>
  <c r="C24" i="21"/>
  <c r="E25" i="21"/>
  <c r="C41" i="21"/>
  <c r="E41" i="21"/>
  <c r="G41" i="21"/>
  <c r="C43" i="21"/>
  <c r="E43" i="21"/>
  <c r="G43" i="21"/>
  <c r="E58" i="21"/>
  <c r="C63" i="21"/>
  <c r="E63" i="21"/>
  <c r="C64" i="21"/>
  <c r="E64" i="21"/>
  <c r="C75" i="21"/>
  <c r="E75" i="21"/>
  <c r="C76" i="21"/>
  <c r="E76" i="21"/>
  <c r="C87" i="21"/>
  <c r="C88" i="21"/>
  <c r="C97" i="21"/>
  <c r="C98" i="21"/>
  <c r="C116" i="21"/>
  <c r="C117" i="21"/>
  <c r="C127" i="21"/>
  <c r="C128" i="21"/>
  <c r="C138" i="21"/>
  <c r="K138" i="21"/>
  <c r="C139" i="21"/>
  <c r="K139" i="21"/>
  <c r="C161" i="21"/>
  <c r="C162" i="21"/>
  <c r="C175" i="21"/>
  <c r="C176" i="21"/>
  <c r="C183" i="21"/>
  <c r="C185" i="21"/>
  <c r="C186" i="21"/>
  <c r="I18" i="24"/>
  <c r="H40" i="24"/>
  <c r="E44" i="24"/>
  <c r="F44" i="24"/>
  <c r="H44" i="24"/>
  <c r="I44" i="24"/>
  <c r="E48" i="24"/>
  <c r="F48" i="24"/>
  <c r="H48" i="24"/>
  <c r="I48" i="24"/>
  <c r="E56" i="24"/>
  <c r="F56" i="24"/>
  <c r="H56" i="24"/>
  <c r="I56" i="24"/>
</calcChain>
</file>

<file path=xl/sharedStrings.xml><?xml version="1.0" encoding="utf-8"?>
<sst xmlns="http://schemas.openxmlformats.org/spreadsheetml/2006/main" count="3099" uniqueCount="542">
  <si>
    <t>Demand</t>
  </si>
  <si>
    <t>Transco</t>
  </si>
  <si>
    <t>Tenn</t>
  </si>
  <si>
    <t xml:space="preserve"> </t>
  </si>
  <si>
    <t>buy/sell</t>
  </si>
  <si>
    <t>pipe</t>
  </si>
  <si>
    <t>customer</t>
  </si>
  <si>
    <t>dates</t>
  </si>
  <si>
    <t>rec</t>
  </si>
  <si>
    <t>del</t>
  </si>
  <si>
    <t>dem</t>
  </si>
  <si>
    <t>com</t>
  </si>
  <si>
    <t>aca</t>
  </si>
  <si>
    <t>gri</t>
  </si>
  <si>
    <t>s/c</t>
  </si>
  <si>
    <t>fuel %</t>
  </si>
  <si>
    <t>total</t>
  </si>
  <si>
    <t>vol</t>
  </si>
  <si>
    <t>comment</t>
  </si>
  <si>
    <t>Days</t>
  </si>
  <si>
    <t>Boston Gas</t>
  </si>
  <si>
    <t>Access</t>
  </si>
  <si>
    <t>FT-1</t>
  </si>
  <si>
    <t>CDS</t>
  </si>
  <si>
    <t>M3</t>
  </si>
  <si>
    <t>TETCO</t>
  </si>
  <si>
    <t>CNG</t>
  </si>
  <si>
    <t>AFT-13</t>
  </si>
  <si>
    <t>max demand</t>
  </si>
  <si>
    <t>M2</t>
  </si>
  <si>
    <t>Leach</t>
  </si>
  <si>
    <t>Algonquin</t>
  </si>
  <si>
    <t>St 30</t>
  </si>
  <si>
    <t>Items have been checked</t>
  </si>
  <si>
    <t>Need to verify</t>
  </si>
  <si>
    <t>CES</t>
  </si>
  <si>
    <t>Col Gulf</t>
  </si>
  <si>
    <t>Rayne</t>
  </si>
  <si>
    <t>CES Contact:  John Hodge 713-693-2801</t>
  </si>
  <si>
    <t>ENA Structuring Contact:  Mark Breese 3-6751</t>
  </si>
  <si>
    <t>Comments:</t>
  </si>
  <si>
    <t>Questions</t>
  </si>
  <si>
    <t>Commodity and fuel  on sheet looks like CGAS .  CGLF rate and fuel is $.017 and 2.988%</t>
  </si>
  <si>
    <t>Bought to serve retail requirements, feeds K#65026</t>
  </si>
  <si>
    <t>Col Gas</t>
  </si>
  <si>
    <t>CPA</t>
  </si>
  <si>
    <t>CMD</t>
  </si>
  <si>
    <t>Act Demand</t>
  </si>
  <si>
    <t>Est Demand</t>
  </si>
  <si>
    <t>Type</t>
  </si>
  <si>
    <t>CES / CMD</t>
  </si>
  <si>
    <t>CES / CVA</t>
  </si>
  <si>
    <t>801 - Leach</t>
  </si>
  <si>
    <t>FTS</t>
  </si>
  <si>
    <t>CMD-08</t>
  </si>
  <si>
    <t>CGV-30</t>
  </si>
  <si>
    <t>CMD-08, CMD-04</t>
  </si>
  <si>
    <t>CES / COH</t>
  </si>
  <si>
    <t>STOW</t>
  </si>
  <si>
    <t>FSS</t>
  </si>
  <si>
    <t>MSQ</t>
  </si>
  <si>
    <t>MDWQ</t>
  </si>
  <si>
    <t>#25201</t>
  </si>
  <si>
    <t>#25501</t>
  </si>
  <si>
    <t>#25527</t>
  </si>
  <si>
    <t>#25699</t>
  </si>
  <si>
    <t>#25712</t>
  </si>
  <si>
    <t>#25955</t>
  </si>
  <si>
    <t>#25965</t>
  </si>
  <si>
    <t>#26150</t>
  </si>
  <si>
    <t>#26503</t>
  </si>
  <si>
    <t>COH-08</t>
  </si>
  <si>
    <t>#26577</t>
  </si>
  <si>
    <t>#26726</t>
  </si>
  <si>
    <t>CES / CPA</t>
  </si>
  <si>
    <t>CPA-08</t>
  </si>
  <si>
    <t>#26754</t>
  </si>
  <si>
    <t>#26753</t>
  </si>
  <si>
    <t>CPA-04</t>
  </si>
  <si>
    <t>CES / BG&amp;E</t>
  </si>
  <si>
    <t>BG&amp;E-10</t>
  </si>
  <si>
    <t>#27127</t>
  </si>
  <si>
    <t>SST</t>
  </si>
  <si>
    <t>COH-03, COH-07, COH-05, COH-08</t>
  </si>
  <si>
    <t>Cust / LDC</t>
  </si>
  <si>
    <t>AFT-1B</t>
  </si>
  <si>
    <t>NYSEG</t>
  </si>
  <si>
    <t>00251 Brookfield</t>
  </si>
  <si>
    <t>00084 NYSEG-Southeast</t>
  </si>
  <si>
    <t>AFT-1 FT-2</t>
  </si>
  <si>
    <t>CES/Agency</t>
  </si>
  <si>
    <t>60003 Cornwell</t>
  </si>
  <si>
    <t>60002 Leidy</t>
  </si>
  <si>
    <t>FTNN</t>
  </si>
  <si>
    <t>60001 Lebanon</t>
  </si>
  <si>
    <t>40208 Oakford</t>
  </si>
  <si>
    <t>20700 NYSEG</t>
  </si>
  <si>
    <t>GSSTE</t>
  </si>
  <si>
    <t>Storage Demand</t>
  </si>
  <si>
    <t>Storage Capacity</t>
  </si>
  <si>
    <t>NIMO</t>
  </si>
  <si>
    <t>734462 Cygnet</t>
  </si>
  <si>
    <t>23N-7 Sandusky</t>
  </si>
  <si>
    <t>#22429</t>
  </si>
  <si>
    <t>A3 Maumee</t>
  </si>
  <si>
    <t>23-4 COH-07 Alliance</t>
  </si>
  <si>
    <t>#22422</t>
  </si>
  <si>
    <t>C-16 Delmont</t>
  </si>
  <si>
    <t>21 NYSEG-02</t>
  </si>
  <si>
    <t>#26995</t>
  </si>
  <si>
    <t>F4 Monclova</t>
  </si>
  <si>
    <t>#26722</t>
  </si>
  <si>
    <t>O&amp;R</t>
  </si>
  <si>
    <t>011306 Channel Agua Dulco</t>
  </si>
  <si>
    <t>020293 O&amp;R</t>
  </si>
  <si>
    <t>FT-A</t>
  </si>
  <si>
    <t>020221 NYSEG</t>
  </si>
  <si>
    <t>001366 UTOS Exchange</t>
  </si>
  <si>
    <t>Atlanta</t>
  </si>
  <si>
    <t>Various</t>
  </si>
  <si>
    <t>020042 East Lobelville</t>
  </si>
  <si>
    <t>Released month to month</t>
  </si>
  <si>
    <t>FTS-1</t>
  </si>
  <si>
    <t>CVA</t>
  </si>
  <si>
    <t>FTS-2</t>
  </si>
  <si>
    <t>Boston</t>
  </si>
  <si>
    <t>Leidy</t>
  </si>
  <si>
    <t>Perulack</t>
  </si>
  <si>
    <t>Bechtelsville</t>
  </si>
  <si>
    <t>SS-1</t>
  </si>
  <si>
    <t>Texas Gas</t>
  </si>
  <si>
    <t>1247 Lebanon CNG</t>
  </si>
  <si>
    <t>FT</t>
  </si>
  <si>
    <t>Zone SL</t>
  </si>
  <si>
    <t>Zone 1</t>
  </si>
  <si>
    <t>Lilco</t>
  </si>
  <si>
    <t>FT -R</t>
  </si>
  <si>
    <t>St 45</t>
  </si>
  <si>
    <t>Z3</t>
  </si>
  <si>
    <t>6484 Atlanta</t>
  </si>
  <si>
    <t>6971 St 85</t>
  </si>
  <si>
    <t>FTCHR</t>
  </si>
  <si>
    <t>St 65</t>
  </si>
  <si>
    <t>6325 Wharton Nat Fuel</t>
  </si>
  <si>
    <t>6561 Algon Centerville</t>
  </si>
  <si>
    <t>2.4899 / 2.1439</t>
  </si>
  <si>
    <t>FTL-R</t>
  </si>
  <si>
    <t>#10723</t>
  </si>
  <si>
    <t>2.7160 / 2.1439</t>
  </si>
  <si>
    <t>#12633</t>
  </si>
  <si>
    <t>#13683</t>
  </si>
  <si>
    <t>2.8607 / 2.1439</t>
  </si>
  <si>
    <t>WSR Demand</t>
  </si>
  <si>
    <t>WSR</t>
  </si>
  <si>
    <t>WSR Capacity</t>
  </si>
  <si>
    <t>ESR Capacity</t>
  </si>
  <si>
    <t>ESR Demand</t>
  </si>
  <si>
    <t>ESR</t>
  </si>
  <si>
    <t>143929 / 143928</t>
  </si>
  <si>
    <t>143930 / 143928</t>
  </si>
  <si>
    <t>143931 / 143928</t>
  </si>
  <si>
    <t>BUG</t>
  </si>
  <si>
    <t>East Tenn</t>
  </si>
  <si>
    <t>Lobelville</t>
  </si>
  <si>
    <t>Z1</t>
  </si>
  <si>
    <t>#22428; Primary to Op 5, ROFR</t>
  </si>
  <si>
    <t>734462 Crossroads</t>
  </si>
  <si>
    <t>23N-2 COH 5</t>
  </si>
  <si>
    <t>#22747; Primary to contrained Op 7, ROFR</t>
  </si>
  <si>
    <t>23-4 COH-07-4</t>
  </si>
  <si>
    <t>FT Z3-Z6</t>
  </si>
  <si>
    <t>Index</t>
  </si>
  <si>
    <t>Comm</t>
  </si>
  <si>
    <t>Surcharges</t>
  </si>
  <si>
    <t>Fuel</t>
  </si>
  <si>
    <t>Transport</t>
  </si>
  <si>
    <t>Delivered Price</t>
  </si>
  <si>
    <t>Algo Comm</t>
  </si>
  <si>
    <t>Algo Transport</t>
  </si>
  <si>
    <t>Index Prem</t>
  </si>
  <si>
    <t>CGAS</t>
  </si>
  <si>
    <t>New K#</t>
  </si>
  <si>
    <t>New Sitara</t>
  </si>
  <si>
    <t>ENA</t>
  </si>
  <si>
    <t>Pending Release</t>
  </si>
  <si>
    <t>5A2276</t>
  </si>
  <si>
    <t>#12954</t>
  </si>
  <si>
    <t>801-Leach</t>
  </si>
  <si>
    <t>19-26</t>
  </si>
  <si>
    <t>19-27</t>
  </si>
  <si>
    <t>#27772</t>
  </si>
  <si>
    <t>#13011</t>
  </si>
  <si>
    <t>5A2308</t>
  </si>
  <si>
    <t>#13014</t>
  </si>
  <si>
    <t>ACTIVE #200001000039</t>
  </si>
  <si>
    <t>Dayton</t>
  </si>
  <si>
    <t>T015955</t>
  </si>
  <si>
    <t>#015836</t>
  </si>
  <si>
    <t>#015839</t>
  </si>
  <si>
    <t>#15841</t>
  </si>
  <si>
    <t>#15843</t>
  </si>
  <si>
    <t>9/d</t>
  </si>
  <si>
    <t>16/d</t>
  </si>
  <si>
    <t>na</t>
  </si>
  <si>
    <t>SNAT</t>
  </si>
  <si>
    <t>AGL</t>
  </si>
  <si>
    <t>CSS</t>
  </si>
  <si>
    <t>Offshore</t>
  </si>
  <si>
    <t>Onshore</t>
  </si>
  <si>
    <t>Con Ed</t>
  </si>
  <si>
    <t>WLA</t>
  </si>
  <si>
    <t>#14726</t>
  </si>
  <si>
    <t>n/a</t>
  </si>
  <si>
    <t>Deal 211642</t>
  </si>
  <si>
    <t>#16008</t>
  </si>
  <si>
    <t>Bear Creek</t>
  </si>
  <si>
    <t>Stor</t>
  </si>
  <si>
    <t>From CES #66615</t>
  </si>
  <si>
    <t>M1</t>
  </si>
  <si>
    <t>LLFT</t>
  </si>
  <si>
    <t>SGA</t>
  </si>
  <si>
    <t>A</t>
  </si>
  <si>
    <t>B</t>
  </si>
  <si>
    <t>C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</si>
  <si>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</si>
  <si>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</si>
  <si>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</si>
  <si>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</si>
  <si>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</si>
  <si>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</si>
  <si>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</si>
  <si>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</si>
  <si>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</si>
  <si>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</si>
  <si>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</si>
  <si>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</si>
  <si>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</si>
  <si>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</si>
  <si>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</si>
  <si>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</si>
  <si>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</si>
  <si>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</si>
  <si>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</si>
  <si>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</si>
  <si>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</si>
  <si>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A+B+C</t>
  </si>
  <si>
    <t>Storage</t>
  </si>
  <si>
    <t>CES Retail</t>
  </si>
  <si>
    <t>Calp</t>
  </si>
  <si>
    <t>Total</t>
  </si>
  <si>
    <t>Exhibit 1</t>
  </si>
  <si>
    <t>1st of Month</t>
  </si>
  <si>
    <t>Strg Vol</t>
  </si>
  <si>
    <t>Total Req</t>
  </si>
  <si>
    <t>Gas Daily</t>
  </si>
  <si>
    <t xml:space="preserve"> &lt;== Total Undertakes</t>
  </si>
  <si>
    <t>Gross</t>
  </si>
  <si>
    <t>Net</t>
  </si>
  <si>
    <t>F-I</t>
  </si>
  <si>
    <t>O-K</t>
  </si>
  <si>
    <t>Portland Storage</t>
  </si>
  <si>
    <t>FS-MA</t>
  </si>
  <si>
    <t>Equit</t>
  </si>
  <si>
    <t>11089</t>
  </si>
  <si>
    <t>TEPE 0144</t>
  </si>
  <si>
    <t>8 Mansfield COH 7-8</t>
  </si>
  <si>
    <t>#26694;  Primary receipt Toledo agg., ROFR, total MDQ is 20,000 day, contract will be split between retail and wholesale with 15,000/day going to Retail-Mass Markets.  Old contract was 62039.</t>
  </si>
  <si>
    <t>#26714</t>
  </si>
  <si>
    <t>No offer</t>
  </si>
  <si>
    <t>#27098</t>
  </si>
  <si>
    <t>100% Reimbursed from CES</t>
  </si>
  <si>
    <t>CES S-N Transport</t>
  </si>
  <si>
    <t>North Citygate</t>
  </si>
  <si>
    <t>South Citygate</t>
  </si>
  <si>
    <t>Deal 204778 - Supplied with local production behind East Ohio Citygate - bill as South Citygate</t>
  </si>
  <si>
    <t>Deal 204773 - Supplied with local production behind Peoples - bill as South Citygate</t>
  </si>
  <si>
    <t>East Tennessee</t>
  </si>
  <si>
    <t>Tenn 1-1</t>
  </si>
  <si>
    <t xml:space="preserve">E Tenn </t>
  </si>
  <si>
    <t>LA</t>
  </si>
  <si>
    <t>Note:  Tenn 1-1 surcharge of $.0225 does not apply</t>
  </si>
  <si>
    <t>Equitrans</t>
  </si>
  <si>
    <t>IT</t>
  </si>
  <si>
    <t>Tenn Z1 - Z5</t>
  </si>
  <si>
    <t>Texas Eastern M3</t>
  </si>
  <si>
    <t>Ela</t>
  </si>
  <si>
    <t>FT Z3-Z4</t>
  </si>
  <si>
    <t>FT Z4-Z4 Rate Schedule FTSR No. 37F</t>
  </si>
  <si>
    <t>FT Z4-Z4 Rate Schedule FTCHR No. 37M</t>
  </si>
  <si>
    <t>St 85</t>
  </si>
  <si>
    <t>(excluded Great Plains)</t>
  </si>
  <si>
    <t>FT Z4-Z5 PSNC Volumetric Release</t>
  </si>
  <si>
    <t>Deal 158693.  PSNC sends ENA an invoice for this gas.  ENA will forward this to PSNC each month.</t>
  </si>
  <si>
    <t>Volumetric Demand</t>
  </si>
  <si>
    <t>Deal 157591.  Because this is a volumetric contract, the demand charge</t>
  </si>
  <si>
    <t>for the capacity is included in the sales price.  There should not be a demand</t>
  </si>
  <si>
    <t>charge for this contract on the capacity worksheet.</t>
  </si>
  <si>
    <t>149346/ change to 214854 on 4/1/2000</t>
  </si>
  <si>
    <t>#23652</t>
  </si>
  <si>
    <t>Just added to march</t>
  </si>
  <si>
    <t>Leah</t>
  </si>
  <si>
    <t>Deal 206266</t>
  </si>
  <si>
    <t>TCO</t>
  </si>
  <si>
    <t>evergreen</t>
  </si>
  <si>
    <t>AS Pooling Agreement</t>
  </si>
  <si>
    <t>AS</t>
  </si>
  <si>
    <t>CMd</t>
  </si>
  <si>
    <t>AO-6 - mcclelland</t>
  </si>
  <si>
    <t>#28331</t>
  </si>
  <si>
    <t>#13303</t>
  </si>
  <si>
    <t>FSNG101</t>
  </si>
  <si>
    <t>3.4188/2.7055</t>
  </si>
  <si>
    <t>Pricing Notes</t>
  </si>
  <si>
    <t>Pipeline</t>
  </si>
  <si>
    <t>Undertakes</t>
  </si>
  <si>
    <t>Overtakes</t>
  </si>
  <si>
    <t>CNG North Citygate</t>
  </si>
  <si>
    <t>CNG South Citygate</t>
  </si>
  <si>
    <t>GD CNG South Point - .01 plus variable</t>
  </si>
  <si>
    <t>GD CNG South Point + .01 plus variable</t>
  </si>
  <si>
    <t>Texas Gas Z4</t>
  </si>
  <si>
    <t>GD Algo Citygate + .02</t>
  </si>
  <si>
    <t>GD M3 - .01</t>
  </si>
  <si>
    <t>GD M3 + .01</t>
  </si>
  <si>
    <t>Texas Eastern Ela (UGI)</t>
  </si>
  <si>
    <t>GD Tetco Ela - .01</t>
  </si>
  <si>
    <t>GD Tetco Ela + .01</t>
  </si>
  <si>
    <t>Must negotiate daily pricing</t>
  </si>
  <si>
    <t>Tenn Z6</t>
  </si>
  <si>
    <t>Transco Z6 New York</t>
  </si>
  <si>
    <t>This includes deliveries to Bug, Con Ed, Lilco, and PSE&amp;G</t>
  </si>
  <si>
    <t>Transco Z6 Non-New York</t>
  </si>
  <si>
    <t>GD Transco NNY - .02</t>
  </si>
  <si>
    <t>GD Transco NNY + .02</t>
  </si>
  <si>
    <t xml:space="preserve">Transco Z5 </t>
  </si>
  <si>
    <t>GD CGAS App - .01 plus variable</t>
  </si>
  <si>
    <t>Atlanta Gas Light Program</t>
  </si>
  <si>
    <t>Sonat</t>
  </si>
  <si>
    <t>E Tenn</t>
  </si>
  <si>
    <t>GD Posting</t>
  </si>
  <si>
    <t>Price</t>
  </si>
  <si>
    <t>GD Algon Others</t>
  </si>
  <si>
    <t>Example:</t>
  </si>
  <si>
    <t>If the FOM Tetco M3 volume is 4,000 dt/day</t>
  </si>
  <si>
    <t>CES will be able to swing from 3,000 dt/day to 5,000 dt/day.</t>
  </si>
  <si>
    <t>Volumes less than the FOM volumes will be defined as Undertakes.</t>
  </si>
  <si>
    <t>Volumes greater than the FOM volumes will be defined as Overtakes.</t>
  </si>
  <si>
    <t>For the 30th, ENA will pay CES $3.1700  for undertakes and $3.1900 for overtakes.</t>
  </si>
  <si>
    <t>Variable cost will be based on the apllicable FOM index price</t>
  </si>
  <si>
    <t>If CES's volume for Tetco M3 on the 30th is 3176, then ENA bill CES for 4,000 dt at the Exhibit 1 price</t>
  </si>
  <si>
    <t>and ENA will buy from CES 824 dt at $3.1700</t>
  </si>
  <si>
    <t xml:space="preserve">If CES's volume for Tetco M3 on the 30th is 4300, then ENA will bill CES for 4,000 dt at the Exhibit 1 price </t>
  </si>
  <si>
    <t>and ENA will bill CES for 300 dt at $3.1900</t>
  </si>
  <si>
    <t>#13296</t>
  </si>
  <si>
    <t>40208-Oakford</t>
  </si>
  <si>
    <t>60001-Lebanon</t>
  </si>
  <si>
    <t>60003-Cornwell</t>
  </si>
  <si>
    <t>5A2529</t>
  </si>
  <si>
    <t>#013489</t>
  </si>
  <si>
    <t>20500 NIMO</t>
  </si>
  <si>
    <t>19-32</t>
  </si>
  <si>
    <t>19E</t>
  </si>
  <si>
    <t>#66939</t>
  </si>
  <si>
    <t>25-36</t>
  </si>
  <si>
    <t>25-39</t>
  </si>
  <si>
    <t>5/31/000</t>
  </si>
  <si>
    <t>00205-Mendon</t>
  </si>
  <si>
    <t>0021-Norwood</t>
  </si>
  <si>
    <t>AFT1FT2</t>
  </si>
  <si>
    <t>00211-Hanover</t>
  </si>
  <si>
    <t>00032-Waltham</t>
  </si>
  <si>
    <t>AFT1</t>
  </si>
  <si>
    <t>FS 120, PK 139, SM 82, SS 120</t>
  </si>
  <si>
    <t>27-Everett</t>
  </si>
  <si>
    <t>210-Lambertville</t>
  </si>
  <si>
    <t>FS 210, PK 235, SM 160, SS210</t>
  </si>
  <si>
    <t>AFT-E1</t>
  </si>
  <si>
    <t>89-Medford</t>
  </si>
  <si>
    <t>AFT-1F</t>
  </si>
  <si>
    <t>52-Ponkapoag</t>
  </si>
  <si>
    <t>FS62, pk 93, ss 62, no summer</t>
  </si>
  <si>
    <t>STX</t>
  </si>
  <si>
    <t>m2</t>
  </si>
  <si>
    <t>SSNG45</t>
  </si>
  <si>
    <t>Terminated- 74/d</t>
  </si>
  <si>
    <t>Terminated-139/d</t>
  </si>
  <si>
    <t>Terminated-11/d</t>
  </si>
  <si>
    <t>Terminated-18/d</t>
  </si>
  <si>
    <t>Terminated-167</t>
  </si>
  <si>
    <t>Terminated-114</t>
  </si>
  <si>
    <t>CES has 895 dt of Access to M3 space.</t>
  </si>
  <si>
    <t>Deal 228296 ENA will bill CES 895 dth/day at Ela + $.01 + transport</t>
  </si>
  <si>
    <t>The balance of the volumes on this deal will be billed Tetco M3 IF + $.01</t>
  </si>
  <si>
    <t>Comment:  CES has 1,239 dt/day of South to North Space.</t>
  </si>
  <si>
    <t>Deal # 228246 for North and tiered rate.  Deal # 228234 for South all at one rate.</t>
  </si>
  <si>
    <t>Deal 229988  CES has 1,000 dth of FTS, price 1,000 day at the FTS rate, balance at the IT rate.</t>
  </si>
  <si>
    <t>Deal 231742</t>
  </si>
  <si>
    <t>Deal 231741</t>
  </si>
  <si>
    <t>Deal 232619</t>
  </si>
  <si>
    <t>FOM Volumes</t>
  </si>
  <si>
    <t>Deal Ticket #</t>
  </si>
  <si>
    <t xml:space="preserve">      Buy Back</t>
  </si>
  <si>
    <t>Aristech</t>
  </si>
  <si>
    <t>CES East Desk Transportation Capacity for May, 2000</t>
  </si>
  <si>
    <t>#16646</t>
  </si>
  <si>
    <t>250069 / 250120</t>
  </si>
  <si>
    <t>5A2602</t>
  </si>
  <si>
    <t>#13616,  This capacity was released to CES on offer #13580, we rereleased to ENA.</t>
  </si>
  <si>
    <t>#019386</t>
  </si>
  <si>
    <t>3.4633/.7537</t>
  </si>
  <si>
    <t>#19349</t>
  </si>
  <si>
    <t>3.4684/.7537</t>
  </si>
  <si>
    <t>#019351</t>
  </si>
  <si>
    <t>#19405</t>
  </si>
  <si>
    <t>3.4685 / 1.1703</t>
  </si>
  <si>
    <t>a05-Delmont</t>
  </si>
  <si>
    <t>25-26</t>
  </si>
  <si>
    <t>#28742</t>
  </si>
  <si>
    <t>#23890</t>
  </si>
  <si>
    <t>#28389, Sheet No 29</t>
  </si>
  <si>
    <t xml:space="preserve">      Overtakes</t>
  </si>
  <si>
    <t>#28632</t>
  </si>
  <si>
    <t>#19739</t>
  </si>
  <si>
    <t>46-30 OPT 10-30</t>
  </si>
  <si>
    <t>#28631</t>
  </si>
  <si>
    <t>T016303</t>
  </si>
  <si>
    <t>#200002000092</t>
  </si>
  <si>
    <t>#016759</t>
  </si>
  <si>
    <t>#016761</t>
  </si>
  <si>
    <t>#19350</t>
  </si>
  <si>
    <t>REL 773</t>
  </si>
  <si>
    <t>REL 760</t>
  </si>
  <si>
    <t>REL 800</t>
  </si>
  <si>
    <t>REL 813</t>
  </si>
  <si>
    <t>REL 837</t>
  </si>
  <si>
    <t>REL 788</t>
  </si>
  <si>
    <t>GD CNG South Point + .025 plus variable</t>
  </si>
  <si>
    <t>FSGA25</t>
  </si>
  <si>
    <t>#24855</t>
  </si>
  <si>
    <t>stow</t>
  </si>
  <si>
    <t>#16429</t>
  </si>
  <si>
    <t>#016332</t>
  </si>
  <si>
    <t>#016352</t>
  </si>
  <si>
    <t>#016430</t>
  </si>
  <si>
    <t>#16431</t>
  </si>
  <si>
    <t>#016432</t>
  </si>
  <si>
    <t>#016433</t>
  </si>
  <si>
    <t>Envirogas</t>
  </si>
  <si>
    <t>Month to Month</t>
  </si>
  <si>
    <t>#27991</t>
  </si>
  <si>
    <t>GD CGAS App + .02 plus variable</t>
  </si>
  <si>
    <t>Release to Infinate Energy.</t>
  </si>
  <si>
    <t>GD TGT Zone Gas SL - $.01 plus variable</t>
  </si>
  <si>
    <t>GD CNG South Point for all volumes greater than CES's max available transport</t>
  </si>
  <si>
    <t>GD TGT Zone Gas SL + $.01 plus variable, up to CES's max available transport on TGT</t>
  </si>
  <si>
    <t>CGAS Onshore</t>
  </si>
  <si>
    <t>GD Columbia - .01</t>
  </si>
  <si>
    <t>GD Columbia + .01</t>
  </si>
  <si>
    <t>CGAS Mainline</t>
  </si>
  <si>
    <t>GD Columbia, Mainline - .01</t>
  </si>
  <si>
    <t>GD Columbia, Mainline + .01</t>
  </si>
  <si>
    <t>ENA will give CES the right to swing +/- 25% from their FOM volumes for the month of May, 2000.</t>
  </si>
  <si>
    <t>Some of the pricing for the swing volumes is shown below.</t>
  </si>
  <si>
    <t>GD Tenn Z6(delivered) - .015</t>
  </si>
  <si>
    <t>GD Tenn Z6 (delivered) + .015</t>
  </si>
  <si>
    <t>4 BG&amp;E</t>
  </si>
  <si>
    <t>Deal 228293</t>
  </si>
  <si>
    <t>CES has 634 dth of Algonquin capacity on Deal #228293 priced at $3.0137, all volume</t>
  </si>
  <si>
    <t>greater than 634 will be priced at $3.1037.</t>
  </si>
  <si>
    <t>ENA Trsp</t>
  </si>
  <si>
    <t>Storage Injection:</t>
  </si>
  <si>
    <t>Inj Comm</t>
  </si>
  <si>
    <t>Deal 227081, 227113</t>
  </si>
  <si>
    <t>Deal 235398</t>
  </si>
  <si>
    <t>Deal 231743</t>
  </si>
  <si>
    <t>Deal 229573, 234424</t>
  </si>
  <si>
    <t>FT Z3-Z5</t>
  </si>
  <si>
    <t>Deal 232614</t>
  </si>
  <si>
    <t>SL</t>
  </si>
  <si>
    <t>La</t>
  </si>
  <si>
    <t>Deal 231744</t>
  </si>
  <si>
    <t>East</t>
  </si>
  <si>
    <t>Market East</t>
  </si>
  <si>
    <t>#16162</t>
  </si>
  <si>
    <t>Rereleased to ENA k#893068</t>
  </si>
  <si>
    <t>#16154</t>
  </si>
  <si>
    <t>#16432 - rereleased to ENA</t>
  </si>
  <si>
    <t>#16108, rereleased to ENA</t>
  </si>
  <si>
    <t>#16352</t>
  </si>
  <si>
    <t>#16116 - rereleased to ENA</t>
  </si>
  <si>
    <t>CES East Desk Transportation Capacity for June, 2000</t>
  </si>
  <si>
    <t>ENA purchased from CES</t>
  </si>
  <si>
    <t>#19862</t>
  </si>
  <si>
    <t>REL 965</t>
  </si>
  <si>
    <t>REL 972</t>
  </si>
  <si>
    <t>REL 944</t>
  </si>
  <si>
    <t>REL 951</t>
  </si>
  <si>
    <t>3.5163/.7537</t>
  </si>
  <si>
    <t>#19825</t>
  </si>
  <si>
    <t>3.5161/.7537</t>
  </si>
  <si>
    <t>#19827</t>
  </si>
  <si>
    <t>#13697</t>
  </si>
  <si>
    <t>3.5162/2.7055</t>
  </si>
  <si>
    <t>#19826</t>
  </si>
  <si>
    <t>#28962</t>
  </si>
  <si>
    <t>#28933</t>
  </si>
  <si>
    <t>#29000</t>
  </si>
  <si>
    <t>Release to equitable</t>
  </si>
  <si>
    <t>23-1</t>
  </si>
  <si>
    <t xml:space="preserve">2.4899 </t>
  </si>
  <si>
    <t>#20100</t>
  </si>
  <si>
    <t xml:space="preserve">2.8607 </t>
  </si>
  <si>
    <t>#20101</t>
  </si>
  <si>
    <t xml:space="preserve">TERM: 6/1/00 - 6/30/00 </t>
  </si>
  <si>
    <t>Gas Requierments for sale toMME</t>
  </si>
  <si>
    <t>Point of Delivery- COH</t>
  </si>
  <si>
    <t>Projected</t>
  </si>
  <si>
    <t>Daily</t>
  </si>
  <si>
    <t>Monthly</t>
  </si>
  <si>
    <t>TCO -OP</t>
  </si>
  <si>
    <t>Market</t>
  </si>
  <si>
    <t>Burn</t>
  </si>
  <si>
    <t>Bank</t>
  </si>
  <si>
    <t>Delivery</t>
  </si>
  <si>
    <t>Zone</t>
  </si>
  <si>
    <t>Area</t>
  </si>
  <si>
    <t>Meter</t>
  </si>
  <si>
    <t>Dth/Day</t>
  </si>
  <si>
    <t>Dth/Month</t>
  </si>
  <si>
    <t>Withdrawal</t>
  </si>
  <si>
    <t>Requirements</t>
  </si>
  <si>
    <t>23N-2</t>
  </si>
  <si>
    <t>23N-7</t>
  </si>
  <si>
    <t>23-3</t>
  </si>
  <si>
    <t>23-4</t>
  </si>
  <si>
    <t>23-5</t>
  </si>
  <si>
    <t>23-6</t>
  </si>
  <si>
    <t>23-8</t>
  </si>
  <si>
    <t>23-9</t>
  </si>
  <si>
    <t>24-35</t>
  </si>
  <si>
    <t>Includes 1430/day delivered to Titanium Metals at zone 8-35.</t>
  </si>
  <si>
    <t>Sitara Deal 282945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</si>
</sst>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&quot;$&quot;#,##0.0000_);\(&quot;$&quot;#,##0.0000\)"/>
    <numFmt numFmtId="167" formatCode="_(&quot;$&quot;* #,##0.0000_);_(&quot;$&quot;* \(#,##0.0000\);_(&quot;$&quot;* &quot;-&quot;??_);_(@_)"/>
    <numFmt numFmtId="168" formatCode="&quot;$&quot;#,##0.0000_);[Red]\(&quot;$&quot;#,##0.0000\)"/>
    <numFmt numFmtId="169" formatCode="#,##0.00000"/>
    <numFmt numFmtId="170" formatCode="0.000%"/>
    <numFmt numFmtId="177" formatCode="_(* #,##0_);_(* \(#,##0\);_(* &quot;-&quot;??_);_(@_)"/>
    <numFmt numFmtId="191" formatCode="0.0000%"/>
  </numFmts>
  <fonts count="19" x14ac:knownFonts="1">
    <font>
      <sz val="10"/>
      <name val="Arial"/>
    </font>
    <font>
      <sz val="10"/>
      <name val="Arial"/>
    </font>
    <font>
      <sz val="8"/>
      <name val="Arial"/>
      <family val="2"/>
    </font>
    <font>
      <b/>
      <sz val="8"/>
      <name val="Arial"/>
    </font>
    <font>
      <b/>
      <u/>
      <sz val="8"/>
      <name val="Arial"/>
    </font>
    <font>
      <b/>
      <sz val="8"/>
      <name val="Arial"/>
      <family val="2"/>
    </font>
    <font>
      <sz val="10"/>
      <name val="Arial"/>
      <family val="2"/>
    </font>
    <font>
      <sz val="8"/>
      <name val="Arial"/>
    </font>
    <font>
      <sz val="9"/>
      <name val="Arial"/>
    </font>
    <font>
      <b/>
      <sz val="9"/>
      <name val="Arial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i/>
      <sz val="12"/>
      <name val="Times New Roman"/>
      <family val="1"/>
    </font>
    <font>
      <sz val="12"/>
      <name val="Times New Roman"/>
      <family val="1"/>
    </font>
    <font>
      <sz val="10"/>
      <name val="Times New Roman"/>
      <family val="1"/>
    </font>
    <font>
      <b/>
      <i/>
      <sz val="10"/>
      <name val="Times New Roman"/>
      <family val="1"/>
    </font>
    <font>
      <b/>
      <i/>
      <u/>
      <sz val="10"/>
      <name val="Times New Roman"/>
      <family val="1"/>
    </font>
    <font>
      <u/>
      <sz val="1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83">
    <xf numFmtId="0" fontId="0" fillId="0" borderId="0" xfId="0"/>
    <xf numFmtId="38" fontId="2" fillId="0" borderId="0" xfId="0" applyNumberFormat="1" applyFont="1" applyFill="1" applyAlignment="1">
      <alignment horizontal="left"/>
    </xf>
    <xf numFmtId="38" fontId="3" fillId="0" borderId="0" xfId="0" applyNumberFormat="1" applyFont="1" applyFill="1" applyAlignment="1">
      <alignment horizontal="center"/>
    </xf>
    <xf numFmtId="38" fontId="2" fillId="0" borderId="0" xfId="0" applyNumberFormat="1" applyFont="1" applyFill="1" applyAlignment="1">
      <alignment horizontal="center"/>
    </xf>
    <xf numFmtId="14" fontId="2" fillId="0" borderId="0" xfId="0" applyNumberFormat="1" applyFont="1" applyFill="1" applyAlignment="1">
      <alignment horizontal="center"/>
    </xf>
    <xf numFmtId="168" fontId="2" fillId="0" borderId="0" xfId="0" applyNumberFormat="1" applyFont="1" applyFill="1" applyAlignment="1">
      <alignment horizontal="center"/>
    </xf>
    <xf numFmtId="38" fontId="3" fillId="0" borderId="0" xfId="0" applyNumberFormat="1" applyFont="1" applyFill="1" applyAlignment="1">
      <alignment horizontal="left"/>
    </xf>
    <xf numFmtId="3" fontId="2" fillId="0" borderId="0" xfId="0" applyNumberFormat="1" applyFont="1" applyFill="1" applyAlignment="1">
      <alignment horizontal="center"/>
    </xf>
    <xf numFmtId="169" fontId="2" fillId="0" borderId="0" xfId="0" applyNumberFormat="1" applyFont="1" applyFill="1" applyAlignment="1">
      <alignment horizontal="center"/>
    </xf>
    <xf numFmtId="38" fontId="2" fillId="0" borderId="0" xfId="0" applyNumberFormat="1" applyFont="1" applyFill="1" applyAlignment="1">
      <alignment horizontal="right"/>
    </xf>
    <xf numFmtId="38" fontId="2" fillId="0" borderId="1" xfId="0" applyNumberFormat="1" applyFont="1" applyFill="1" applyBorder="1" applyAlignment="1">
      <alignment horizontal="left"/>
    </xf>
    <xf numFmtId="38" fontId="3" fillId="0" borderId="1" xfId="0" applyNumberFormat="1" applyFont="1" applyFill="1" applyBorder="1" applyAlignment="1">
      <alignment horizontal="center"/>
    </xf>
    <xf numFmtId="38" fontId="2" fillId="0" borderId="1" xfId="0" applyNumberFormat="1" applyFont="1" applyFill="1" applyBorder="1" applyAlignment="1">
      <alignment horizontal="center"/>
    </xf>
    <xf numFmtId="14" fontId="2" fillId="0" borderId="1" xfId="0" applyNumberFormat="1" applyFont="1" applyFill="1" applyBorder="1" applyAlignment="1">
      <alignment horizontal="center"/>
    </xf>
    <xf numFmtId="169" fontId="2" fillId="0" borderId="1" xfId="0" applyNumberFormat="1" applyFont="1" applyFill="1" applyBorder="1" applyAlignment="1">
      <alignment horizontal="center"/>
    </xf>
    <xf numFmtId="168" fontId="2" fillId="0" borderId="1" xfId="0" applyNumberFormat="1" applyFont="1" applyFill="1" applyBorder="1" applyAlignment="1">
      <alignment horizontal="center"/>
    </xf>
    <xf numFmtId="16" fontId="4" fillId="0" borderId="0" xfId="0" applyNumberFormat="1" applyFont="1" applyFill="1" applyAlignment="1">
      <alignment horizontal="left"/>
    </xf>
    <xf numFmtId="16" fontId="4" fillId="0" borderId="0" xfId="0" applyNumberFormat="1" applyFont="1" applyFill="1" applyAlignment="1">
      <alignment horizontal="center"/>
    </xf>
    <xf numFmtId="14" fontId="4" fillId="0" borderId="0" xfId="0" applyNumberFormat="1" applyFont="1" applyFill="1" applyAlignment="1">
      <alignment horizontal="center"/>
    </xf>
    <xf numFmtId="169" fontId="4" fillId="0" borderId="0" xfId="0" applyNumberFormat="1" applyFont="1" applyFill="1" applyAlignment="1">
      <alignment horizontal="center"/>
    </xf>
    <xf numFmtId="1" fontId="4" fillId="0" borderId="0" xfId="0" applyNumberFormat="1" applyFont="1" applyFill="1" applyAlignment="1">
      <alignment horizontal="center"/>
    </xf>
    <xf numFmtId="38" fontId="4" fillId="0" borderId="0" xfId="0" applyNumberFormat="1" applyFont="1" applyFill="1" applyAlignment="1">
      <alignment horizontal="right"/>
    </xf>
    <xf numFmtId="38" fontId="3" fillId="0" borderId="1" xfId="0" applyNumberFormat="1" applyFont="1" applyFill="1" applyBorder="1" applyAlignment="1">
      <alignment horizontal="right"/>
    </xf>
    <xf numFmtId="168" fontId="2" fillId="0" borderId="0" xfId="0" applyNumberFormat="1" applyFont="1" applyFill="1" applyBorder="1" applyAlignment="1">
      <alignment horizontal="center"/>
    </xf>
    <xf numFmtId="1" fontId="2" fillId="0" borderId="0" xfId="0" applyNumberFormat="1" applyFont="1" applyFill="1" applyAlignment="1">
      <alignment horizontal="center"/>
    </xf>
    <xf numFmtId="0" fontId="0" fillId="0" borderId="0" xfId="0" applyFill="1"/>
    <xf numFmtId="1" fontId="3" fillId="0" borderId="1" xfId="0" applyNumberFormat="1" applyFont="1" applyFill="1" applyBorder="1" applyAlignment="1">
      <alignment horizontal="center"/>
    </xf>
    <xf numFmtId="0" fontId="0" fillId="0" borderId="0" xfId="0" applyFill="1" applyAlignment="1">
      <alignment horizontal="left"/>
    </xf>
    <xf numFmtId="38" fontId="2" fillId="0" borderId="0" xfId="0" applyNumberFormat="1" applyFont="1" applyFill="1" applyBorder="1" applyAlignment="1">
      <alignment horizontal="right"/>
    </xf>
    <xf numFmtId="38" fontId="2" fillId="0" borderId="0" xfId="0" quotePrefix="1" applyNumberFormat="1" applyFont="1" applyFill="1" applyAlignment="1">
      <alignment horizontal="left"/>
    </xf>
    <xf numFmtId="38" fontId="3" fillId="0" borderId="1" xfId="0" applyNumberFormat="1" applyFont="1" applyFill="1" applyBorder="1" applyAlignment="1">
      <alignment horizontal="left"/>
    </xf>
    <xf numFmtId="168" fontId="3" fillId="0" borderId="0" xfId="0" applyNumberFormat="1" applyFont="1" applyFill="1" applyAlignment="1">
      <alignment horizontal="center"/>
    </xf>
    <xf numFmtId="49" fontId="3" fillId="0" borderId="0" xfId="0" applyNumberFormat="1" applyFont="1" applyFill="1" applyAlignment="1">
      <alignment horizontal="left"/>
    </xf>
    <xf numFmtId="38" fontId="3" fillId="0" borderId="0" xfId="0" applyNumberFormat="1" applyFont="1" applyFill="1" applyBorder="1" applyAlignment="1">
      <alignment horizontal="right"/>
    </xf>
    <xf numFmtId="0" fontId="0" fillId="0" borderId="0" xfId="0" applyFill="1" applyBorder="1"/>
    <xf numFmtId="0" fontId="2" fillId="0" borderId="0" xfId="0" applyNumberFormat="1" applyFont="1" applyFill="1" applyBorder="1" applyAlignment="1">
      <alignment horizontal="center"/>
    </xf>
    <xf numFmtId="0" fontId="2" fillId="0" borderId="0" xfId="0" applyNumberFormat="1" applyFont="1" applyFill="1" applyAlignment="1">
      <alignment horizontal="center"/>
    </xf>
    <xf numFmtId="0" fontId="5" fillId="0" borderId="0" xfId="0" applyNumberFormat="1" applyFont="1" applyFill="1" applyBorder="1" applyAlignment="1">
      <alignment horizontal="center"/>
    </xf>
    <xf numFmtId="0" fontId="0" fillId="0" borderId="0" xfId="0" applyNumberFormat="1" applyFill="1"/>
    <xf numFmtId="38" fontId="2" fillId="0" borderId="0" xfId="0" quotePrefix="1" applyNumberFormat="1" applyFont="1" applyFill="1" applyBorder="1" applyAlignment="1">
      <alignment horizontal="right"/>
    </xf>
    <xf numFmtId="38" fontId="2" fillId="0" borderId="0" xfId="0" applyNumberFormat="1" applyFont="1" applyFill="1" applyBorder="1" applyAlignment="1">
      <alignment horizontal="center"/>
    </xf>
    <xf numFmtId="38" fontId="5" fillId="0" borderId="0" xfId="0" applyNumberFormat="1" applyFont="1" applyFill="1" applyAlignment="1">
      <alignment horizontal="left"/>
    </xf>
    <xf numFmtId="38" fontId="2" fillId="2" borderId="0" xfId="0" applyNumberFormat="1" applyFont="1" applyFill="1" applyAlignment="1">
      <alignment horizontal="left"/>
    </xf>
    <xf numFmtId="170" fontId="2" fillId="0" borderId="0" xfId="0" applyNumberFormat="1" applyFont="1" applyFill="1" applyAlignment="1">
      <alignment horizontal="center"/>
    </xf>
    <xf numFmtId="170" fontId="4" fillId="0" borderId="0" xfId="0" applyNumberFormat="1" applyFont="1" applyFill="1" applyAlignment="1">
      <alignment horizontal="center"/>
    </xf>
    <xf numFmtId="170" fontId="2" fillId="0" borderId="1" xfId="0" applyNumberFormat="1" applyFont="1" applyFill="1" applyBorder="1" applyAlignment="1">
      <alignment horizontal="center"/>
    </xf>
    <xf numFmtId="170" fontId="2" fillId="0" borderId="0" xfId="0" quotePrefix="1" applyNumberFormat="1" applyFont="1" applyFill="1" applyAlignment="1">
      <alignment horizontal="left"/>
    </xf>
    <xf numFmtId="170" fontId="0" fillId="0" borderId="0" xfId="0" applyNumberFormat="1" applyFill="1"/>
    <xf numFmtId="168" fontId="5" fillId="0" borderId="0" xfId="0" applyNumberFormat="1" applyFont="1" applyFill="1" applyAlignment="1">
      <alignment horizontal="left"/>
    </xf>
    <xf numFmtId="1" fontId="2" fillId="0" borderId="0" xfId="0" applyNumberFormat="1" applyFont="1" applyFill="1" applyBorder="1" applyAlignment="1">
      <alignment horizontal="center"/>
    </xf>
    <xf numFmtId="38" fontId="3" fillId="0" borderId="0" xfId="0" applyNumberFormat="1" applyFont="1" applyFill="1" applyBorder="1" applyAlignment="1">
      <alignment horizontal="center"/>
    </xf>
    <xf numFmtId="0" fontId="0" fillId="0" borderId="0" xfId="0" applyNumberFormat="1" applyFill="1" applyBorder="1"/>
    <xf numFmtId="0" fontId="2" fillId="0" borderId="0" xfId="0" applyNumberFormat="1" applyFont="1" applyFill="1" applyBorder="1" applyAlignment="1">
      <alignment horizontal="right"/>
    </xf>
    <xf numFmtId="0" fontId="3" fillId="0" borderId="0" xfId="0" applyNumberFormat="1" applyFont="1" applyFill="1" applyBorder="1" applyAlignment="1">
      <alignment horizontal="right"/>
    </xf>
    <xf numFmtId="0" fontId="4" fillId="0" borderId="0" xfId="0" applyNumberFormat="1" applyFont="1" applyFill="1" applyAlignment="1">
      <alignment horizontal="right"/>
    </xf>
    <xf numFmtId="0" fontId="3" fillId="0" borderId="1" xfId="0" applyNumberFormat="1" applyFont="1" applyFill="1" applyBorder="1" applyAlignment="1">
      <alignment horizontal="right"/>
    </xf>
    <xf numFmtId="0" fontId="2" fillId="0" borderId="0" xfId="0" applyNumberFormat="1" applyFont="1" applyFill="1" applyAlignment="1">
      <alignment horizontal="right"/>
    </xf>
    <xf numFmtId="0" fontId="2" fillId="0" borderId="0" xfId="0" quotePrefix="1" applyNumberFormat="1" applyFont="1" applyFill="1" applyBorder="1" applyAlignment="1">
      <alignment horizontal="right"/>
    </xf>
    <xf numFmtId="38" fontId="2" fillId="0" borderId="0" xfId="0" applyNumberFormat="1" applyFont="1" applyFill="1" applyBorder="1" applyAlignment="1">
      <alignment horizontal="left"/>
    </xf>
    <xf numFmtId="38" fontId="4" fillId="0" borderId="0" xfId="0" applyNumberFormat="1" applyFont="1" applyFill="1" applyAlignment="1">
      <alignment horizontal="left"/>
    </xf>
    <xf numFmtId="38" fontId="2" fillId="0" borderId="0" xfId="0" quotePrefix="1" applyNumberFormat="1" applyFont="1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6" fillId="0" borderId="0" xfId="0" applyFont="1" applyFill="1"/>
    <xf numFmtId="0" fontId="8" fillId="0" borderId="0" xfId="0" applyFont="1" applyFill="1"/>
    <xf numFmtId="177" fontId="8" fillId="0" borderId="0" xfId="1" applyNumberFormat="1" applyFont="1" applyFill="1"/>
    <xf numFmtId="165" fontId="8" fillId="0" borderId="0" xfId="0" applyNumberFormat="1" applyFont="1" applyFill="1"/>
    <xf numFmtId="0" fontId="9" fillId="0" borderId="0" xfId="0" applyFont="1" applyFill="1"/>
    <xf numFmtId="0" fontId="10" fillId="0" borderId="0" xfId="0" applyFont="1" applyFill="1"/>
    <xf numFmtId="0" fontId="8" fillId="0" borderId="0" xfId="0" applyFont="1" applyFill="1" applyBorder="1"/>
    <xf numFmtId="165" fontId="8" fillId="0" borderId="0" xfId="0" applyNumberFormat="1" applyFont="1" applyFill="1" applyBorder="1"/>
    <xf numFmtId="10" fontId="8" fillId="0" borderId="0" xfId="3" applyNumberFormat="1" applyFont="1" applyFill="1" applyBorder="1"/>
    <xf numFmtId="38" fontId="5" fillId="0" borderId="0" xfId="0" applyNumberFormat="1" applyFont="1" applyFill="1" applyAlignment="1">
      <alignment horizontal="right"/>
    </xf>
    <xf numFmtId="38" fontId="2" fillId="2" borderId="0" xfId="0" applyNumberFormat="1" applyFont="1" applyFill="1" applyAlignment="1">
      <alignment horizontal="center"/>
    </xf>
    <xf numFmtId="14" fontId="2" fillId="2" borderId="0" xfId="0" applyNumberFormat="1" applyFont="1" applyFill="1" applyAlignment="1">
      <alignment horizontal="center"/>
    </xf>
    <xf numFmtId="169" fontId="2" fillId="2" borderId="0" xfId="0" applyNumberFormat="1" applyFont="1" applyFill="1" applyAlignment="1">
      <alignment horizontal="center"/>
    </xf>
    <xf numFmtId="168" fontId="2" fillId="2" borderId="0" xfId="0" applyNumberFormat="1" applyFont="1" applyFill="1" applyAlignment="1">
      <alignment horizontal="center"/>
    </xf>
    <xf numFmtId="170" fontId="2" fillId="2" borderId="0" xfId="0" applyNumberFormat="1" applyFont="1" applyFill="1" applyAlignment="1">
      <alignment horizontal="center"/>
    </xf>
    <xf numFmtId="1" fontId="2" fillId="2" borderId="0" xfId="0" applyNumberFormat="1" applyFont="1" applyFill="1" applyAlignment="1">
      <alignment horizontal="center"/>
    </xf>
    <xf numFmtId="38" fontId="2" fillId="2" borderId="0" xfId="0" applyNumberFormat="1" applyFont="1" applyFill="1" applyAlignment="1">
      <alignment horizontal="right"/>
    </xf>
    <xf numFmtId="0" fontId="2" fillId="2" borderId="0" xfId="0" applyNumberFormat="1" applyFont="1" applyFill="1" applyAlignment="1">
      <alignment horizontal="center"/>
    </xf>
    <xf numFmtId="0" fontId="6" fillId="2" borderId="0" xfId="0" applyFont="1" applyFill="1"/>
    <xf numFmtId="38" fontId="0" fillId="0" borderId="0" xfId="0" applyNumberFormat="1" applyFill="1"/>
    <xf numFmtId="177" fontId="0" fillId="0" borderId="0" xfId="1" applyNumberFormat="1" applyFont="1" applyAlignment="1">
      <alignment horizontal="center"/>
    </xf>
    <xf numFmtId="177" fontId="0" fillId="0" borderId="0" xfId="1" applyNumberFormat="1" applyFont="1"/>
    <xf numFmtId="177" fontId="0" fillId="0" borderId="2" xfId="1" applyNumberFormat="1" applyFont="1" applyBorder="1" applyAlignment="1">
      <alignment horizontal="center"/>
    </xf>
    <xf numFmtId="177" fontId="0" fillId="0" borderId="3" xfId="1" applyNumberFormat="1" applyFont="1" applyBorder="1" applyAlignment="1">
      <alignment horizontal="center"/>
    </xf>
    <xf numFmtId="177" fontId="0" fillId="0" borderId="0" xfId="1" applyNumberFormat="1" applyFont="1" applyBorder="1" applyAlignment="1">
      <alignment horizontal="center"/>
    </xf>
    <xf numFmtId="177" fontId="0" fillId="0" borderId="4" xfId="1" applyNumberFormat="1" applyFont="1" applyBorder="1" applyAlignment="1">
      <alignment horizontal="center"/>
    </xf>
    <xf numFmtId="177" fontId="0" fillId="0" borderId="5" xfId="1" applyNumberFormat="1" applyFont="1" applyBorder="1" applyAlignment="1">
      <alignment horizontal="center"/>
    </xf>
    <xf numFmtId="177" fontId="0" fillId="0" borderId="6" xfId="1" applyNumberFormat="1" applyFont="1" applyBorder="1" applyAlignment="1">
      <alignment horizontal="center"/>
    </xf>
    <xf numFmtId="177" fontId="0" fillId="0" borderId="7" xfId="1" applyNumberFormat="1" applyFont="1" applyBorder="1" applyAlignment="1">
      <alignment horizontal="center"/>
    </xf>
    <xf numFmtId="167" fontId="0" fillId="0" borderId="0" xfId="2" applyNumberFormat="1" applyFont="1" applyAlignment="1">
      <alignment horizontal="center"/>
    </xf>
    <xf numFmtId="44" fontId="0" fillId="0" borderId="0" xfId="2" applyFont="1" applyAlignment="1">
      <alignment horizontal="center"/>
    </xf>
    <xf numFmtId="177" fontId="0" fillId="0" borderId="8" xfId="1" applyNumberFormat="1" applyFont="1" applyBorder="1" applyAlignment="1">
      <alignment horizontal="center"/>
    </xf>
    <xf numFmtId="38" fontId="2" fillId="0" borderId="9" xfId="0" applyNumberFormat="1" applyFont="1" applyFill="1" applyBorder="1" applyAlignment="1">
      <alignment horizontal="right"/>
    </xf>
    <xf numFmtId="7" fontId="8" fillId="0" borderId="0" xfId="0" applyNumberFormat="1" applyFont="1" applyFill="1"/>
    <xf numFmtId="170" fontId="8" fillId="0" borderId="0" xfId="3" applyNumberFormat="1" applyFont="1" applyFill="1" applyBorder="1"/>
    <xf numFmtId="177" fontId="8" fillId="0" borderId="0" xfId="0" applyNumberFormat="1" applyFont="1" applyFill="1"/>
    <xf numFmtId="0" fontId="8" fillId="0" borderId="0" xfId="0" applyFont="1" applyFill="1" applyAlignment="1">
      <alignment horizontal="center"/>
    </xf>
    <xf numFmtId="170" fontId="8" fillId="0" borderId="0" xfId="3" applyNumberFormat="1" applyFont="1" applyFill="1"/>
    <xf numFmtId="40" fontId="2" fillId="0" borderId="0" xfId="0" applyNumberFormat="1" applyFont="1" applyFill="1" applyAlignment="1">
      <alignment horizontal="right"/>
    </xf>
    <xf numFmtId="167" fontId="0" fillId="0" borderId="0" xfId="2" applyNumberFormat="1" applyFont="1"/>
    <xf numFmtId="0" fontId="12" fillId="0" borderId="0" xfId="0" applyFont="1"/>
    <xf numFmtId="167" fontId="12" fillId="0" borderId="0" xfId="2" applyNumberFormat="1" applyFont="1"/>
    <xf numFmtId="0" fontId="0" fillId="0" borderId="0" xfId="0" applyFill="1" applyAlignment="1" applyProtection="1">
      <alignment vertical="top"/>
      <protection locked="0"/>
    </xf>
    <xf numFmtId="1" fontId="2" fillId="0" borderId="0" xfId="0" applyNumberFormat="1" applyFont="1" applyFill="1" applyAlignment="1">
      <alignment horizontal="left"/>
    </xf>
    <xf numFmtId="9" fontId="8" fillId="0" borderId="0" xfId="3" applyFont="1" applyFill="1"/>
    <xf numFmtId="177" fontId="8" fillId="0" borderId="0" xfId="1" applyNumberFormat="1" applyFont="1" applyFill="1" applyBorder="1"/>
    <xf numFmtId="0" fontId="11" fillId="0" borderId="0" xfId="0" applyFont="1" applyFill="1" applyAlignment="1">
      <alignment horizontal="right"/>
    </xf>
    <xf numFmtId="0" fontId="2" fillId="2" borderId="0" xfId="0" quotePrefix="1" applyNumberFormat="1" applyFont="1" applyFill="1" applyAlignment="1">
      <alignment horizontal="left"/>
    </xf>
    <xf numFmtId="0" fontId="2" fillId="2" borderId="0" xfId="0" applyNumberFormat="1" applyFont="1" applyFill="1" applyAlignment="1">
      <alignment horizontal="right"/>
    </xf>
    <xf numFmtId="0" fontId="6" fillId="3" borderId="0" xfId="0" applyFont="1" applyFill="1"/>
    <xf numFmtId="38" fontId="2" fillId="3" borderId="0" xfId="0" applyNumberFormat="1" applyFont="1" applyFill="1" applyAlignment="1">
      <alignment horizontal="left"/>
    </xf>
    <xf numFmtId="38" fontId="2" fillId="3" borderId="0" xfId="0" applyNumberFormat="1" applyFont="1" applyFill="1" applyAlignment="1">
      <alignment horizontal="center"/>
    </xf>
    <xf numFmtId="14" fontId="2" fillId="3" borderId="0" xfId="0" applyNumberFormat="1" applyFont="1" applyFill="1" applyAlignment="1">
      <alignment horizontal="center"/>
    </xf>
    <xf numFmtId="38" fontId="2" fillId="3" borderId="0" xfId="0" quotePrefix="1" applyNumberFormat="1" applyFont="1" applyFill="1" applyAlignment="1">
      <alignment horizontal="left"/>
    </xf>
    <xf numFmtId="169" fontId="2" fillId="3" borderId="0" xfId="0" applyNumberFormat="1" applyFont="1" applyFill="1" applyAlignment="1">
      <alignment horizontal="center"/>
    </xf>
    <xf numFmtId="168" fontId="2" fillId="3" borderId="0" xfId="0" applyNumberFormat="1" applyFont="1" applyFill="1" applyAlignment="1">
      <alignment horizontal="center"/>
    </xf>
    <xf numFmtId="170" fontId="2" fillId="3" borderId="0" xfId="0" applyNumberFormat="1" applyFont="1" applyFill="1" applyAlignment="1">
      <alignment horizontal="center"/>
    </xf>
    <xf numFmtId="40" fontId="5" fillId="3" borderId="0" xfId="0" applyNumberFormat="1" applyFont="1" applyFill="1" applyAlignment="1">
      <alignment horizontal="right"/>
    </xf>
    <xf numFmtId="38" fontId="2" fillId="3" borderId="0" xfId="0" applyNumberFormat="1" applyFont="1" applyFill="1" applyAlignment="1">
      <alignment horizontal="right"/>
    </xf>
    <xf numFmtId="0" fontId="2" fillId="3" borderId="0" xfId="0" applyNumberFormat="1" applyFont="1" applyFill="1" applyAlignment="1">
      <alignment horizontal="right"/>
    </xf>
    <xf numFmtId="1" fontId="2" fillId="3" borderId="0" xfId="0" applyNumberFormat="1" applyFont="1" applyFill="1" applyAlignment="1">
      <alignment horizontal="center"/>
    </xf>
    <xf numFmtId="38" fontId="2" fillId="3" borderId="0" xfId="0" applyNumberFormat="1" applyFont="1" applyFill="1" applyBorder="1" applyAlignment="1">
      <alignment horizontal="center"/>
    </xf>
    <xf numFmtId="38" fontId="5" fillId="3" borderId="0" xfId="0" applyNumberFormat="1" applyFont="1" applyFill="1" applyAlignment="1">
      <alignment horizontal="right"/>
    </xf>
    <xf numFmtId="0" fontId="2" fillId="3" borderId="0" xfId="0" applyNumberFormat="1" applyFont="1" applyFill="1" applyAlignment="1">
      <alignment horizontal="center"/>
    </xf>
    <xf numFmtId="38" fontId="2" fillId="2" borderId="0" xfId="0" quotePrefix="1" applyNumberFormat="1" applyFont="1" applyFill="1" applyAlignment="1">
      <alignment horizontal="left"/>
    </xf>
    <xf numFmtId="38" fontId="2" fillId="3" borderId="0" xfId="0" quotePrefix="1" applyNumberFormat="1" applyFont="1" applyFill="1" applyAlignment="1">
      <alignment horizontal="center"/>
    </xf>
    <xf numFmtId="168" fontId="7" fillId="3" borderId="0" xfId="0" applyNumberFormat="1" applyFont="1" applyFill="1" applyAlignment="1">
      <alignment horizontal="center"/>
    </xf>
    <xf numFmtId="38" fontId="7" fillId="3" borderId="0" xfId="0" applyNumberFormat="1" applyFont="1" applyFill="1" applyAlignment="1">
      <alignment horizontal="right"/>
    </xf>
    <xf numFmtId="0" fontId="7" fillId="3" borderId="0" xfId="0" applyNumberFormat="1" applyFont="1" applyFill="1" applyAlignment="1">
      <alignment horizontal="right"/>
    </xf>
    <xf numFmtId="0" fontId="2" fillId="3" borderId="0" xfId="0" applyFont="1" applyFill="1"/>
    <xf numFmtId="38" fontId="2" fillId="4" borderId="0" xfId="0" applyNumberFormat="1" applyFont="1" applyFill="1" applyAlignment="1">
      <alignment horizontal="left"/>
    </xf>
    <xf numFmtId="38" fontId="2" fillId="4" borderId="0" xfId="0" applyNumberFormat="1" applyFont="1" applyFill="1" applyAlignment="1">
      <alignment horizontal="center"/>
    </xf>
    <xf numFmtId="14" fontId="2" fillId="4" borderId="0" xfId="0" applyNumberFormat="1" applyFont="1" applyFill="1" applyAlignment="1">
      <alignment horizontal="center"/>
    </xf>
    <xf numFmtId="169" fontId="2" fillId="4" borderId="0" xfId="0" applyNumberFormat="1" applyFont="1" applyFill="1" applyAlignment="1">
      <alignment horizontal="center"/>
    </xf>
    <xf numFmtId="168" fontId="2" fillId="4" borderId="0" xfId="0" applyNumberFormat="1" applyFont="1" applyFill="1" applyAlignment="1">
      <alignment horizontal="center"/>
    </xf>
    <xf numFmtId="170" fontId="2" fillId="4" borderId="0" xfId="0" applyNumberFormat="1" applyFont="1" applyFill="1" applyAlignment="1">
      <alignment horizontal="center"/>
    </xf>
    <xf numFmtId="1" fontId="2" fillId="4" borderId="0" xfId="0" applyNumberFormat="1" applyFont="1" applyFill="1" applyAlignment="1">
      <alignment horizontal="center"/>
    </xf>
    <xf numFmtId="38" fontId="2" fillId="4" borderId="0" xfId="0" applyNumberFormat="1" applyFont="1" applyFill="1" applyAlignment="1">
      <alignment horizontal="right"/>
    </xf>
    <xf numFmtId="0" fontId="2" fillId="4" borderId="0" xfId="0" applyNumberFormat="1" applyFont="1" applyFill="1" applyAlignment="1">
      <alignment horizontal="right"/>
    </xf>
    <xf numFmtId="0" fontId="2" fillId="4" borderId="0" xfId="0" applyNumberFormat="1" applyFont="1" applyFill="1" applyAlignment="1">
      <alignment horizontal="center"/>
    </xf>
    <xf numFmtId="0" fontId="6" fillId="4" borderId="0" xfId="0" applyFont="1" applyFill="1"/>
    <xf numFmtId="0" fontId="2" fillId="3" borderId="0" xfId="0" quotePrefix="1" applyNumberFormat="1" applyFont="1" applyFill="1" applyAlignment="1">
      <alignment horizontal="right"/>
    </xf>
    <xf numFmtId="40" fontId="2" fillId="2" borderId="0" xfId="0" applyNumberFormat="1" applyFont="1" applyFill="1" applyAlignment="1">
      <alignment horizontal="right"/>
    </xf>
    <xf numFmtId="1" fontId="2" fillId="3" borderId="0" xfId="0" quotePrefix="1" applyNumberFormat="1" applyFont="1" applyFill="1" applyAlignment="1">
      <alignment horizontal="center"/>
    </xf>
    <xf numFmtId="165" fontId="8" fillId="2" borderId="0" xfId="0" applyNumberFormat="1" applyFont="1" applyFill="1"/>
    <xf numFmtId="10" fontId="8" fillId="2" borderId="0" xfId="3" applyNumberFormat="1" applyFont="1" applyFill="1"/>
    <xf numFmtId="165" fontId="8" fillId="2" borderId="10" xfId="0" applyNumberFormat="1" applyFont="1" applyFill="1" applyBorder="1"/>
    <xf numFmtId="165" fontId="8" fillId="2" borderId="9" xfId="0" applyNumberFormat="1" applyFont="1" applyFill="1" applyBorder="1"/>
    <xf numFmtId="191" fontId="8" fillId="2" borderId="0" xfId="3" applyNumberFormat="1" applyFont="1" applyFill="1"/>
    <xf numFmtId="165" fontId="8" fillId="2" borderId="11" xfId="0" applyNumberFormat="1" applyFont="1" applyFill="1" applyBorder="1"/>
    <xf numFmtId="165" fontId="8" fillId="2" borderId="5" xfId="0" applyNumberFormat="1" applyFont="1" applyFill="1" applyBorder="1"/>
    <xf numFmtId="43" fontId="0" fillId="0" borderId="0" xfId="1" applyFont="1" applyFill="1" applyAlignment="1" applyProtection="1">
      <alignment vertical="top"/>
      <protection locked="0"/>
    </xf>
    <xf numFmtId="0" fontId="2" fillId="0" borderId="0" xfId="0" quotePrefix="1" applyNumberFormat="1" applyFont="1" applyFill="1" applyAlignment="1">
      <alignment horizontal="left"/>
    </xf>
    <xf numFmtId="38" fontId="2" fillId="0" borderId="0" xfId="0" quotePrefix="1" applyNumberFormat="1" applyFont="1" applyFill="1" applyAlignment="1">
      <alignment horizontal="center"/>
    </xf>
    <xf numFmtId="0" fontId="2" fillId="0" borderId="0" xfId="0" quotePrefix="1" applyNumberFormat="1" applyFont="1" applyFill="1" applyAlignment="1">
      <alignment horizontal="right"/>
    </xf>
    <xf numFmtId="168" fontId="7" fillId="0" borderId="0" xfId="0" applyNumberFormat="1" applyFont="1" applyFill="1" applyAlignment="1">
      <alignment horizontal="center"/>
    </xf>
    <xf numFmtId="38" fontId="7" fillId="0" borderId="0" xfId="0" applyNumberFormat="1" applyFont="1" applyFill="1" applyAlignment="1">
      <alignment horizontal="right"/>
    </xf>
    <xf numFmtId="0" fontId="7" fillId="0" borderId="0" xfId="0" applyNumberFormat="1" applyFont="1" applyFill="1" applyAlignment="1">
      <alignment horizontal="right"/>
    </xf>
    <xf numFmtId="0" fontId="2" fillId="0" borderId="0" xfId="0" applyFont="1" applyFill="1"/>
    <xf numFmtId="40" fontId="5" fillId="0" borderId="0" xfId="0" applyNumberFormat="1" applyFont="1" applyFill="1" applyAlignment="1">
      <alignment horizontal="right"/>
    </xf>
    <xf numFmtId="1" fontId="2" fillId="0" borderId="0" xfId="0" quotePrefix="1" applyNumberFormat="1" applyFont="1" applyFill="1" applyAlignment="1">
      <alignment horizontal="center"/>
    </xf>
    <xf numFmtId="38" fontId="5" fillId="2" borderId="0" xfId="0" applyNumberFormat="1" applyFont="1" applyFill="1" applyAlignment="1">
      <alignment horizontal="right"/>
    </xf>
    <xf numFmtId="1" fontId="2" fillId="2" borderId="0" xfId="0" applyNumberFormat="1" applyFont="1" applyFill="1" applyAlignment="1">
      <alignment horizontal="left"/>
    </xf>
    <xf numFmtId="0" fontId="2" fillId="2" borderId="0" xfId="0" quotePrefix="1" applyNumberFormat="1" applyFont="1" applyFill="1" applyAlignment="1">
      <alignment horizontal="right"/>
    </xf>
    <xf numFmtId="17" fontId="13" fillId="0" borderId="0" xfId="0" applyNumberFormat="1" applyFont="1"/>
    <xf numFmtId="0" fontId="14" fillId="0" borderId="0" xfId="0" applyFont="1"/>
    <xf numFmtId="0" fontId="13" fillId="0" borderId="0" xfId="0" applyFont="1"/>
    <xf numFmtId="0" fontId="15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7" fillId="0" borderId="0" xfId="0" applyFont="1" applyBorder="1" applyAlignment="1">
      <alignment horizontal="center"/>
    </xf>
    <xf numFmtId="0" fontId="17" fillId="0" borderId="0" xfId="0" applyFont="1" applyAlignment="1">
      <alignment horizontal="center"/>
    </xf>
    <xf numFmtId="0" fontId="15" fillId="0" borderId="0" xfId="0" applyFont="1"/>
    <xf numFmtId="0" fontId="17" fillId="0" borderId="0" xfId="0" applyFont="1"/>
    <xf numFmtId="1" fontId="0" fillId="0" borderId="0" xfId="0" applyNumberFormat="1"/>
    <xf numFmtId="0" fontId="15" fillId="0" borderId="1" xfId="0" applyFont="1" applyBorder="1"/>
    <xf numFmtId="0" fontId="0" fillId="0" borderId="1" xfId="0" applyBorder="1"/>
    <xf numFmtId="1" fontId="0" fillId="0" borderId="1" xfId="0" applyNumberFormat="1" applyBorder="1"/>
    <xf numFmtId="0" fontId="18" fillId="0" borderId="0" xfId="0" applyFont="1"/>
    <xf numFmtId="0" fontId="0" fillId="0" borderId="11" xfId="0" applyBorder="1"/>
    <xf numFmtId="0" fontId="0" fillId="2" borderId="0" xfId="0" applyFill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70"/>
  <sheetViews>
    <sheetView topLeftCell="A32" workbookViewId="0">
      <selection activeCell="A52" sqref="A52"/>
    </sheetView>
  </sheetViews>
  <sheetFormatPr defaultRowHeight="13.2" x14ac:dyDescent="0.25"/>
  <cols>
    <col min="1" max="1" width="22.109375" customWidth="1"/>
    <col min="2" max="3" width="17.5546875" customWidth="1"/>
    <col min="4" max="4" width="14.109375" customWidth="1"/>
    <col min="5" max="5" width="11.6640625" style="101" customWidth="1"/>
    <col min="6" max="6" width="10.44140625" style="101" customWidth="1"/>
    <col min="7" max="7" width="38.5546875" customWidth="1"/>
    <col min="8" max="9" width="11.44140625" style="101" customWidth="1"/>
  </cols>
  <sheetData>
    <row r="1" spans="1:10" x14ac:dyDescent="0.25">
      <c r="A1" s="102" t="s">
        <v>312</v>
      </c>
      <c r="B1" s="102"/>
      <c r="C1" s="102"/>
      <c r="E1" s="101" t="s">
        <v>461</v>
      </c>
    </row>
    <row r="2" spans="1:10" x14ac:dyDescent="0.25">
      <c r="E2" s="101" t="s">
        <v>462</v>
      </c>
    </row>
    <row r="3" spans="1:10" x14ac:dyDescent="0.25">
      <c r="E3" s="101" t="s">
        <v>348</v>
      </c>
    </row>
    <row r="4" spans="1:10" x14ac:dyDescent="0.25">
      <c r="E4" s="101" t="s">
        <v>345</v>
      </c>
    </row>
    <row r="5" spans="1:10" x14ac:dyDescent="0.25">
      <c r="E5" s="101" t="s">
        <v>346</v>
      </c>
    </row>
    <row r="7" spans="1:10" x14ac:dyDescent="0.25">
      <c r="D7" t="s">
        <v>342</v>
      </c>
      <c r="E7" s="101" t="s">
        <v>343</v>
      </c>
    </row>
    <row r="8" spans="1:10" x14ac:dyDescent="0.25">
      <c r="E8" s="101" t="s">
        <v>344</v>
      </c>
    </row>
    <row r="9" spans="1:10" x14ac:dyDescent="0.25">
      <c r="E9" s="101" t="s">
        <v>347</v>
      </c>
    </row>
    <row r="10" spans="1:10" x14ac:dyDescent="0.25">
      <c r="E10" s="101" t="s">
        <v>349</v>
      </c>
    </row>
    <row r="11" spans="1:10" x14ac:dyDescent="0.25">
      <c r="F11" s="101" t="s">
        <v>350</v>
      </c>
    </row>
    <row r="12" spans="1:10" x14ac:dyDescent="0.25">
      <c r="E12" s="101" t="s">
        <v>351</v>
      </c>
    </row>
    <row r="13" spans="1:10" x14ac:dyDescent="0.25">
      <c r="F13" s="101" t="s">
        <v>352</v>
      </c>
    </row>
    <row r="16" spans="1:10" x14ac:dyDescent="0.25">
      <c r="A16" s="102" t="s">
        <v>313</v>
      </c>
      <c r="B16" s="102" t="s">
        <v>399</v>
      </c>
      <c r="C16" s="102" t="s">
        <v>400</v>
      </c>
      <c r="E16" s="103" t="s">
        <v>339</v>
      </c>
      <c r="F16" s="103" t="s">
        <v>340</v>
      </c>
      <c r="G16" s="102" t="s">
        <v>314</v>
      </c>
      <c r="H16" s="103" t="s">
        <v>339</v>
      </c>
      <c r="I16" s="103" t="s">
        <v>340</v>
      </c>
      <c r="J16" s="102" t="s">
        <v>315</v>
      </c>
    </row>
    <row r="18" spans="1:10" x14ac:dyDescent="0.25">
      <c r="A18" t="s">
        <v>31</v>
      </c>
      <c r="B18" s="83">
        <v>2159</v>
      </c>
      <c r="C18">
        <v>228293</v>
      </c>
      <c r="E18" s="101">
        <v>3.1</v>
      </c>
      <c r="F18" s="101">
        <v>3.1</v>
      </c>
      <c r="G18" t="s">
        <v>341</v>
      </c>
      <c r="H18" s="101">
        <v>3.1549999999999998</v>
      </c>
      <c r="I18" s="101">
        <f>3.155+0.02</f>
        <v>3.1749999999999998</v>
      </c>
      <c r="J18" t="s">
        <v>321</v>
      </c>
    </row>
    <row r="19" spans="1:10" x14ac:dyDescent="0.25">
      <c r="A19" t="s">
        <v>401</v>
      </c>
      <c r="B19" s="83"/>
      <c r="C19">
        <v>248838</v>
      </c>
    </row>
    <row r="20" spans="1:10" x14ac:dyDescent="0.25">
      <c r="A20" t="s">
        <v>420</v>
      </c>
      <c r="B20" s="83"/>
      <c r="C20">
        <v>251539</v>
      </c>
    </row>
    <row r="21" spans="1:10" ht="14.25" customHeight="1" x14ac:dyDescent="0.25">
      <c r="B21" s="83"/>
    </row>
    <row r="22" spans="1:10" x14ac:dyDescent="0.25">
      <c r="A22" t="s">
        <v>455</v>
      </c>
      <c r="B22" s="83"/>
      <c r="G22" t="s">
        <v>456</v>
      </c>
      <c r="J22" t="s">
        <v>457</v>
      </c>
    </row>
    <row r="23" spans="1:10" x14ac:dyDescent="0.25">
      <c r="A23" t="s">
        <v>401</v>
      </c>
      <c r="B23" s="83"/>
    </row>
    <row r="24" spans="1:10" x14ac:dyDescent="0.25">
      <c r="A24" t="s">
        <v>420</v>
      </c>
      <c r="B24" s="83"/>
    </row>
    <row r="25" spans="1:10" x14ac:dyDescent="0.25">
      <c r="B25" s="83"/>
    </row>
    <row r="26" spans="1:10" x14ac:dyDescent="0.25">
      <c r="A26" t="s">
        <v>458</v>
      </c>
      <c r="B26" s="83"/>
      <c r="G26" t="s">
        <v>459</v>
      </c>
      <c r="J26" t="s">
        <v>460</v>
      </c>
    </row>
    <row r="27" spans="1:10" x14ac:dyDescent="0.25">
      <c r="A27" t="s">
        <v>401</v>
      </c>
      <c r="B27" s="83"/>
    </row>
    <row r="28" spans="1:10" x14ac:dyDescent="0.25">
      <c r="A28" t="s">
        <v>420</v>
      </c>
      <c r="B28" s="83"/>
    </row>
    <row r="29" spans="1:10" ht="14.25" customHeight="1" x14ac:dyDescent="0.25">
      <c r="B29" s="83"/>
    </row>
    <row r="30" spans="1:10" x14ac:dyDescent="0.25">
      <c r="A30" t="s">
        <v>316</v>
      </c>
      <c r="B30" s="83">
        <v>3054</v>
      </c>
      <c r="C30">
        <v>228246</v>
      </c>
      <c r="E30" s="101">
        <v>3.14</v>
      </c>
      <c r="G30" t="s">
        <v>318</v>
      </c>
      <c r="H30" s="101">
        <v>3.14</v>
      </c>
      <c r="J30" t="s">
        <v>436</v>
      </c>
    </row>
    <row r="31" spans="1:10" x14ac:dyDescent="0.25">
      <c r="A31" t="s">
        <v>401</v>
      </c>
      <c r="B31" s="83"/>
      <c r="C31">
        <v>251635</v>
      </c>
    </row>
    <row r="32" spans="1:10" x14ac:dyDescent="0.25">
      <c r="A32" t="s">
        <v>420</v>
      </c>
      <c r="B32" s="83"/>
      <c r="C32">
        <v>251633</v>
      </c>
    </row>
    <row r="33" spans="1:10" x14ac:dyDescent="0.25">
      <c r="B33" s="83"/>
    </row>
    <row r="34" spans="1:10" x14ac:dyDescent="0.25">
      <c r="A34" t="s">
        <v>317</v>
      </c>
      <c r="B34" s="83">
        <v>3960</v>
      </c>
      <c r="C34">
        <v>228234</v>
      </c>
      <c r="E34" s="101">
        <v>3.14</v>
      </c>
      <c r="G34" t="s">
        <v>318</v>
      </c>
      <c r="H34" s="101">
        <v>3.14</v>
      </c>
      <c r="J34" t="s">
        <v>319</v>
      </c>
    </row>
    <row r="35" spans="1:10" x14ac:dyDescent="0.25">
      <c r="A35" t="s">
        <v>401</v>
      </c>
      <c r="B35" s="83"/>
      <c r="C35">
        <v>251630</v>
      </c>
    </row>
    <row r="36" spans="1:10" x14ac:dyDescent="0.25">
      <c r="A36" t="s">
        <v>420</v>
      </c>
      <c r="B36" s="83"/>
      <c r="C36">
        <v>251620</v>
      </c>
    </row>
    <row r="37" spans="1:10" x14ac:dyDescent="0.25">
      <c r="B37" s="83"/>
    </row>
    <row r="38" spans="1:10" x14ac:dyDescent="0.25">
      <c r="A38" t="s">
        <v>180</v>
      </c>
      <c r="B38" s="83">
        <v>111210</v>
      </c>
      <c r="E38" s="101">
        <v>3.0350000000000001</v>
      </c>
      <c r="G38" t="s">
        <v>335</v>
      </c>
      <c r="H38" s="101">
        <v>3.0350000000000001</v>
      </c>
      <c r="J38" t="s">
        <v>450</v>
      </c>
    </row>
    <row r="39" spans="1:10" x14ac:dyDescent="0.25">
      <c r="B39" s="83"/>
    </row>
    <row r="40" spans="1:10" x14ac:dyDescent="0.25">
      <c r="A40" t="s">
        <v>320</v>
      </c>
      <c r="B40" s="83">
        <v>1665</v>
      </c>
      <c r="C40">
        <v>251753</v>
      </c>
      <c r="G40" t="s">
        <v>452</v>
      </c>
      <c r="H40" s="101">
        <f>3.035+0.02</f>
        <v>3.0550000000000002</v>
      </c>
      <c r="J40" t="s">
        <v>454</v>
      </c>
    </row>
    <row r="41" spans="1:10" x14ac:dyDescent="0.25">
      <c r="A41" t="s">
        <v>401</v>
      </c>
      <c r="B41" s="83"/>
      <c r="C41">
        <v>251755</v>
      </c>
      <c r="J41" t="s">
        <v>453</v>
      </c>
    </row>
    <row r="42" spans="1:10" x14ac:dyDescent="0.25">
      <c r="A42" t="s">
        <v>420</v>
      </c>
      <c r="B42" s="83"/>
      <c r="C42">
        <v>251757</v>
      </c>
    </row>
    <row r="43" spans="1:10" x14ac:dyDescent="0.25">
      <c r="B43" s="83"/>
    </row>
    <row r="44" spans="1:10" x14ac:dyDescent="0.25">
      <c r="A44" t="s">
        <v>284</v>
      </c>
      <c r="B44" s="83">
        <v>4717</v>
      </c>
      <c r="C44">
        <v>250260</v>
      </c>
      <c r="E44" s="101">
        <f>3.18</f>
        <v>3.18</v>
      </c>
      <c r="F44" s="101">
        <f>3.18-0.01</f>
        <v>3.1700000000000004</v>
      </c>
      <c r="G44" t="s">
        <v>322</v>
      </c>
      <c r="H44" s="101">
        <f>3.18</f>
        <v>3.18</v>
      </c>
      <c r="I44" s="101">
        <f>3.18+0.01</f>
        <v>3.19</v>
      </c>
      <c r="J44" t="s">
        <v>323</v>
      </c>
    </row>
    <row r="45" spans="1:10" x14ac:dyDescent="0.25">
      <c r="A45" t="s">
        <v>401</v>
      </c>
      <c r="B45" s="83"/>
      <c r="C45">
        <v>251295</v>
      </c>
    </row>
    <row r="46" spans="1:10" x14ac:dyDescent="0.25">
      <c r="A46" t="s">
        <v>420</v>
      </c>
      <c r="B46" s="83"/>
      <c r="C46">
        <v>251268</v>
      </c>
    </row>
    <row r="47" spans="1:10" x14ac:dyDescent="0.25">
      <c r="B47" s="83"/>
    </row>
    <row r="48" spans="1:10" x14ac:dyDescent="0.25">
      <c r="A48" t="s">
        <v>324</v>
      </c>
      <c r="B48" s="83"/>
      <c r="C48">
        <v>250257</v>
      </c>
      <c r="E48" s="101">
        <f>2.83</f>
        <v>2.83</v>
      </c>
      <c r="F48" s="101">
        <f>2.83-0.01</f>
        <v>2.8200000000000003</v>
      </c>
      <c r="G48" t="s">
        <v>325</v>
      </c>
      <c r="H48" s="101">
        <f>2.83</f>
        <v>2.83</v>
      </c>
      <c r="I48" s="101">
        <f>2.83+0.01</f>
        <v>2.84</v>
      </c>
      <c r="J48" t="s">
        <v>326</v>
      </c>
    </row>
    <row r="49" spans="1:10" x14ac:dyDescent="0.25">
      <c r="A49" t="s">
        <v>401</v>
      </c>
      <c r="B49" s="83"/>
      <c r="C49">
        <v>251732</v>
      </c>
    </row>
    <row r="50" spans="1:10" x14ac:dyDescent="0.25">
      <c r="A50" t="s">
        <v>420</v>
      </c>
      <c r="B50" s="83"/>
      <c r="C50">
        <v>251736</v>
      </c>
    </row>
    <row r="51" spans="1:10" x14ac:dyDescent="0.25">
      <c r="B51" s="83"/>
    </row>
    <row r="52" spans="1:10" x14ac:dyDescent="0.25">
      <c r="A52" t="s">
        <v>328</v>
      </c>
      <c r="B52" s="83">
        <v>2330</v>
      </c>
      <c r="C52">
        <v>229573</v>
      </c>
      <c r="G52" t="s">
        <v>463</v>
      </c>
      <c r="J52" t="s">
        <v>464</v>
      </c>
    </row>
    <row r="53" spans="1:10" x14ac:dyDescent="0.25">
      <c r="A53" t="s">
        <v>401</v>
      </c>
      <c r="B53" s="83"/>
      <c r="C53">
        <v>250281</v>
      </c>
    </row>
    <row r="54" spans="1:10" x14ac:dyDescent="0.25">
      <c r="A54" t="s">
        <v>420</v>
      </c>
      <c r="B54" s="83"/>
      <c r="C54">
        <v>250290</v>
      </c>
    </row>
    <row r="55" spans="1:10" x14ac:dyDescent="0.25">
      <c r="B55" s="83"/>
    </row>
    <row r="56" spans="1:10" x14ac:dyDescent="0.25">
      <c r="A56" t="s">
        <v>331</v>
      </c>
      <c r="B56" s="83">
        <v>145</v>
      </c>
      <c r="C56">
        <v>253490</v>
      </c>
      <c r="E56" s="101">
        <f>3.135</f>
        <v>3.1349999999999998</v>
      </c>
      <c r="F56" s="101">
        <f>3.135-0.02</f>
        <v>3.1149999999999998</v>
      </c>
      <c r="G56" t="s">
        <v>332</v>
      </c>
      <c r="H56" s="101">
        <f>3.135</f>
        <v>3.1349999999999998</v>
      </c>
      <c r="I56" s="101">
        <f>3.135+0.02</f>
        <v>3.1549999999999998</v>
      </c>
      <c r="J56" t="s">
        <v>333</v>
      </c>
    </row>
    <row r="57" spans="1:10" x14ac:dyDescent="0.25">
      <c r="B57" s="83"/>
    </row>
    <row r="58" spans="1:10" x14ac:dyDescent="0.25">
      <c r="B58" s="83"/>
    </row>
    <row r="59" spans="1:10" x14ac:dyDescent="0.25">
      <c r="B59" s="83"/>
    </row>
    <row r="60" spans="1:10" x14ac:dyDescent="0.25">
      <c r="A60" t="s">
        <v>334</v>
      </c>
      <c r="B60" s="83">
        <v>279</v>
      </c>
      <c r="C60">
        <v>253486</v>
      </c>
      <c r="G60" t="s">
        <v>327</v>
      </c>
      <c r="J60" t="s">
        <v>327</v>
      </c>
    </row>
    <row r="61" spans="1:10" x14ac:dyDescent="0.25">
      <c r="B61" s="83"/>
    </row>
    <row r="62" spans="1:10" x14ac:dyDescent="0.25">
      <c r="A62" t="s">
        <v>329</v>
      </c>
      <c r="B62" s="83">
        <v>311</v>
      </c>
      <c r="C62">
        <v>253493</v>
      </c>
      <c r="G62" t="s">
        <v>327</v>
      </c>
      <c r="J62" t="s">
        <v>327</v>
      </c>
    </row>
    <row r="63" spans="1:10" x14ac:dyDescent="0.25">
      <c r="B63" s="83"/>
      <c r="D63" t="s">
        <v>330</v>
      </c>
    </row>
    <row r="64" spans="1:10" x14ac:dyDescent="0.25">
      <c r="B64" s="83"/>
    </row>
    <row r="65" spans="1:10" x14ac:dyDescent="0.25">
      <c r="A65" t="s">
        <v>281</v>
      </c>
      <c r="B65" s="83">
        <v>2478</v>
      </c>
      <c r="C65">
        <v>250456</v>
      </c>
      <c r="G65" t="s">
        <v>327</v>
      </c>
      <c r="J65" t="s">
        <v>327</v>
      </c>
    </row>
    <row r="66" spans="1:10" x14ac:dyDescent="0.25">
      <c r="B66" s="83"/>
    </row>
    <row r="67" spans="1:10" x14ac:dyDescent="0.25">
      <c r="A67" s="102" t="s">
        <v>336</v>
      </c>
      <c r="B67" s="102"/>
      <c r="C67" s="102"/>
    </row>
    <row r="68" spans="1:10" x14ac:dyDescent="0.25">
      <c r="A68" t="s">
        <v>1</v>
      </c>
      <c r="B68" s="83">
        <v>10006</v>
      </c>
      <c r="G68" t="s">
        <v>327</v>
      </c>
      <c r="J68" t="s">
        <v>327</v>
      </c>
    </row>
    <row r="69" spans="1:10" x14ac:dyDescent="0.25">
      <c r="A69" t="s">
        <v>337</v>
      </c>
      <c r="B69" s="83">
        <v>10799</v>
      </c>
      <c r="G69" t="s">
        <v>327</v>
      </c>
      <c r="J69" t="s">
        <v>327</v>
      </c>
    </row>
    <row r="70" spans="1:10" x14ac:dyDescent="0.25">
      <c r="A70" t="s">
        <v>338</v>
      </c>
      <c r="B70" s="83"/>
      <c r="G70" t="s">
        <v>327</v>
      </c>
      <c r="J70" t="s">
        <v>327</v>
      </c>
    </row>
  </sheetData>
  <pageMargins left="0.75" right="0.75" top="1" bottom="1" header="0.5" footer="0.5"/>
  <pageSetup scale="51" orientation="landscape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41"/>
  <sheetViews>
    <sheetView workbookViewId="0">
      <selection activeCell="H19" sqref="H19"/>
    </sheetView>
  </sheetViews>
  <sheetFormatPr defaultColWidth="9.109375" defaultRowHeight="13.2" x14ac:dyDescent="0.25"/>
  <cols>
    <col min="1" max="1" width="5.6640625" style="83" customWidth="1"/>
    <col min="2" max="2" width="11" style="83" customWidth="1"/>
    <col min="3" max="4" width="11.33203125" style="83" customWidth="1"/>
    <col min="5" max="5" width="3.33203125" style="83" customWidth="1"/>
    <col min="6" max="6" width="12.88671875" style="83" customWidth="1"/>
    <col min="7" max="7" width="4.6640625" style="83" customWidth="1"/>
    <col min="8" max="8" width="12.88671875" style="83" customWidth="1"/>
    <col min="9" max="9" width="10.44140625" style="83" customWidth="1"/>
    <col min="10" max="10" width="3.33203125" style="83" customWidth="1"/>
    <col min="11" max="11" width="12.88671875" style="83" customWidth="1"/>
    <col min="12" max="12" width="9.109375" style="83"/>
    <col min="13" max="13" width="10.5546875" style="83" customWidth="1"/>
    <col min="14" max="14" width="9.109375" style="83"/>
    <col min="15" max="15" width="11.33203125" style="83" customWidth="1"/>
    <col min="16" max="16" width="10.33203125" style="83" customWidth="1"/>
    <col min="17" max="17" width="11.109375" style="83" customWidth="1"/>
    <col min="18" max="18" width="3.5546875" style="83" customWidth="1"/>
    <col min="19" max="19" width="13" style="83" customWidth="1"/>
    <col min="20" max="20" width="4.109375" style="83" customWidth="1"/>
    <col min="21" max="21" width="12.33203125" style="83" customWidth="1"/>
    <col min="22" max="22" width="13.88671875" style="83" customWidth="1"/>
    <col min="23" max="25" width="9.109375" style="83"/>
    <col min="26" max="26" width="13.88671875" style="83" customWidth="1"/>
    <col min="27" max="16384" width="9.109375" style="83"/>
  </cols>
  <sheetData>
    <row r="2" spans="1:25" s="82" customFormat="1" x14ac:dyDescent="0.25">
      <c r="B2" s="82" t="s">
        <v>221</v>
      </c>
      <c r="C2" s="82" t="s">
        <v>222</v>
      </c>
      <c r="D2" s="82" t="s">
        <v>223</v>
      </c>
      <c r="E2" s="82" t="s">
        <v>224</v>
      </c>
      <c r="F2" s="82" t="s">
        <v>225</v>
      </c>
      <c r="G2" s="82" t="s">
        <v>226</v>
      </c>
      <c r="H2" s="82" t="s">
        <v>227</v>
      </c>
      <c r="I2" s="82" t="s">
        <v>228</v>
      </c>
      <c r="J2" s="82" t="s">
        <v>229</v>
      </c>
      <c r="K2" s="82" t="s">
        <v>230</v>
      </c>
      <c r="L2" s="82" t="s">
        <v>231</v>
      </c>
      <c r="M2" s="82" t="s">
        <v>232</v>
      </c>
      <c r="N2" s="82" t="s">
        <v>233</v>
      </c>
      <c r="O2" s="82" t="s">
        <v>234</v>
      </c>
      <c r="P2" s="82" t="s">
        <v>235</v>
      </c>
      <c r="Q2" s="82" t="s">
        <v>236</v>
      </c>
      <c r="R2" s="82" t="s">
        <v>237</v>
      </c>
      <c r="S2" s="82" t="s">
        <v>238</v>
      </c>
      <c r="T2" s="82" t="s">
        <v>239</v>
      </c>
      <c r="U2" s="82" t="s">
        <v>240</v>
      </c>
      <c r="V2" s="82" t="s">
        <v>241</v>
      </c>
      <c r="W2" s="82" t="s">
        <v>242</v>
      </c>
      <c r="X2" s="82" t="s">
        <v>243</v>
      </c>
      <c r="Y2" s="82" t="s">
        <v>244</v>
      </c>
    </row>
    <row r="3" spans="1:25" x14ac:dyDescent="0.25">
      <c r="A3" s="82"/>
      <c r="B3" s="82"/>
      <c r="C3" s="82"/>
      <c r="D3" s="82"/>
      <c r="E3" s="82"/>
      <c r="F3" s="82"/>
      <c r="G3" s="82"/>
      <c r="H3" s="82"/>
      <c r="I3" s="82"/>
      <c r="J3" s="82"/>
      <c r="K3" s="82"/>
      <c r="L3" s="82"/>
      <c r="M3" s="82"/>
      <c r="N3" s="82"/>
      <c r="O3" s="82"/>
      <c r="P3" s="82"/>
      <c r="Q3" s="82"/>
      <c r="R3" s="82"/>
      <c r="S3" s="82"/>
      <c r="T3" s="82"/>
      <c r="U3" s="82"/>
      <c r="V3" s="82"/>
    </row>
    <row r="4" spans="1:25" x14ac:dyDescent="0.25">
      <c r="A4" s="82"/>
      <c r="B4" s="82"/>
      <c r="C4" s="82"/>
      <c r="D4" s="82"/>
      <c r="E4" s="82"/>
      <c r="F4" s="82" t="s">
        <v>245</v>
      </c>
      <c r="G4" s="82"/>
      <c r="H4" s="84" t="s">
        <v>246</v>
      </c>
      <c r="I4" s="85" t="s">
        <v>246</v>
      </c>
      <c r="J4" s="86"/>
      <c r="K4" s="82" t="s">
        <v>258</v>
      </c>
      <c r="L4" s="82"/>
      <c r="M4" s="82"/>
      <c r="N4" s="82"/>
      <c r="O4" s="82"/>
      <c r="P4" s="82"/>
      <c r="Q4" s="82"/>
      <c r="R4" s="82"/>
      <c r="S4" s="82"/>
      <c r="T4" s="82"/>
      <c r="U4" s="82"/>
      <c r="V4" s="82"/>
    </row>
    <row r="5" spans="1:25" x14ac:dyDescent="0.25">
      <c r="A5" s="82"/>
      <c r="B5" s="82" t="s">
        <v>247</v>
      </c>
      <c r="C5" s="82" t="s">
        <v>248</v>
      </c>
      <c r="D5" s="82" t="s">
        <v>195</v>
      </c>
      <c r="E5" s="82"/>
      <c r="F5" s="82" t="s">
        <v>249</v>
      </c>
      <c r="G5" s="82"/>
      <c r="H5" s="93" t="s">
        <v>256</v>
      </c>
      <c r="I5" s="87" t="s">
        <v>257</v>
      </c>
      <c r="J5" s="86"/>
      <c r="K5" s="82"/>
      <c r="L5" s="82"/>
      <c r="M5" s="82" t="s">
        <v>250</v>
      </c>
      <c r="N5" s="82"/>
      <c r="O5" s="84" t="s">
        <v>251</v>
      </c>
      <c r="P5" s="88" t="s">
        <v>252</v>
      </c>
      <c r="Q5" s="85" t="s">
        <v>253</v>
      </c>
      <c r="R5" s="82"/>
      <c r="S5" s="82" t="s">
        <v>259</v>
      </c>
      <c r="T5" s="82"/>
      <c r="U5" s="82" t="s">
        <v>254</v>
      </c>
      <c r="V5" s="82"/>
    </row>
    <row r="6" spans="1:25" x14ac:dyDescent="0.25">
      <c r="A6" s="82">
        <v>1</v>
      </c>
      <c r="B6" s="82">
        <v>135955</v>
      </c>
      <c r="C6" s="82">
        <v>11185</v>
      </c>
      <c r="D6" s="82">
        <v>13262</v>
      </c>
      <c r="E6" s="82"/>
      <c r="F6" s="82">
        <f>SUM(B6:D6)</f>
        <v>160402</v>
      </c>
      <c r="G6" s="82"/>
      <c r="H6" s="82">
        <v>33135</v>
      </c>
      <c r="I6" s="82">
        <f>ROUND(+H6*(1-0.02116),0)</f>
        <v>32434</v>
      </c>
      <c r="J6" s="82"/>
      <c r="K6" s="82">
        <f>+F6-I6</f>
        <v>127968</v>
      </c>
      <c r="L6" s="82"/>
      <c r="M6" s="82" t="s">
        <v>212</v>
      </c>
      <c r="N6" s="82"/>
      <c r="O6" s="89">
        <f>188693-36124</f>
        <v>152569</v>
      </c>
      <c r="P6" s="86">
        <v>36124</v>
      </c>
      <c r="Q6" s="90">
        <f>+P6+O6</f>
        <v>188693</v>
      </c>
      <c r="R6" s="82"/>
      <c r="S6" s="82">
        <f>+O6-K6</f>
        <v>24601</v>
      </c>
      <c r="T6" s="82"/>
      <c r="U6" s="91">
        <v>2.77</v>
      </c>
      <c r="V6" s="92">
        <f>+U6*S6</f>
        <v>68144.77</v>
      </c>
    </row>
    <row r="7" spans="1:25" x14ac:dyDescent="0.25">
      <c r="A7" s="82">
        <f>+A6+1</f>
        <v>2</v>
      </c>
      <c r="B7" s="82">
        <v>172800</v>
      </c>
      <c r="C7" s="82">
        <v>11168</v>
      </c>
      <c r="D7" s="82">
        <f>+D6</f>
        <v>13262</v>
      </c>
      <c r="E7" s="82"/>
      <c r="F7" s="82">
        <f t="shared" ref="F7:F34" si="0">SUM(B7:D7)</f>
        <v>197230</v>
      </c>
      <c r="G7" s="82"/>
      <c r="H7" s="82">
        <v>44907</v>
      </c>
      <c r="I7" s="82">
        <f t="shared" ref="I7:I36" si="1">ROUND(+H7*(1-0.02116),0)</f>
        <v>43957</v>
      </c>
      <c r="J7" s="82"/>
      <c r="K7" s="82">
        <f t="shared" ref="K7:K36" si="2">+F7-I7</f>
        <v>153273</v>
      </c>
      <c r="L7" s="82"/>
      <c r="M7" s="82" t="s">
        <v>212</v>
      </c>
      <c r="N7" s="82"/>
      <c r="O7" s="89">
        <f>+O6</f>
        <v>152569</v>
      </c>
      <c r="P7" s="86">
        <f>+P6</f>
        <v>36124</v>
      </c>
      <c r="Q7" s="90">
        <f t="shared" ref="Q7:Q32" si="3">+P7+O7</f>
        <v>188693</v>
      </c>
      <c r="R7" s="82"/>
      <c r="S7" s="82">
        <f t="shared" ref="S7:S34" si="4">+O7-K7</f>
        <v>-704</v>
      </c>
      <c r="T7" s="82"/>
      <c r="U7" s="91">
        <v>2.9</v>
      </c>
      <c r="V7" s="92">
        <f t="shared" ref="V7:V34" si="5">+U7*S7</f>
        <v>-2041.6</v>
      </c>
    </row>
    <row r="8" spans="1:25" x14ac:dyDescent="0.25">
      <c r="A8" s="82">
        <f t="shared" ref="A8:A34" si="6">+A7+1</f>
        <v>3</v>
      </c>
      <c r="B8" s="82">
        <v>158218</v>
      </c>
      <c r="C8" s="82">
        <v>10419</v>
      </c>
      <c r="D8" s="82">
        <f t="shared" ref="D8:D36" si="7">+D7</f>
        <v>13262</v>
      </c>
      <c r="E8" s="82"/>
      <c r="F8" s="82">
        <f t="shared" si="0"/>
        <v>181899</v>
      </c>
      <c r="G8" s="82"/>
      <c r="H8" s="82">
        <v>40994</v>
      </c>
      <c r="I8" s="82">
        <f t="shared" si="1"/>
        <v>40127</v>
      </c>
      <c r="J8" s="82"/>
      <c r="K8" s="82">
        <f t="shared" si="2"/>
        <v>141772</v>
      </c>
      <c r="L8" s="82"/>
      <c r="M8" s="82" t="s">
        <v>212</v>
      </c>
      <c r="N8" s="82"/>
      <c r="O8" s="89">
        <f t="shared" ref="O8:O32" si="8">+O7</f>
        <v>152569</v>
      </c>
      <c r="P8" s="86">
        <f t="shared" ref="P8:P32" si="9">+P7</f>
        <v>36124</v>
      </c>
      <c r="Q8" s="90">
        <f t="shared" si="3"/>
        <v>188693</v>
      </c>
      <c r="R8" s="82"/>
      <c r="S8" s="82">
        <f t="shared" si="4"/>
        <v>10797</v>
      </c>
      <c r="T8" s="82"/>
      <c r="U8" s="91">
        <v>2.9849999999999999</v>
      </c>
      <c r="V8" s="92">
        <f t="shared" si="5"/>
        <v>32229.044999999998</v>
      </c>
    </row>
    <row r="9" spans="1:25" x14ac:dyDescent="0.25">
      <c r="A9" s="82">
        <f t="shared" si="6"/>
        <v>4</v>
      </c>
      <c r="B9" s="82">
        <v>135473</v>
      </c>
      <c r="C9" s="82">
        <v>10363</v>
      </c>
      <c r="D9" s="82">
        <f t="shared" si="7"/>
        <v>13262</v>
      </c>
      <c r="E9" s="82"/>
      <c r="F9" s="82">
        <f t="shared" si="0"/>
        <v>159098</v>
      </c>
      <c r="G9" s="82"/>
      <c r="H9" s="82">
        <v>30645</v>
      </c>
      <c r="I9" s="82">
        <f t="shared" si="1"/>
        <v>29997</v>
      </c>
      <c r="J9" s="82"/>
      <c r="K9" s="82">
        <f t="shared" si="2"/>
        <v>129101</v>
      </c>
      <c r="L9" s="82"/>
      <c r="M9" s="82" t="s">
        <v>212</v>
      </c>
      <c r="N9" s="82"/>
      <c r="O9" s="89">
        <f t="shared" si="8"/>
        <v>152569</v>
      </c>
      <c r="P9" s="86">
        <f t="shared" si="9"/>
        <v>36124</v>
      </c>
      <c r="Q9" s="90">
        <f t="shared" si="3"/>
        <v>188693</v>
      </c>
      <c r="R9" s="82"/>
      <c r="S9" s="82">
        <f t="shared" si="4"/>
        <v>23468</v>
      </c>
      <c r="T9" s="82"/>
      <c r="U9" s="91">
        <v>2.92</v>
      </c>
      <c r="V9" s="92">
        <f t="shared" si="5"/>
        <v>68526.559999999998</v>
      </c>
    </row>
    <row r="10" spans="1:25" x14ac:dyDescent="0.25">
      <c r="A10" s="82">
        <f t="shared" si="6"/>
        <v>5</v>
      </c>
      <c r="B10" s="82">
        <v>130408</v>
      </c>
      <c r="C10" s="82">
        <v>10383</v>
      </c>
      <c r="D10" s="82">
        <f t="shared" si="7"/>
        <v>13262</v>
      </c>
      <c r="E10" s="82"/>
      <c r="F10" s="82">
        <f t="shared" si="0"/>
        <v>154053</v>
      </c>
      <c r="G10" s="82"/>
      <c r="H10" s="82">
        <v>36820</v>
      </c>
      <c r="I10" s="82">
        <f t="shared" si="1"/>
        <v>36041</v>
      </c>
      <c r="J10" s="82"/>
      <c r="K10" s="82">
        <f t="shared" si="2"/>
        <v>118012</v>
      </c>
      <c r="L10" s="82"/>
      <c r="M10" s="82" t="s">
        <v>212</v>
      </c>
      <c r="N10" s="82"/>
      <c r="O10" s="89">
        <f t="shared" si="8"/>
        <v>152569</v>
      </c>
      <c r="P10" s="86">
        <f t="shared" si="9"/>
        <v>36124</v>
      </c>
      <c r="Q10" s="90">
        <f t="shared" si="3"/>
        <v>188693</v>
      </c>
      <c r="R10" s="82"/>
      <c r="S10" s="82">
        <f t="shared" si="4"/>
        <v>34557</v>
      </c>
      <c r="T10" s="82"/>
      <c r="U10" s="91">
        <v>2.895</v>
      </c>
      <c r="V10" s="92">
        <f t="shared" si="5"/>
        <v>100042.515</v>
      </c>
    </row>
    <row r="11" spans="1:25" x14ac:dyDescent="0.25">
      <c r="A11" s="82">
        <f t="shared" si="6"/>
        <v>6</v>
      </c>
      <c r="B11" s="82">
        <v>0</v>
      </c>
      <c r="C11" s="82">
        <v>0</v>
      </c>
      <c r="D11" s="82">
        <v>0</v>
      </c>
      <c r="E11" s="82"/>
      <c r="F11" s="82">
        <f t="shared" si="0"/>
        <v>0</v>
      </c>
      <c r="G11" s="82"/>
      <c r="H11" s="82">
        <v>0</v>
      </c>
      <c r="I11" s="82">
        <f t="shared" si="1"/>
        <v>0</v>
      </c>
      <c r="J11" s="82"/>
      <c r="K11" s="82">
        <f t="shared" si="2"/>
        <v>0</v>
      </c>
      <c r="L11" s="82"/>
      <c r="M11" s="82" t="s">
        <v>212</v>
      </c>
      <c r="N11" s="82"/>
      <c r="O11" s="89">
        <f t="shared" si="8"/>
        <v>152569</v>
      </c>
      <c r="P11" s="86">
        <f t="shared" si="9"/>
        <v>36124</v>
      </c>
      <c r="Q11" s="90">
        <f t="shared" si="3"/>
        <v>188693</v>
      </c>
      <c r="R11" s="82"/>
      <c r="S11" s="82">
        <f t="shared" si="4"/>
        <v>152569</v>
      </c>
      <c r="T11" s="82"/>
      <c r="U11" s="91">
        <v>2.895</v>
      </c>
      <c r="V11" s="92">
        <f t="shared" si="5"/>
        <v>441687.255</v>
      </c>
    </row>
    <row r="12" spans="1:25" x14ac:dyDescent="0.25">
      <c r="A12" s="82">
        <f t="shared" si="6"/>
        <v>7</v>
      </c>
      <c r="B12" s="82">
        <f t="shared" ref="B12:B36" si="10">+B11</f>
        <v>0</v>
      </c>
      <c r="C12" s="82">
        <f t="shared" ref="C12:C36" si="11">+C11</f>
        <v>0</v>
      </c>
      <c r="D12" s="82">
        <f t="shared" si="7"/>
        <v>0</v>
      </c>
      <c r="E12" s="82"/>
      <c r="F12" s="82">
        <f t="shared" si="0"/>
        <v>0</v>
      </c>
      <c r="G12" s="82"/>
      <c r="H12" s="82">
        <f t="shared" ref="H12:H36" si="12">+H11</f>
        <v>0</v>
      </c>
      <c r="I12" s="82">
        <f t="shared" si="1"/>
        <v>0</v>
      </c>
      <c r="J12" s="82"/>
      <c r="K12" s="82">
        <f t="shared" si="2"/>
        <v>0</v>
      </c>
      <c r="L12" s="82"/>
      <c r="M12" s="82" t="s">
        <v>212</v>
      </c>
      <c r="N12" s="82"/>
      <c r="O12" s="89">
        <f t="shared" si="8"/>
        <v>152569</v>
      </c>
      <c r="P12" s="86">
        <f t="shared" si="9"/>
        <v>36124</v>
      </c>
      <c r="Q12" s="90">
        <f t="shared" si="3"/>
        <v>188693</v>
      </c>
      <c r="R12" s="82"/>
      <c r="S12" s="82">
        <f t="shared" si="4"/>
        <v>152569</v>
      </c>
      <c r="T12" s="82"/>
      <c r="U12" s="91">
        <v>2.895</v>
      </c>
      <c r="V12" s="92">
        <f t="shared" si="5"/>
        <v>441687.255</v>
      </c>
    </row>
    <row r="13" spans="1:25" x14ac:dyDescent="0.25">
      <c r="A13" s="82">
        <f t="shared" si="6"/>
        <v>8</v>
      </c>
      <c r="B13" s="82">
        <f t="shared" si="10"/>
        <v>0</v>
      </c>
      <c r="C13" s="82">
        <f t="shared" si="11"/>
        <v>0</v>
      </c>
      <c r="D13" s="82">
        <f t="shared" si="7"/>
        <v>0</v>
      </c>
      <c r="E13" s="82"/>
      <c r="F13" s="82">
        <f t="shared" si="0"/>
        <v>0</v>
      </c>
      <c r="G13" s="82"/>
      <c r="H13" s="82">
        <f t="shared" si="12"/>
        <v>0</v>
      </c>
      <c r="I13" s="82">
        <f t="shared" si="1"/>
        <v>0</v>
      </c>
      <c r="J13" s="82"/>
      <c r="K13" s="82">
        <f t="shared" si="2"/>
        <v>0</v>
      </c>
      <c r="L13" s="82"/>
      <c r="M13" s="82" t="s">
        <v>212</v>
      </c>
      <c r="N13" s="82"/>
      <c r="O13" s="89">
        <f t="shared" si="8"/>
        <v>152569</v>
      </c>
      <c r="P13" s="86">
        <f t="shared" si="9"/>
        <v>36124</v>
      </c>
      <c r="Q13" s="90">
        <f t="shared" si="3"/>
        <v>188693</v>
      </c>
      <c r="R13" s="82"/>
      <c r="S13" s="82">
        <f t="shared" si="4"/>
        <v>152569</v>
      </c>
      <c r="T13" s="82"/>
      <c r="U13" s="91">
        <v>2.93</v>
      </c>
      <c r="V13" s="92">
        <f t="shared" si="5"/>
        <v>447027.17000000004</v>
      </c>
    </row>
    <row r="14" spans="1:25" x14ac:dyDescent="0.25">
      <c r="A14" s="82">
        <f t="shared" si="6"/>
        <v>9</v>
      </c>
      <c r="B14" s="82">
        <f t="shared" si="10"/>
        <v>0</v>
      </c>
      <c r="C14" s="82">
        <f t="shared" si="11"/>
        <v>0</v>
      </c>
      <c r="D14" s="82">
        <f t="shared" si="7"/>
        <v>0</v>
      </c>
      <c r="E14" s="82"/>
      <c r="F14" s="82">
        <f t="shared" si="0"/>
        <v>0</v>
      </c>
      <c r="G14" s="82"/>
      <c r="H14" s="82">
        <f t="shared" si="12"/>
        <v>0</v>
      </c>
      <c r="I14" s="82">
        <f t="shared" si="1"/>
        <v>0</v>
      </c>
      <c r="J14" s="82"/>
      <c r="K14" s="82">
        <f t="shared" si="2"/>
        <v>0</v>
      </c>
      <c r="L14" s="82"/>
      <c r="M14" s="82" t="s">
        <v>212</v>
      </c>
      <c r="N14" s="82"/>
      <c r="O14" s="89">
        <f t="shared" si="8"/>
        <v>152569</v>
      </c>
      <c r="P14" s="86">
        <f t="shared" si="9"/>
        <v>36124</v>
      </c>
      <c r="Q14" s="90">
        <f t="shared" si="3"/>
        <v>188693</v>
      </c>
      <c r="R14" s="82"/>
      <c r="S14" s="82">
        <f t="shared" si="4"/>
        <v>152569</v>
      </c>
      <c r="T14" s="82"/>
      <c r="U14" s="91">
        <v>2.99</v>
      </c>
      <c r="V14" s="92">
        <f t="shared" si="5"/>
        <v>456181.31000000006</v>
      </c>
    </row>
    <row r="15" spans="1:25" x14ac:dyDescent="0.25">
      <c r="A15" s="82">
        <f t="shared" si="6"/>
        <v>10</v>
      </c>
      <c r="B15" s="82">
        <f t="shared" si="10"/>
        <v>0</v>
      </c>
      <c r="C15" s="82">
        <f t="shared" si="11"/>
        <v>0</v>
      </c>
      <c r="D15" s="82">
        <f t="shared" si="7"/>
        <v>0</v>
      </c>
      <c r="E15" s="82"/>
      <c r="F15" s="82">
        <f t="shared" si="0"/>
        <v>0</v>
      </c>
      <c r="G15" s="82"/>
      <c r="H15" s="82">
        <f t="shared" si="12"/>
        <v>0</v>
      </c>
      <c r="I15" s="82">
        <f t="shared" si="1"/>
        <v>0</v>
      </c>
      <c r="J15" s="82"/>
      <c r="K15" s="82">
        <f t="shared" si="2"/>
        <v>0</v>
      </c>
      <c r="L15" s="82"/>
      <c r="M15" s="82" t="s">
        <v>212</v>
      </c>
      <c r="N15" s="82"/>
      <c r="O15" s="89">
        <f t="shared" si="8"/>
        <v>152569</v>
      </c>
      <c r="P15" s="86">
        <f t="shared" si="9"/>
        <v>36124</v>
      </c>
      <c r="Q15" s="90">
        <f t="shared" si="3"/>
        <v>188693</v>
      </c>
      <c r="R15" s="82"/>
      <c r="S15" s="82">
        <f t="shared" si="4"/>
        <v>152569</v>
      </c>
      <c r="T15" s="82"/>
      <c r="U15" s="91">
        <v>2.76</v>
      </c>
      <c r="V15" s="92">
        <f t="shared" si="5"/>
        <v>421090.43999999994</v>
      </c>
    </row>
    <row r="16" spans="1:25" x14ac:dyDescent="0.25">
      <c r="A16" s="82">
        <f t="shared" si="6"/>
        <v>11</v>
      </c>
      <c r="B16" s="82">
        <f t="shared" si="10"/>
        <v>0</v>
      </c>
      <c r="C16" s="82">
        <f t="shared" si="11"/>
        <v>0</v>
      </c>
      <c r="D16" s="82">
        <f t="shared" si="7"/>
        <v>0</v>
      </c>
      <c r="E16" s="82"/>
      <c r="F16" s="82">
        <f t="shared" si="0"/>
        <v>0</v>
      </c>
      <c r="G16" s="82"/>
      <c r="H16" s="82">
        <f t="shared" si="12"/>
        <v>0</v>
      </c>
      <c r="I16" s="82">
        <f t="shared" si="1"/>
        <v>0</v>
      </c>
      <c r="J16" s="82"/>
      <c r="K16" s="82">
        <f t="shared" si="2"/>
        <v>0</v>
      </c>
      <c r="L16" s="82"/>
      <c r="M16" s="82" t="s">
        <v>212</v>
      </c>
      <c r="N16" s="82"/>
      <c r="O16" s="89">
        <f t="shared" si="8"/>
        <v>152569</v>
      </c>
      <c r="P16" s="86">
        <f t="shared" si="9"/>
        <v>36124</v>
      </c>
      <c r="Q16" s="90">
        <f t="shared" si="3"/>
        <v>188693</v>
      </c>
      <c r="R16" s="82"/>
      <c r="S16" s="82">
        <f t="shared" si="4"/>
        <v>152569</v>
      </c>
      <c r="T16" s="82"/>
      <c r="U16" s="91">
        <v>2.77</v>
      </c>
      <c r="V16" s="92">
        <f t="shared" si="5"/>
        <v>422616.13</v>
      </c>
    </row>
    <row r="17" spans="1:26" x14ac:dyDescent="0.25">
      <c r="A17" s="82">
        <f t="shared" si="6"/>
        <v>12</v>
      </c>
      <c r="B17" s="82">
        <f t="shared" si="10"/>
        <v>0</v>
      </c>
      <c r="C17" s="82">
        <f t="shared" si="11"/>
        <v>0</v>
      </c>
      <c r="D17" s="82">
        <f t="shared" si="7"/>
        <v>0</v>
      </c>
      <c r="E17" s="82"/>
      <c r="F17" s="82">
        <f t="shared" si="0"/>
        <v>0</v>
      </c>
      <c r="G17" s="82"/>
      <c r="H17" s="82">
        <f t="shared" si="12"/>
        <v>0</v>
      </c>
      <c r="I17" s="82">
        <f t="shared" si="1"/>
        <v>0</v>
      </c>
      <c r="J17" s="82"/>
      <c r="K17" s="82">
        <f t="shared" si="2"/>
        <v>0</v>
      </c>
      <c r="L17" s="82"/>
      <c r="M17" s="82" t="s">
        <v>212</v>
      </c>
      <c r="N17" s="82"/>
      <c r="O17" s="89">
        <f t="shared" si="8"/>
        <v>152569</v>
      </c>
      <c r="P17" s="86">
        <f t="shared" si="9"/>
        <v>36124</v>
      </c>
      <c r="Q17" s="90">
        <f t="shared" si="3"/>
        <v>188693</v>
      </c>
      <c r="R17" s="82"/>
      <c r="S17" s="82">
        <f t="shared" si="4"/>
        <v>152569</v>
      </c>
      <c r="T17" s="82"/>
      <c r="U17" s="91">
        <v>2.7749999999999999</v>
      </c>
      <c r="V17" s="92">
        <f t="shared" si="5"/>
        <v>423378.97499999998</v>
      </c>
    </row>
    <row r="18" spans="1:26" x14ac:dyDescent="0.25">
      <c r="A18" s="82">
        <f t="shared" si="6"/>
        <v>13</v>
      </c>
      <c r="B18" s="82">
        <f t="shared" si="10"/>
        <v>0</v>
      </c>
      <c r="C18" s="82">
        <f t="shared" si="11"/>
        <v>0</v>
      </c>
      <c r="D18" s="82">
        <f t="shared" si="7"/>
        <v>0</v>
      </c>
      <c r="E18" s="82"/>
      <c r="F18" s="82">
        <f t="shared" si="0"/>
        <v>0</v>
      </c>
      <c r="G18" s="82"/>
      <c r="H18" s="82">
        <f t="shared" si="12"/>
        <v>0</v>
      </c>
      <c r="I18" s="82">
        <f t="shared" si="1"/>
        <v>0</v>
      </c>
      <c r="J18" s="82"/>
      <c r="K18" s="82">
        <f t="shared" si="2"/>
        <v>0</v>
      </c>
      <c r="L18" s="82"/>
      <c r="M18" s="82" t="s">
        <v>212</v>
      </c>
      <c r="N18" s="82"/>
      <c r="O18" s="89">
        <f t="shared" si="8"/>
        <v>152569</v>
      </c>
      <c r="P18" s="86">
        <f t="shared" si="9"/>
        <v>36124</v>
      </c>
      <c r="Q18" s="90">
        <f t="shared" si="3"/>
        <v>188693</v>
      </c>
      <c r="R18" s="82"/>
      <c r="S18" s="82">
        <f t="shared" si="4"/>
        <v>152569</v>
      </c>
      <c r="T18" s="82"/>
      <c r="U18" s="91">
        <v>2.7749999999999999</v>
      </c>
      <c r="V18" s="92">
        <f t="shared" si="5"/>
        <v>423378.97499999998</v>
      </c>
    </row>
    <row r="19" spans="1:26" x14ac:dyDescent="0.25">
      <c r="A19" s="82">
        <f t="shared" si="6"/>
        <v>14</v>
      </c>
      <c r="B19" s="82">
        <f t="shared" si="10"/>
        <v>0</v>
      </c>
      <c r="C19" s="82">
        <f t="shared" si="11"/>
        <v>0</v>
      </c>
      <c r="D19" s="82">
        <f t="shared" si="7"/>
        <v>0</v>
      </c>
      <c r="E19" s="82"/>
      <c r="F19" s="82">
        <f t="shared" si="0"/>
        <v>0</v>
      </c>
      <c r="G19" s="82"/>
      <c r="H19" s="82">
        <f t="shared" si="12"/>
        <v>0</v>
      </c>
      <c r="I19" s="82">
        <f t="shared" si="1"/>
        <v>0</v>
      </c>
      <c r="J19" s="82"/>
      <c r="K19" s="82">
        <f t="shared" si="2"/>
        <v>0</v>
      </c>
      <c r="L19" s="82"/>
      <c r="M19" s="82" t="s">
        <v>212</v>
      </c>
      <c r="N19" s="82"/>
      <c r="O19" s="89">
        <f t="shared" si="8"/>
        <v>152569</v>
      </c>
      <c r="P19" s="86">
        <f t="shared" si="9"/>
        <v>36124</v>
      </c>
      <c r="Q19" s="90">
        <f t="shared" si="3"/>
        <v>188693</v>
      </c>
      <c r="R19" s="82"/>
      <c r="S19" s="82">
        <f t="shared" si="4"/>
        <v>152569</v>
      </c>
      <c r="T19" s="82"/>
      <c r="U19" s="91">
        <v>2.7749999999999999</v>
      </c>
      <c r="V19" s="92">
        <f t="shared" si="5"/>
        <v>423378.97499999998</v>
      </c>
    </row>
    <row r="20" spans="1:26" x14ac:dyDescent="0.25">
      <c r="A20" s="82">
        <f t="shared" si="6"/>
        <v>15</v>
      </c>
      <c r="B20" s="82">
        <f t="shared" si="10"/>
        <v>0</v>
      </c>
      <c r="C20" s="82">
        <f t="shared" si="11"/>
        <v>0</v>
      </c>
      <c r="D20" s="82">
        <f t="shared" si="7"/>
        <v>0</v>
      </c>
      <c r="E20" s="82"/>
      <c r="F20" s="82">
        <f t="shared" si="0"/>
        <v>0</v>
      </c>
      <c r="G20" s="82"/>
      <c r="H20" s="82">
        <f t="shared" si="12"/>
        <v>0</v>
      </c>
      <c r="I20" s="82">
        <f t="shared" si="1"/>
        <v>0</v>
      </c>
      <c r="J20" s="82"/>
      <c r="K20" s="82">
        <f t="shared" si="2"/>
        <v>0</v>
      </c>
      <c r="L20" s="82"/>
      <c r="M20" s="82" t="s">
        <v>212</v>
      </c>
      <c r="N20" s="82"/>
      <c r="O20" s="89">
        <f t="shared" si="8"/>
        <v>152569</v>
      </c>
      <c r="P20" s="86">
        <f t="shared" si="9"/>
        <v>36124</v>
      </c>
      <c r="Q20" s="90">
        <f t="shared" si="3"/>
        <v>188693</v>
      </c>
      <c r="R20" s="82"/>
      <c r="S20" s="82">
        <f t="shared" si="4"/>
        <v>152569</v>
      </c>
      <c r="T20" s="82"/>
      <c r="U20" s="91">
        <v>2.7450000000000001</v>
      </c>
      <c r="V20" s="92">
        <f t="shared" si="5"/>
        <v>418801.90500000003</v>
      </c>
    </row>
    <row r="21" spans="1:26" x14ac:dyDescent="0.25">
      <c r="A21" s="82">
        <f t="shared" si="6"/>
        <v>16</v>
      </c>
      <c r="B21" s="82">
        <f t="shared" si="10"/>
        <v>0</v>
      </c>
      <c r="C21" s="82">
        <f t="shared" si="11"/>
        <v>0</v>
      </c>
      <c r="D21" s="82">
        <f t="shared" si="7"/>
        <v>0</v>
      </c>
      <c r="E21" s="82"/>
      <c r="F21" s="82">
        <f t="shared" si="0"/>
        <v>0</v>
      </c>
      <c r="G21" s="82"/>
      <c r="H21" s="82">
        <f t="shared" si="12"/>
        <v>0</v>
      </c>
      <c r="I21" s="82">
        <f t="shared" si="1"/>
        <v>0</v>
      </c>
      <c r="J21" s="82"/>
      <c r="K21" s="82">
        <f t="shared" si="2"/>
        <v>0</v>
      </c>
      <c r="L21" s="82"/>
      <c r="M21" s="82" t="s">
        <v>212</v>
      </c>
      <c r="N21" s="82"/>
      <c r="O21" s="89">
        <f t="shared" si="8"/>
        <v>152569</v>
      </c>
      <c r="P21" s="86">
        <f t="shared" si="9"/>
        <v>36124</v>
      </c>
      <c r="Q21" s="90">
        <f t="shared" si="3"/>
        <v>188693</v>
      </c>
      <c r="R21" s="82"/>
      <c r="S21" s="82">
        <f t="shared" si="4"/>
        <v>152569</v>
      </c>
      <c r="T21" s="82"/>
      <c r="U21" s="91">
        <v>2.7549999999999999</v>
      </c>
      <c r="V21" s="92">
        <f t="shared" si="5"/>
        <v>420327.59499999997</v>
      </c>
    </row>
    <row r="22" spans="1:26" x14ac:dyDescent="0.25">
      <c r="A22" s="82">
        <f t="shared" si="6"/>
        <v>17</v>
      </c>
      <c r="B22" s="82">
        <f t="shared" si="10"/>
        <v>0</v>
      </c>
      <c r="C22" s="82">
        <f t="shared" si="11"/>
        <v>0</v>
      </c>
      <c r="D22" s="82">
        <f t="shared" si="7"/>
        <v>0</v>
      </c>
      <c r="E22" s="82"/>
      <c r="F22" s="82">
        <f t="shared" si="0"/>
        <v>0</v>
      </c>
      <c r="G22" s="82"/>
      <c r="H22" s="82">
        <f t="shared" si="12"/>
        <v>0</v>
      </c>
      <c r="I22" s="82">
        <f t="shared" si="1"/>
        <v>0</v>
      </c>
      <c r="J22" s="82"/>
      <c r="K22" s="82">
        <f t="shared" si="2"/>
        <v>0</v>
      </c>
      <c r="L22" s="82"/>
      <c r="M22" s="82" t="s">
        <v>212</v>
      </c>
      <c r="N22" s="82"/>
      <c r="O22" s="89">
        <f t="shared" si="8"/>
        <v>152569</v>
      </c>
      <c r="P22" s="86">
        <f t="shared" si="9"/>
        <v>36124</v>
      </c>
      <c r="Q22" s="90">
        <f t="shared" si="3"/>
        <v>188693</v>
      </c>
      <c r="R22" s="82"/>
      <c r="S22" s="82">
        <f t="shared" si="4"/>
        <v>152569</v>
      </c>
      <c r="T22" s="82"/>
      <c r="U22" s="91">
        <v>2.7850000000000001</v>
      </c>
      <c r="V22" s="92">
        <f t="shared" si="5"/>
        <v>424904.66500000004</v>
      </c>
    </row>
    <row r="23" spans="1:26" x14ac:dyDescent="0.25">
      <c r="A23" s="82">
        <f t="shared" si="6"/>
        <v>18</v>
      </c>
      <c r="B23" s="82">
        <f t="shared" si="10"/>
        <v>0</v>
      </c>
      <c r="C23" s="82">
        <f t="shared" si="11"/>
        <v>0</v>
      </c>
      <c r="D23" s="82">
        <f t="shared" si="7"/>
        <v>0</v>
      </c>
      <c r="E23" s="82"/>
      <c r="F23" s="82">
        <f t="shared" si="0"/>
        <v>0</v>
      </c>
      <c r="G23" s="82"/>
      <c r="H23" s="82">
        <f t="shared" si="12"/>
        <v>0</v>
      </c>
      <c r="I23" s="82">
        <f t="shared" si="1"/>
        <v>0</v>
      </c>
      <c r="J23" s="82"/>
      <c r="K23" s="82">
        <f t="shared" si="2"/>
        <v>0</v>
      </c>
      <c r="L23" s="82"/>
      <c r="M23" s="82" t="s">
        <v>212</v>
      </c>
      <c r="N23" s="82"/>
      <c r="O23" s="89">
        <f t="shared" si="8"/>
        <v>152569</v>
      </c>
      <c r="P23" s="86">
        <f t="shared" si="9"/>
        <v>36124</v>
      </c>
      <c r="Q23" s="90">
        <f t="shared" si="3"/>
        <v>188693</v>
      </c>
      <c r="R23" s="82"/>
      <c r="S23" s="82">
        <f t="shared" si="4"/>
        <v>152569</v>
      </c>
      <c r="T23" s="82"/>
      <c r="U23" s="91">
        <v>2.79</v>
      </c>
      <c r="V23" s="92">
        <f t="shared" si="5"/>
        <v>425667.51</v>
      </c>
    </row>
    <row r="24" spans="1:26" x14ac:dyDescent="0.25">
      <c r="A24" s="82">
        <f t="shared" si="6"/>
        <v>19</v>
      </c>
      <c r="B24" s="82">
        <f t="shared" si="10"/>
        <v>0</v>
      </c>
      <c r="C24" s="82">
        <f t="shared" si="11"/>
        <v>0</v>
      </c>
      <c r="D24" s="82">
        <f t="shared" si="7"/>
        <v>0</v>
      </c>
      <c r="E24" s="82"/>
      <c r="F24" s="82">
        <f t="shared" si="0"/>
        <v>0</v>
      </c>
      <c r="G24" s="82"/>
      <c r="H24" s="82">
        <f t="shared" si="12"/>
        <v>0</v>
      </c>
      <c r="I24" s="82">
        <f t="shared" si="1"/>
        <v>0</v>
      </c>
      <c r="J24" s="82"/>
      <c r="K24" s="82">
        <f t="shared" si="2"/>
        <v>0</v>
      </c>
      <c r="L24" s="82"/>
      <c r="M24" s="82" t="s">
        <v>212</v>
      </c>
      <c r="N24" s="82"/>
      <c r="O24" s="89">
        <f t="shared" si="8"/>
        <v>152569</v>
      </c>
      <c r="P24" s="86">
        <f t="shared" si="9"/>
        <v>36124</v>
      </c>
      <c r="Q24" s="90">
        <f t="shared" si="3"/>
        <v>188693</v>
      </c>
      <c r="R24" s="82"/>
      <c r="S24" s="82">
        <f t="shared" si="4"/>
        <v>152569</v>
      </c>
      <c r="T24" s="82"/>
      <c r="U24" s="91">
        <v>2.78</v>
      </c>
      <c r="V24" s="92">
        <f t="shared" si="5"/>
        <v>424141.81999999995</v>
      </c>
    </row>
    <row r="25" spans="1:26" x14ac:dyDescent="0.25">
      <c r="A25" s="82">
        <f t="shared" si="6"/>
        <v>20</v>
      </c>
      <c r="B25" s="82">
        <f t="shared" si="10"/>
        <v>0</v>
      </c>
      <c r="C25" s="82">
        <f t="shared" si="11"/>
        <v>0</v>
      </c>
      <c r="D25" s="82">
        <f t="shared" si="7"/>
        <v>0</v>
      </c>
      <c r="E25" s="82"/>
      <c r="F25" s="82">
        <f t="shared" si="0"/>
        <v>0</v>
      </c>
      <c r="G25" s="82"/>
      <c r="H25" s="82">
        <f t="shared" si="12"/>
        <v>0</v>
      </c>
      <c r="I25" s="82">
        <f t="shared" si="1"/>
        <v>0</v>
      </c>
      <c r="J25" s="82"/>
      <c r="K25" s="82">
        <f t="shared" si="2"/>
        <v>0</v>
      </c>
      <c r="L25" s="82"/>
      <c r="M25" s="82" t="s">
        <v>212</v>
      </c>
      <c r="N25" s="82"/>
      <c r="O25" s="89">
        <f t="shared" si="8"/>
        <v>152569</v>
      </c>
      <c r="P25" s="86">
        <f t="shared" si="9"/>
        <v>36124</v>
      </c>
      <c r="Q25" s="90">
        <f t="shared" si="3"/>
        <v>188693</v>
      </c>
      <c r="R25" s="82"/>
      <c r="S25" s="82">
        <f t="shared" si="4"/>
        <v>152569</v>
      </c>
      <c r="T25" s="82"/>
      <c r="U25" s="91">
        <v>2.78</v>
      </c>
      <c r="V25" s="92">
        <f t="shared" si="5"/>
        <v>424141.81999999995</v>
      </c>
    </row>
    <row r="26" spans="1:26" x14ac:dyDescent="0.25">
      <c r="A26" s="82">
        <f t="shared" si="6"/>
        <v>21</v>
      </c>
      <c r="B26" s="82">
        <f t="shared" si="10"/>
        <v>0</v>
      </c>
      <c r="C26" s="82">
        <f t="shared" si="11"/>
        <v>0</v>
      </c>
      <c r="D26" s="82">
        <f t="shared" si="7"/>
        <v>0</v>
      </c>
      <c r="E26" s="82"/>
      <c r="F26" s="82">
        <f t="shared" si="0"/>
        <v>0</v>
      </c>
      <c r="G26" s="82"/>
      <c r="H26" s="82">
        <f t="shared" si="12"/>
        <v>0</v>
      </c>
      <c r="I26" s="82">
        <f t="shared" si="1"/>
        <v>0</v>
      </c>
      <c r="J26" s="82"/>
      <c r="K26" s="82">
        <f t="shared" si="2"/>
        <v>0</v>
      </c>
      <c r="L26" s="82"/>
      <c r="M26" s="82" t="s">
        <v>212</v>
      </c>
      <c r="N26" s="82"/>
      <c r="O26" s="89">
        <f t="shared" si="8"/>
        <v>152569</v>
      </c>
      <c r="P26" s="86">
        <f t="shared" si="9"/>
        <v>36124</v>
      </c>
      <c r="Q26" s="90">
        <f t="shared" si="3"/>
        <v>188693</v>
      </c>
      <c r="R26" s="82"/>
      <c r="S26" s="82">
        <f t="shared" si="4"/>
        <v>152569</v>
      </c>
      <c r="T26" s="82"/>
      <c r="U26" s="91">
        <v>2.78</v>
      </c>
      <c r="V26" s="92">
        <f t="shared" si="5"/>
        <v>424141.81999999995</v>
      </c>
    </row>
    <row r="27" spans="1:26" x14ac:dyDescent="0.25">
      <c r="A27" s="82">
        <f t="shared" si="6"/>
        <v>22</v>
      </c>
      <c r="B27" s="82">
        <f t="shared" si="10"/>
        <v>0</v>
      </c>
      <c r="C27" s="82">
        <f t="shared" si="11"/>
        <v>0</v>
      </c>
      <c r="D27" s="82">
        <f t="shared" si="7"/>
        <v>0</v>
      </c>
      <c r="E27" s="82"/>
      <c r="F27" s="82">
        <f t="shared" si="0"/>
        <v>0</v>
      </c>
      <c r="G27" s="82"/>
      <c r="H27" s="82">
        <f t="shared" si="12"/>
        <v>0</v>
      </c>
      <c r="I27" s="82">
        <f t="shared" si="1"/>
        <v>0</v>
      </c>
      <c r="J27" s="82"/>
      <c r="K27" s="82">
        <f t="shared" si="2"/>
        <v>0</v>
      </c>
      <c r="L27" s="82"/>
      <c r="M27" s="82" t="s">
        <v>212</v>
      </c>
      <c r="N27" s="82"/>
      <c r="O27" s="89">
        <f t="shared" si="8"/>
        <v>152569</v>
      </c>
      <c r="P27" s="86">
        <f t="shared" si="9"/>
        <v>36124</v>
      </c>
      <c r="Q27" s="90">
        <f t="shared" si="3"/>
        <v>188693</v>
      </c>
      <c r="R27" s="82"/>
      <c r="S27" s="82">
        <f t="shared" si="4"/>
        <v>152569</v>
      </c>
      <c r="T27" s="82"/>
      <c r="U27" s="91">
        <v>2.78</v>
      </c>
      <c r="V27" s="92">
        <f t="shared" si="5"/>
        <v>424141.81999999995</v>
      </c>
    </row>
    <row r="28" spans="1:26" x14ac:dyDescent="0.25">
      <c r="A28" s="82">
        <f t="shared" si="6"/>
        <v>23</v>
      </c>
      <c r="B28" s="82">
        <f t="shared" si="10"/>
        <v>0</v>
      </c>
      <c r="C28" s="82">
        <f t="shared" si="11"/>
        <v>0</v>
      </c>
      <c r="D28" s="82">
        <f t="shared" si="7"/>
        <v>0</v>
      </c>
      <c r="E28" s="82"/>
      <c r="F28" s="82">
        <f t="shared" si="0"/>
        <v>0</v>
      </c>
      <c r="G28" s="82"/>
      <c r="H28" s="82">
        <f t="shared" si="12"/>
        <v>0</v>
      </c>
      <c r="I28" s="82">
        <f t="shared" si="1"/>
        <v>0</v>
      </c>
      <c r="J28" s="82"/>
      <c r="K28" s="82">
        <f t="shared" si="2"/>
        <v>0</v>
      </c>
      <c r="L28" s="82"/>
      <c r="M28" s="82" t="s">
        <v>212</v>
      </c>
      <c r="N28" s="82"/>
      <c r="O28" s="89">
        <f t="shared" si="8"/>
        <v>152569</v>
      </c>
      <c r="P28" s="86">
        <f t="shared" si="9"/>
        <v>36124</v>
      </c>
      <c r="Q28" s="90">
        <f t="shared" si="3"/>
        <v>188693</v>
      </c>
      <c r="R28" s="82"/>
      <c r="S28" s="82">
        <f t="shared" si="4"/>
        <v>152569</v>
      </c>
      <c r="T28" s="82"/>
      <c r="U28" s="91">
        <v>2.67</v>
      </c>
      <c r="V28" s="92">
        <f t="shared" si="5"/>
        <v>407359.23</v>
      </c>
    </row>
    <row r="29" spans="1:26" x14ac:dyDescent="0.25">
      <c r="A29" s="82">
        <f t="shared" si="6"/>
        <v>24</v>
      </c>
      <c r="B29" s="82">
        <f t="shared" si="10"/>
        <v>0</v>
      </c>
      <c r="C29" s="82">
        <f t="shared" si="11"/>
        <v>0</v>
      </c>
      <c r="D29" s="82">
        <f t="shared" si="7"/>
        <v>0</v>
      </c>
      <c r="E29" s="82"/>
      <c r="F29" s="82">
        <f t="shared" si="0"/>
        <v>0</v>
      </c>
      <c r="G29" s="82"/>
      <c r="H29" s="82">
        <f t="shared" si="12"/>
        <v>0</v>
      </c>
      <c r="I29" s="82">
        <f t="shared" si="1"/>
        <v>0</v>
      </c>
      <c r="J29" s="82"/>
      <c r="K29" s="82">
        <f t="shared" si="2"/>
        <v>0</v>
      </c>
      <c r="L29" s="82"/>
      <c r="M29" s="82" t="s">
        <v>212</v>
      </c>
      <c r="N29" s="82"/>
      <c r="O29" s="89">
        <f t="shared" si="8"/>
        <v>152569</v>
      </c>
      <c r="P29" s="86">
        <f t="shared" si="9"/>
        <v>36124</v>
      </c>
      <c r="Q29" s="90">
        <f t="shared" si="3"/>
        <v>188693</v>
      </c>
      <c r="R29" s="82"/>
      <c r="S29" s="82">
        <f t="shared" si="4"/>
        <v>152569</v>
      </c>
      <c r="T29" s="82"/>
      <c r="U29" s="91">
        <v>2.5950000000000002</v>
      </c>
      <c r="V29" s="92">
        <f t="shared" si="5"/>
        <v>395916.55500000005</v>
      </c>
    </row>
    <row r="30" spans="1:26" x14ac:dyDescent="0.25">
      <c r="A30" s="82">
        <f t="shared" si="6"/>
        <v>25</v>
      </c>
      <c r="B30" s="82">
        <f t="shared" si="10"/>
        <v>0</v>
      </c>
      <c r="C30" s="82">
        <f t="shared" si="11"/>
        <v>0</v>
      </c>
      <c r="D30" s="82">
        <f t="shared" si="7"/>
        <v>0</v>
      </c>
      <c r="E30" s="82"/>
      <c r="F30" s="82">
        <f t="shared" si="0"/>
        <v>0</v>
      </c>
      <c r="G30" s="82"/>
      <c r="H30" s="82">
        <f t="shared" si="12"/>
        <v>0</v>
      </c>
      <c r="I30" s="82">
        <f t="shared" si="1"/>
        <v>0</v>
      </c>
      <c r="J30" s="82"/>
      <c r="K30" s="82">
        <f t="shared" si="2"/>
        <v>0</v>
      </c>
      <c r="L30" s="82"/>
      <c r="M30" s="82" t="s">
        <v>212</v>
      </c>
      <c r="N30" s="82"/>
      <c r="O30" s="89">
        <f t="shared" si="8"/>
        <v>152569</v>
      </c>
      <c r="P30" s="86">
        <f t="shared" si="9"/>
        <v>36124</v>
      </c>
      <c r="Q30" s="90">
        <f t="shared" si="3"/>
        <v>188693</v>
      </c>
      <c r="R30" s="82"/>
      <c r="S30" s="82">
        <f t="shared" si="4"/>
        <v>152569</v>
      </c>
      <c r="T30" s="82"/>
      <c r="U30" s="91">
        <v>2.63</v>
      </c>
      <c r="V30" s="92">
        <f t="shared" si="5"/>
        <v>401256.47</v>
      </c>
      <c r="X30" s="83">
        <v>166288</v>
      </c>
      <c r="Y30" s="91">
        <v>2.63</v>
      </c>
      <c r="Z30" s="92">
        <f t="shared" ref="Z30:Z36" si="13">+Y30*X30</f>
        <v>437337.44</v>
      </c>
    </row>
    <row r="31" spans="1:26" x14ac:dyDescent="0.25">
      <c r="A31" s="82">
        <f t="shared" si="6"/>
        <v>26</v>
      </c>
      <c r="B31" s="82">
        <f t="shared" si="10"/>
        <v>0</v>
      </c>
      <c r="C31" s="82">
        <f t="shared" si="11"/>
        <v>0</v>
      </c>
      <c r="D31" s="82">
        <f t="shared" si="7"/>
        <v>0</v>
      </c>
      <c r="E31" s="82"/>
      <c r="F31" s="82">
        <f t="shared" si="0"/>
        <v>0</v>
      </c>
      <c r="G31" s="82"/>
      <c r="H31" s="82">
        <f t="shared" si="12"/>
        <v>0</v>
      </c>
      <c r="I31" s="82">
        <f t="shared" si="1"/>
        <v>0</v>
      </c>
      <c r="J31" s="82"/>
      <c r="K31" s="82">
        <f t="shared" si="2"/>
        <v>0</v>
      </c>
      <c r="L31" s="82"/>
      <c r="M31" s="82" t="s">
        <v>212</v>
      </c>
      <c r="N31" s="82"/>
      <c r="O31" s="89">
        <f t="shared" si="8"/>
        <v>152569</v>
      </c>
      <c r="P31" s="86">
        <f t="shared" si="9"/>
        <v>36124</v>
      </c>
      <c r="Q31" s="90">
        <f t="shared" si="3"/>
        <v>188693</v>
      </c>
      <c r="R31" s="82"/>
      <c r="S31" s="82">
        <f t="shared" si="4"/>
        <v>152569</v>
      </c>
      <c r="T31" s="82"/>
      <c r="U31" s="91">
        <v>2.63</v>
      </c>
      <c r="V31" s="92">
        <f t="shared" si="5"/>
        <v>401256.47</v>
      </c>
      <c r="X31" s="83">
        <v>166288</v>
      </c>
      <c r="Y31" s="91">
        <v>2.63</v>
      </c>
      <c r="Z31" s="92">
        <f t="shared" si="13"/>
        <v>437337.44</v>
      </c>
    </row>
    <row r="32" spans="1:26" x14ac:dyDescent="0.25">
      <c r="A32" s="82">
        <f t="shared" si="6"/>
        <v>27</v>
      </c>
      <c r="B32" s="82">
        <f t="shared" si="10"/>
        <v>0</v>
      </c>
      <c r="C32" s="82">
        <f t="shared" si="11"/>
        <v>0</v>
      </c>
      <c r="D32" s="82">
        <f t="shared" si="7"/>
        <v>0</v>
      </c>
      <c r="E32" s="82"/>
      <c r="F32" s="82">
        <f t="shared" si="0"/>
        <v>0</v>
      </c>
      <c r="G32" s="82"/>
      <c r="H32" s="82">
        <f t="shared" si="12"/>
        <v>0</v>
      </c>
      <c r="I32" s="82">
        <f t="shared" si="1"/>
        <v>0</v>
      </c>
      <c r="J32" s="82"/>
      <c r="K32" s="82">
        <f t="shared" si="2"/>
        <v>0</v>
      </c>
      <c r="L32" s="82"/>
      <c r="M32" s="82" t="s">
        <v>212</v>
      </c>
      <c r="N32" s="82"/>
      <c r="O32" s="89">
        <f t="shared" si="8"/>
        <v>152569</v>
      </c>
      <c r="P32" s="86">
        <f t="shared" si="9"/>
        <v>36124</v>
      </c>
      <c r="Q32" s="90">
        <f t="shared" si="3"/>
        <v>188693</v>
      </c>
      <c r="R32" s="82"/>
      <c r="S32" s="82">
        <f t="shared" si="4"/>
        <v>152569</v>
      </c>
      <c r="T32" s="82"/>
      <c r="U32" s="91">
        <v>2.63</v>
      </c>
      <c r="V32" s="92">
        <f t="shared" si="5"/>
        <v>401256.47</v>
      </c>
      <c r="X32" s="83">
        <v>166288</v>
      </c>
      <c r="Y32" s="91">
        <v>2.63</v>
      </c>
      <c r="Z32" s="92">
        <f t="shared" si="13"/>
        <v>437337.44</v>
      </c>
    </row>
    <row r="33" spans="1:26" x14ac:dyDescent="0.25">
      <c r="A33" s="82">
        <f t="shared" si="6"/>
        <v>28</v>
      </c>
      <c r="B33" s="82">
        <f t="shared" si="10"/>
        <v>0</v>
      </c>
      <c r="C33" s="82">
        <f t="shared" si="11"/>
        <v>0</v>
      </c>
      <c r="D33" s="82">
        <f t="shared" si="7"/>
        <v>0</v>
      </c>
      <c r="E33" s="82"/>
      <c r="F33" s="82">
        <f t="shared" si="0"/>
        <v>0</v>
      </c>
      <c r="G33" s="82"/>
      <c r="H33" s="82">
        <f t="shared" si="12"/>
        <v>0</v>
      </c>
      <c r="I33" s="82">
        <f t="shared" si="1"/>
        <v>0</v>
      </c>
      <c r="J33" s="82"/>
      <c r="K33" s="82">
        <f t="shared" si="2"/>
        <v>0</v>
      </c>
      <c r="L33" s="82"/>
      <c r="M33" s="82" t="s">
        <v>212</v>
      </c>
      <c r="N33" s="82"/>
      <c r="O33" s="89">
        <f t="shared" ref="O33:P36" si="14">+O32</f>
        <v>152569</v>
      </c>
      <c r="P33" s="86">
        <f t="shared" si="14"/>
        <v>36124</v>
      </c>
      <c r="Q33" s="90">
        <f>+P33+O33</f>
        <v>188693</v>
      </c>
      <c r="R33" s="82"/>
      <c r="S33" s="82">
        <f t="shared" si="4"/>
        <v>152569</v>
      </c>
      <c r="T33" s="82"/>
      <c r="U33" s="91">
        <v>2.63</v>
      </c>
      <c r="V33" s="92">
        <f t="shared" si="5"/>
        <v>401256.47</v>
      </c>
      <c r="X33" s="83">
        <v>166288</v>
      </c>
      <c r="Y33" s="91">
        <v>2.63</v>
      </c>
      <c r="Z33" s="92">
        <f t="shared" si="13"/>
        <v>437337.44</v>
      </c>
    </row>
    <row r="34" spans="1:26" x14ac:dyDescent="0.25">
      <c r="A34" s="82">
        <f t="shared" si="6"/>
        <v>29</v>
      </c>
      <c r="B34" s="82">
        <f t="shared" si="10"/>
        <v>0</v>
      </c>
      <c r="C34" s="82">
        <f t="shared" si="11"/>
        <v>0</v>
      </c>
      <c r="D34" s="82">
        <f t="shared" si="7"/>
        <v>0</v>
      </c>
      <c r="E34" s="82"/>
      <c r="F34" s="82">
        <f t="shared" si="0"/>
        <v>0</v>
      </c>
      <c r="G34" s="82"/>
      <c r="H34" s="82">
        <f t="shared" si="12"/>
        <v>0</v>
      </c>
      <c r="I34" s="82">
        <f t="shared" si="1"/>
        <v>0</v>
      </c>
      <c r="J34" s="82"/>
      <c r="K34" s="82">
        <f t="shared" si="2"/>
        <v>0</v>
      </c>
      <c r="L34" s="82"/>
      <c r="M34" s="82" t="s">
        <v>212</v>
      </c>
      <c r="N34" s="82"/>
      <c r="O34" s="89">
        <f t="shared" si="14"/>
        <v>152569</v>
      </c>
      <c r="P34" s="86">
        <f t="shared" si="14"/>
        <v>36124</v>
      </c>
      <c r="Q34" s="90">
        <f>+P34+O34</f>
        <v>188693</v>
      </c>
      <c r="R34" s="82"/>
      <c r="S34" s="82">
        <f t="shared" si="4"/>
        <v>152569</v>
      </c>
      <c r="T34" s="82"/>
      <c r="U34" s="91">
        <v>2.63</v>
      </c>
      <c r="V34" s="92">
        <f t="shared" si="5"/>
        <v>401256.47</v>
      </c>
      <c r="X34" s="83">
        <v>166288</v>
      </c>
      <c r="Y34" s="91">
        <v>2.63</v>
      </c>
      <c r="Z34" s="92">
        <f t="shared" si="13"/>
        <v>437337.44</v>
      </c>
    </row>
    <row r="35" spans="1:26" x14ac:dyDescent="0.25">
      <c r="A35" s="82">
        <f>+A34+1</f>
        <v>30</v>
      </c>
      <c r="B35" s="82">
        <f t="shared" si="10"/>
        <v>0</v>
      </c>
      <c r="C35" s="82">
        <f t="shared" si="11"/>
        <v>0</v>
      </c>
      <c r="D35" s="82">
        <f t="shared" si="7"/>
        <v>0</v>
      </c>
      <c r="E35" s="82"/>
      <c r="F35" s="82">
        <f>SUM(B35:D35)</f>
        <v>0</v>
      </c>
      <c r="G35" s="82"/>
      <c r="H35" s="82">
        <f t="shared" si="12"/>
        <v>0</v>
      </c>
      <c r="I35" s="82">
        <f t="shared" si="1"/>
        <v>0</v>
      </c>
      <c r="J35" s="82"/>
      <c r="K35" s="82">
        <f t="shared" si="2"/>
        <v>0</v>
      </c>
      <c r="L35" s="82"/>
      <c r="M35" s="82" t="s">
        <v>212</v>
      </c>
      <c r="N35" s="82"/>
      <c r="O35" s="89">
        <f t="shared" si="14"/>
        <v>152569</v>
      </c>
      <c r="P35" s="86">
        <f t="shared" si="14"/>
        <v>36124</v>
      </c>
      <c r="Q35" s="90">
        <f>+P35+O35</f>
        <v>188693</v>
      </c>
      <c r="R35" s="82"/>
      <c r="S35" s="82">
        <f>+O35-K35</f>
        <v>152569</v>
      </c>
      <c r="T35" s="82"/>
      <c r="U35" s="91">
        <v>2.63</v>
      </c>
      <c r="V35" s="92">
        <f>+U35*S35</f>
        <v>401256.47</v>
      </c>
      <c r="X35" s="83">
        <v>166288</v>
      </c>
      <c r="Y35" s="91">
        <v>2.63</v>
      </c>
      <c r="Z35" s="92">
        <f t="shared" si="13"/>
        <v>437337.44</v>
      </c>
    </row>
    <row r="36" spans="1:26" x14ac:dyDescent="0.25">
      <c r="A36" s="82">
        <f>+A35+1</f>
        <v>31</v>
      </c>
      <c r="B36" s="82">
        <f t="shared" si="10"/>
        <v>0</v>
      </c>
      <c r="C36" s="82">
        <f t="shared" si="11"/>
        <v>0</v>
      </c>
      <c r="D36" s="82">
        <f t="shared" si="7"/>
        <v>0</v>
      </c>
      <c r="E36" s="82"/>
      <c r="F36" s="82">
        <f>SUM(B36:D36)</f>
        <v>0</v>
      </c>
      <c r="G36" s="82"/>
      <c r="H36" s="82">
        <f t="shared" si="12"/>
        <v>0</v>
      </c>
      <c r="I36" s="82">
        <f t="shared" si="1"/>
        <v>0</v>
      </c>
      <c r="J36" s="82"/>
      <c r="K36" s="82">
        <f t="shared" si="2"/>
        <v>0</v>
      </c>
      <c r="L36" s="82"/>
      <c r="M36" s="82" t="s">
        <v>212</v>
      </c>
      <c r="N36" s="82"/>
      <c r="O36" s="89">
        <f t="shared" si="14"/>
        <v>152569</v>
      </c>
      <c r="P36" s="86">
        <f t="shared" si="14"/>
        <v>36124</v>
      </c>
      <c r="Q36" s="90">
        <f>+P36+O36</f>
        <v>188693</v>
      </c>
      <c r="R36" s="82"/>
      <c r="S36" s="82">
        <f>+O36-K36</f>
        <v>152569</v>
      </c>
      <c r="T36" s="82"/>
      <c r="U36" s="91">
        <v>2.63</v>
      </c>
      <c r="V36" s="92">
        <f>+U36*S36</f>
        <v>401256.47</v>
      </c>
      <c r="X36" s="83">
        <v>166288</v>
      </c>
      <c r="Y36" s="91">
        <v>2.63</v>
      </c>
      <c r="Z36" s="92">
        <f t="shared" si="13"/>
        <v>437337.44</v>
      </c>
    </row>
    <row r="37" spans="1:26" x14ac:dyDescent="0.25">
      <c r="A37" s="82"/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</row>
    <row r="38" spans="1:26" x14ac:dyDescent="0.25">
      <c r="A38" s="82"/>
      <c r="B38" s="82">
        <f t="shared" ref="B38:H38" si="15">SUM(B6:B37)</f>
        <v>732854</v>
      </c>
      <c r="C38" s="82">
        <f t="shared" si="15"/>
        <v>53518</v>
      </c>
      <c r="D38" s="82">
        <f t="shared" si="15"/>
        <v>66310</v>
      </c>
      <c r="E38" s="82"/>
      <c r="F38" s="82">
        <f t="shared" si="15"/>
        <v>852682</v>
      </c>
      <c r="G38" s="82"/>
      <c r="H38" s="82">
        <f t="shared" si="15"/>
        <v>186501</v>
      </c>
      <c r="I38" s="82">
        <f>SUM(I6:I37)</f>
        <v>182556</v>
      </c>
      <c r="J38" s="82"/>
      <c r="K38" s="82">
        <f>SUM(K6:K37)</f>
        <v>670126</v>
      </c>
      <c r="L38" s="82"/>
      <c r="M38" s="82">
        <f>SUM(M6:M37)</f>
        <v>0</v>
      </c>
      <c r="N38" s="82"/>
      <c r="O38" s="82">
        <f>SUM(O6:O37)</f>
        <v>4729639</v>
      </c>
      <c r="P38" s="82">
        <f>SUM(P6:P37)</f>
        <v>1119844</v>
      </c>
      <c r="Q38" s="82">
        <f>SUM(Q6:Q37)</f>
        <v>5849483</v>
      </c>
      <c r="R38" s="82"/>
      <c r="S38" s="82">
        <f>SUM(S6:S37)</f>
        <v>4059513</v>
      </c>
      <c r="T38" s="82" t="s">
        <v>255</v>
      </c>
      <c r="U38" s="82"/>
      <c r="V38" s="92">
        <f>SUM(V6:V34)</f>
        <v>10363154.865000004</v>
      </c>
      <c r="X38" s="82">
        <f>SUM(X6:X37)</f>
        <v>1164016</v>
      </c>
      <c r="Z38" s="92">
        <f>SUM(Z6:Z34)</f>
        <v>2186687.2000000002</v>
      </c>
    </row>
    <row r="41" spans="1:26" x14ac:dyDescent="0.25">
      <c r="X41" s="83">
        <f>+V38-Z38</f>
        <v>8176467.6650000038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7"/>
  <sheetViews>
    <sheetView topLeftCell="A162" workbookViewId="0">
      <selection activeCell="D176" sqref="D176"/>
    </sheetView>
  </sheetViews>
  <sheetFormatPr defaultColWidth="9.109375" defaultRowHeight="11.4" x14ac:dyDescent="0.2"/>
  <cols>
    <col min="1" max="1" width="15.5546875" style="63" customWidth="1"/>
    <col min="2" max="2" width="9.109375" style="63"/>
    <col min="3" max="3" width="12.44140625" style="63" customWidth="1"/>
    <col min="4" max="4" width="9.109375" style="63"/>
    <col min="5" max="5" width="11" style="63" customWidth="1"/>
    <col min="6" max="6" width="9.109375" style="63"/>
    <col min="7" max="7" width="15" style="63" customWidth="1"/>
    <col min="8" max="11" width="9.109375" style="63"/>
    <col min="12" max="12" width="14.6640625" style="63" customWidth="1"/>
    <col min="13" max="16384" width="9.109375" style="63"/>
  </cols>
  <sheetData>
    <row r="1" spans="1:14" ht="13.2" x14ac:dyDescent="0.25">
      <c r="A1" s="67" t="s">
        <v>31</v>
      </c>
      <c r="M1" s="104"/>
      <c r="N1" s="104"/>
    </row>
    <row r="2" spans="1:14" ht="13.2" x14ac:dyDescent="0.2">
      <c r="A2" s="104"/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</row>
    <row r="3" spans="1:14" ht="13.2" x14ac:dyDescent="0.2">
      <c r="A3" s="63" t="s">
        <v>171</v>
      </c>
      <c r="B3" s="63" t="s">
        <v>24</v>
      </c>
      <c r="C3" s="146">
        <v>3.38</v>
      </c>
      <c r="E3" s="146">
        <v>3.38</v>
      </c>
      <c r="M3" s="104"/>
      <c r="N3" s="104"/>
    </row>
    <row r="4" spans="1:14" ht="13.2" x14ac:dyDescent="0.2">
      <c r="A4" s="63" t="s">
        <v>179</v>
      </c>
      <c r="C4" s="146">
        <v>0.01</v>
      </c>
      <c r="E4" s="146">
        <v>0.1</v>
      </c>
      <c r="M4" s="104"/>
      <c r="N4" s="104"/>
    </row>
    <row r="5" spans="1:14" ht="13.2" x14ac:dyDescent="0.2">
      <c r="A5" s="63" t="s">
        <v>177</v>
      </c>
      <c r="C5" s="146">
        <v>1.12E-2</v>
      </c>
      <c r="E5" s="146">
        <v>1.12E-2</v>
      </c>
      <c r="M5" s="104"/>
      <c r="N5" s="104"/>
    </row>
    <row r="6" spans="1:14" ht="13.2" x14ac:dyDescent="0.2">
      <c r="A6" s="63" t="s">
        <v>173</v>
      </c>
      <c r="C6" s="146">
        <v>9.4000000000000004E-3</v>
      </c>
      <c r="E6" s="146">
        <v>9.4000000000000004E-3</v>
      </c>
      <c r="M6" s="104"/>
      <c r="N6" s="104"/>
    </row>
    <row r="7" spans="1:14" ht="13.2" x14ac:dyDescent="0.2">
      <c r="A7" s="63" t="s">
        <v>174</v>
      </c>
      <c r="C7" s="147">
        <v>1.11E-2</v>
      </c>
      <c r="E7" s="147">
        <v>1.11E-2</v>
      </c>
      <c r="M7" s="104"/>
      <c r="N7" s="104"/>
    </row>
    <row r="8" spans="1:14" ht="13.2" x14ac:dyDescent="0.2">
      <c r="A8" s="63" t="s">
        <v>178</v>
      </c>
      <c r="C8" s="148">
        <f>ROUND(+C3/(1-C7)+(C5+C6),4)-C3</f>
        <v>5.8499999999999996E-2</v>
      </c>
      <c r="E8" s="148">
        <f>ROUND(+E3/(1-E7)+(E5+E6),4)-E3</f>
        <v>5.8499999999999996E-2</v>
      </c>
      <c r="M8" s="104"/>
      <c r="N8" s="104"/>
    </row>
    <row r="9" spans="1:14" ht="13.8" thickBot="1" x14ac:dyDescent="0.25">
      <c r="C9" s="149">
        <f>SUM(C3,C4,C8)</f>
        <v>3.4484999999999997</v>
      </c>
      <c r="D9" s="63" t="s">
        <v>3</v>
      </c>
      <c r="E9" s="149">
        <f>SUM(E3,E4,E8)</f>
        <v>3.5385</v>
      </c>
      <c r="F9" s="104"/>
      <c r="G9" s="104"/>
      <c r="H9" s="104"/>
      <c r="I9" s="104"/>
      <c r="J9" s="104"/>
      <c r="K9" s="104"/>
      <c r="L9" s="104"/>
      <c r="M9" s="104"/>
      <c r="N9" s="104"/>
    </row>
    <row r="10" spans="1:14" ht="13.8" thickTop="1" x14ac:dyDescent="0.2">
      <c r="F10" s="104"/>
      <c r="G10" s="104"/>
      <c r="H10" s="104"/>
      <c r="I10" s="104"/>
      <c r="J10" s="104"/>
      <c r="K10" s="104"/>
      <c r="L10" s="104"/>
      <c r="M10" s="104"/>
      <c r="N10" s="104"/>
    </row>
    <row r="11" spans="1:14" ht="13.2" x14ac:dyDescent="0.2">
      <c r="A11" s="63" t="s">
        <v>466</v>
      </c>
      <c r="B11" s="63" t="s">
        <v>467</v>
      </c>
      <c r="F11" s="104"/>
      <c r="G11" s="104"/>
      <c r="H11" s="104"/>
      <c r="I11" s="104"/>
      <c r="J11" s="104"/>
      <c r="K11" s="104"/>
      <c r="L11" s="104"/>
      <c r="M11" s="104"/>
      <c r="N11" s="104"/>
    </row>
    <row r="12" spans="1:14" ht="13.2" x14ac:dyDescent="0.2">
      <c r="B12" s="63" t="s">
        <v>468</v>
      </c>
      <c r="F12" s="104"/>
      <c r="G12" s="104"/>
      <c r="H12" s="104"/>
      <c r="I12" s="104"/>
      <c r="J12" s="104"/>
      <c r="K12" s="104"/>
      <c r="L12" s="104"/>
      <c r="M12" s="104"/>
      <c r="N12" s="104"/>
    </row>
    <row r="13" spans="1:14" ht="13.2" x14ac:dyDescent="0.2">
      <c r="B13" s="63" t="s">
        <v>3</v>
      </c>
      <c r="F13" s="104"/>
      <c r="G13" s="104"/>
      <c r="H13" s="104"/>
      <c r="I13" s="104"/>
      <c r="J13" s="104"/>
      <c r="K13" s="104"/>
      <c r="L13" s="104"/>
      <c r="M13" s="104"/>
      <c r="N13" s="104"/>
    </row>
    <row r="14" spans="1:14" ht="13.2" x14ac:dyDescent="0.2">
      <c r="A14" s="104"/>
      <c r="B14" s="104"/>
      <c r="C14" s="104"/>
      <c r="D14" s="104"/>
      <c r="E14" s="104"/>
      <c r="F14" s="104"/>
      <c r="G14" s="104"/>
      <c r="H14" s="104"/>
      <c r="I14" s="104"/>
      <c r="J14" s="104"/>
      <c r="K14" s="104"/>
      <c r="L14" s="104"/>
      <c r="M14" s="104"/>
      <c r="N14" s="104"/>
    </row>
    <row r="15" spans="1:14" ht="13.2" x14ac:dyDescent="0.2">
      <c r="A15" s="104"/>
      <c r="B15" s="104"/>
      <c r="C15" s="104"/>
      <c r="D15" s="104"/>
      <c r="E15" s="104"/>
      <c r="F15" s="104"/>
      <c r="G15" s="104"/>
      <c r="H15" s="104"/>
      <c r="I15" s="104"/>
      <c r="J15" s="104"/>
      <c r="K15" s="104"/>
      <c r="L15" s="104"/>
      <c r="M15" s="104"/>
      <c r="N15" s="104"/>
    </row>
    <row r="16" spans="1:14" ht="13.2" x14ac:dyDescent="0.2">
      <c r="A16" s="104"/>
      <c r="B16" s="104"/>
      <c r="C16" s="104"/>
      <c r="D16" s="104"/>
      <c r="E16" s="104"/>
      <c r="F16" s="104"/>
      <c r="G16" s="104"/>
      <c r="H16" s="104"/>
      <c r="I16" s="104"/>
      <c r="J16" s="104"/>
      <c r="K16" s="104"/>
      <c r="L16" s="104"/>
      <c r="M16" s="104"/>
      <c r="N16" s="104"/>
    </row>
    <row r="17" spans="1:14" ht="13.2" x14ac:dyDescent="0.25">
      <c r="A17" s="67" t="s">
        <v>180</v>
      </c>
      <c r="C17" s="63" t="s">
        <v>53</v>
      </c>
      <c r="D17" s="63" t="s">
        <v>469</v>
      </c>
      <c r="E17" s="63" t="s">
        <v>3</v>
      </c>
      <c r="F17" s="104"/>
      <c r="G17" s="104"/>
      <c r="H17" s="104"/>
      <c r="I17" s="104"/>
      <c r="J17" s="104"/>
      <c r="K17" s="104"/>
      <c r="L17" s="104"/>
      <c r="M17" s="104"/>
      <c r="N17" s="104"/>
    </row>
    <row r="18" spans="1:14" ht="13.2" x14ac:dyDescent="0.2">
      <c r="A18" s="63" t="s">
        <v>171</v>
      </c>
      <c r="B18" s="63" t="s">
        <v>180</v>
      </c>
      <c r="C18" s="146">
        <v>3.25</v>
      </c>
      <c r="E18" s="146">
        <v>3.25</v>
      </c>
      <c r="F18" s="104"/>
      <c r="G18" s="104" t="s">
        <v>470</v>
      </c>
      <c r="H18" s="104"/>
      <c r="I18" s="146">
        <f>+C24</f>
        <v>3.3527999999999998</v>
      </c>
      <c r="J18" s="104"/>
      <c r="K18" s="104"/>
      <c r="L18" s="104"/>
      <c r="M18" s="104"/>
      <c r="N18" s="104"/>
    </row>
    <row r="19" spans="1:14" ht="13.2" x14ac:dyDescent="0.2">
      <c r="A19" s="63" t="s">
        <v>179</v>
      </c>
      <c r="C19" s="146">
        <v>7.4999999999999997E-3</v>
      </c>
      <c r="E19" s="146">
        <v>7.4999999999999997E-3</v>
      </c>
      <c r="F19" s="104"/>
      <c r="G19" s="104"/>
      <c r="H19" s="104"/>
      <c r="I19" s="146">
        <v>0</v>
      </c>
      <c r="J19" s="104"/>
      <c r="K19" s="104"/>
      <c r="L19" s="104"/>
      <c r="M19" s="104"/>
      <c r="N19" s="104"/>
    </row>
    <row r="20" spans="1:14" ht="13.2" x14ac:dyDescent="0.2">
      <c r="A20" s="63" t="s">
        <v>172</v>
      </c>
      <c r="C20" s="146">
        <v>1.3299999999999999E-2</v>
      </c>
      <c r="E20" s="146">
        <v>1.3299999999999999E-2</v>
      </c>
      <c r="F20" s="104"/>
      <c r="G20" s="104" t="s">
        <v>471</v>
      </c>
      <c r="H20" s="104"/>
      <c r="I20" s="146">
        <v>1.5299999999999999E-2</v>
      </c>
      <c r="J20" s="104"/>
      <c r="K20" s="104"/>
      <c r="L20" s="104"/>
      <c r="M20" s="104"/>
      <c r="N20" s="104"/>
    </row>
    <row r="21" spans="1:14" ht="13.2" x14ac:dyDescent="0.2">
      <c r="A21" s="63" t="s">
        <v>173</v>
      </c>
      <c r="C21" s="146">
        <v>9.4000000000000004E-3</v>
      </c>
      <c r="E21" s="146">
        <v>9.4000000000000004E-3</v>
      </c>
      <c r="F21" s="104"/>
      <c r="G21" s="104" t="s">
        <v>174</v>
      </c>
      <c r="H21" s="104"/>
      <c r="I21" s="150">
        <v>1.6999999999999999E-3</v>
      </c>
      <c r="J21" s="104"/>
      <c r="K21" s="104"/>
      <c r="L21" s="104"/>
      <c r="M21" s="104"/>
      <c r="N21" s="104"/>
    </row>
    <row r="22" spans="1:14" ht="13.2" x14ac:dyDescent="0.2">
      <c r="A22" s="63" t="s">
        <v>174</v>
      </c>
      <c r="C22" s="150">
        <v>2.1839999999999998E-2</v>
      </c>
      <c r="E22" s="150">
        <v>2.1839999999999998E-2</v>
      </c>
      <c r="F22" s="104"/>
      <c r="G22" s="104"/>
      <c r="H22" s="104"/>
      <c r="I22" s="148">
        <f>ROUND(+I18/(1-I21)+I20,4)-I18</f>
        <v>2.1000000000000352E-2</v>
      </c>
      <c r="J22" s="104"/>
      <c r="K22" s="104"/>
      <c r="L22" s="104"/>
      <c r="M22" s="104"/>
      <c r="N22" s="104"/>
    </row>
    <row r="23" spans="1:14" ht="13.8" thickBot="1" x14ac:dyDescent="0.25">
      <c r="A23" s="63" t="s">
        <v>175</v>
      </c>
      <c r="C23" s="148">
        <f>ROUND(+C18/(1-C22)+(C20+C21),4)-C18</f>
        <v>9.529999999999994E-2</v>
      </c>
      <c r="E23" s="148">
        <f>ROUND(+E18/(1-E22)+(E20+E21),4)-E18</f>
        <v>9.529999999999994E-2</v>
      </c>
      <c r="F23" s="104"/>
      <c r="G23" s="104"/>
      <c r="H23" s="104"/>
      <c r="I23" s="149">
        <f>I18+I22</f>
        <v>3.3738000000000001</v>
      </c>
      <c r="J23" s="104"/>
      <c r="K23" s="104"/>
      <c r="L23" s="153"/>
      <c r="M23" s="104"/>
      <c r="N23" s="104"/>
    </row>
    <row r="24" spans="1:14" ht="14.4" thickTop="1" thickBot="1" x14ac:dyDescent="0.25">
      <c r="C24" s="149">
        <f>SUM(C18,C19,C23)</f>
        <v>3.3527999999999998</v>
      </c>
      <c r="E24" s="148">
        <v>0.02</v>
      </c>
      <c r="F24" s="104"/>
      <c r="G24" s="104"/>
      <c r="H24" s="104"/>
      <c r="I24" s="69" t="s">
        <v>3</v>
      </c>
      <c r="J24" s="104"/>
      <c r="K24" s="104"/>
      <c r="L24" s="153"/>
      <c r="M24" s="104"/>
      <c r="N24" s="104"/>
    </row>
    <row r="25" spans="1:14" ht="14.4" thickTop="1" thickBot="1" x14ac:dyDescent="0.25">
      <c r="A25" s="63" t="s">
        <v>472</v>
      </c>
      <c r="E25" s="149">
        <f>+E24+E23+E18</f>
        <v>3.3653</v>
      </c>
      <c r="F25" s="63" t="s">
        <v>473</v>
      </c>
      <c r="H25" s="104"/>
      <c r="I25" s="104"/>
      <c r="J25" s="104"/>
      <c r="K25" s="104"/>
      <c r="L25" s="153"/>
      <c r="M25" s="104"/>
      <c r="N25" s="104"/>
    </row>
    <row r="26" spans="1:14" ht="13.8" thickTop="1" x14ac:dyDescent="0.2">
      <c r="C26" s="106"/>
      <c r="E26" s="106"/>
      <c r="H26" s="104"/>
      <c r="I26" s="104"/>
      <c r="J26" s="104"/>
      <c r="K26" s="104"/>
      <c r="L26" s="153"/>
      <c r="M26" s="104"/>
      <c r="N26" s="104"/>
    </row>
    <row r="27" spans="1:14" ht="13.2" x14ac:dyDescent="0.2">
      <c r="C27" s="95"/>
      <c r="E27" s="95"/>
      <c r="H27" s="104"/>
      <c r="I27" s="104"/>
      <c r="J27" s="104"/>
      <c r="K27" s="104"/>
      <c r="L27" s="153"/>
      <c r="M27" s="104"/>
      <c r="N27" s="104"/>
    </row>
    <row r="28" spans="1:14" ht="13.2" x14ac:dyDescent="0.2">
      <c r="C28" s="65"/>
      <c r="H28" s="104"/>
      <c r="I28" s="104"/>
      <c r="J28" s="104"/>
      <c r="K28" s="104"/>
      <c r="L28" s="153"/>
      <c r="M28" s="104"/>
      <c r="N28" s="104"/>
    </row>
    <row r="29" spans="1:14" ht="13.2" x14ac:dyDescent="0.2">
      <c r="A29" s="104"/>
      <c r="B29" s="104"/>
      <c r="C29" s="104"/>
      <c r="D29" s="104"/>
      <c r="E29" s="104"/>
      <c r="F29" s="104"/>
      <c r="G29" s="104"/>
      <c r="H29" s="104"/>
      <c r="I29" s="104"/>
      <c r="J29" s="104"/>
      <c r="K29" s="104"/>
      <c r="L29" s="104"/>
      <c r="M29" s="104"/>
      <c r="N29" s="104"/>
    </row>
    <row r="30" spans="1:14" ht="13.2" x14ac:dyDescent="0.2">
      <c r="A30" s="104"/>
      <c r="B30" s="104"/>
      <c r="C30" s="104"/>
      <c r="D30" s="104"/>
      <c r="E30" s="104"/>
      <c r="F30" s="104"/>
      <c r="G30" s="104"/>
      <c r="H30" s="104"/>
      <c r="I30" s="104"/>
      <c r="J30" s="104"/>
      <c r="K30" s="104"/>
      <c r="L30" s="104"/>
      <c r="M30" s="104"/>
      <c r="N30" s="104"/>
    </row>
    <row r="31" spans="1:14" ht="13.2" x14ac:dyDescent="0.2">
      <c r="A31" s="104"/>
      <c r="B31" s="104"/>
      <c r="C31" s="104"/>
      <c r="D31" s="104"/>
      <c r="E31" s="104"/>
      <c r="F31" s="104"/>
      <c r="G31" s="104"/>
      <c r="H31" s="104"/>
      <c r="I31" s="104"/>
      <c r="J31" s="104"/>
      <c r="K31" s="104"/>
      <c r="L31" s="104"/>
      <c r="M31" s="104"/>
      <c r="N31" s="104"/>
    </row>
    <row r="32" spans="1:14" ht="13.2" x14ac:dyDescent="0.2">
      <c r="A32" s="104"/>
      <c r="B32" s="104"/>
      <c r="C32" s="104"/>
      <c r="D32" s="104"/>
      <c r="E32" s="104"/>
      <c r="F32" s="104"/>
      <c r="G32" s="104"/>
      <c r="H32" s="104"/>
      <c r="I32" s="104"/>
      <c r="J32" s="104"/>
      <c r="K32" s="104"/>
      <c r="L32" s="104"/>
      <c r="M32" s="104"/>
      <c r="N32" s="104"/>
    </row>
    <row r="33" spans="1:14" ht="13.2" x14ac:dyDescent="0.2">
      <c r="A33" s="104"/>
      <c r="B33" s="104"/>
      <c r="C33" s="104"/>
      <c r="D33" s="104"/>
      <c r="E33" s="104"/>
      <c r="F33" s="104"/>
      <c r="G33" s="104"/>
      <c r="H33" s="104"/>
      <c r="I33" s="104"/>
      <c r="J33" s="104"/>
      <c r="K33" s="104"/>
      <c r="L33" s="104"/>
      <c r="M33" s="104"/>
      <c r="N33" s="104"/>
    </row>
    <row r="34" spans="1:14" ht="13.2" x14ac:dyDescent="0.2">
      <c r="A34" s="104"/>
      <c r="B34" s="104"/>
      <c r="C34" s="104"/>
      <c r="D34" s="104"/>
      <c r="E34" s="104"/>
      <c r="F34" s="104"/>
      <c r="G34" s="104"/>
      <c r="H34" s="104"/>
      <c r="I34" s="104"/>
      <c r="J34" s="104"/>
      <c r="K34" s="104"/>
      <c r="L34" s="104"/>
      <c r="M34" s="104"/>
      <c r="N34" s="104"/>
    </row>
    <row r="35" spans="1:14" ht="13.2" x14ac:dyDescent="0.25">
      <c r="A35" s="67" t="s">
        <v>26</v>
      </c>
      <c r="C35" s="63" t="s">
        <v>271</v>
      </c>
      <c r="E35" s="63" t="s">
        <v>272</v>
      </c>
      <c r="G35" s="63" t="s">
        <v>273</v>
      </c>
      <c r="H35" s="104"/>
      <c r="I35" s="104"/>
      <c r="J35" s="104"/>
      <c r="K35" s="104"/>
      <c r="L35" s="104"/>
      <c r="M35" s="104"/>
      <c r="N35" s="104"/>
    </row>
    <row r="36" spans="1:14" ht="13.2" x14ac:dyDescent="0.2">
      <c r="A36" s="63" t="s">
        <v>171</v>
      </c>
      <c r="B36" s="63" t="s">
        <v>26</v>
      </c>
      <c r="C36" s="146">
        <v>3.28</v>
      </c>
      <c r="E36" s="146">
        <v>3.28</v>
      </c>
      <c r="G36" s="146">
        <v>3.28</v>
      </c>
      <c r="H36" s="104"/>
      <c r="I36" s="104"/>
      <c r="J36" s="104"/>
      <c r="K36" s="104"/>
      <c r="L36" s="104"/>
      <c r="M36" s="104"/>
      <c r="N36" s="104"/>
    </row>
    <row r="37" spans="1:14" ht="13.2" x14ac:dyDescent="0.2">
      <c r="A37" s="63" t="s">
        <v>179</v>
      </c>
      <c r="C37" s="146">
        <v>7.4999999999999997E-3</v>
      </c>
      <c r="E37" s="146">
        <v>7.4999999999999997E-3</v>
      </c>
      <c r="G37" s="146">
        <v>7.4999999999999997E-3</v>
      </c>
      <c r="H37" s="104"/>
      <c r="I37" s="104"/>
      <c r="J37" s="104"/>
      <c r="K37" s="104"/>
      <c r="L37" s="104"/>
      <c r="M37" s="104"/>
      <c r="N37" s="104"/>
    </row>
    <row r="38" spans="1:14" ht="13.2" x14ac:dyDescent="0.2">
      <c r="A38" s="63" t="s">
        <v>172</v>
      </c>
      <c r="C38" s="146">
        <v>3.95E-2</v>
      </c>
      <c r="E38" s="146">
        <v>3.95E-2</v>
      </c>
      <c r="G38" s="146">
        <v>3.95E-2</v>
      </c>
      <c r="H38" s="104"/>
      <c r="I38" s="104"/>
      <c r="J38" s="104"/>
      <c r="K38" s="104"/>
      <c r="L38" s="104"/>
      <c r="M38" s="104"/>
      <c r="N38" s="104"/>
    </row>
    <row r="39" spans="1:14" ht="13.2" x14ac:dyDescent="0.2">
      <c r="A39" s="63" t="s">
        <v>173</v>
      </c>
      <c r="C39" s="146">
        <v>2.2000000000000001E-3</v>
      </c>
      <c r="E39" s="146">
        <v>2.2000000000000001E-3</v>
      </c>
      <c r="G39" s="146">
        <v>2.2000000000000001E-3</v>
      </c>
      <c r="H39" s="104"/>
      <c r="I39" s="104"/>
      <c r="J39" s="104"/>
      <c r="K39" s="104"/>
      <c r="L39" s="104"/>
      <c r="M39" s="104"/>
      <c r="N39" s="104"/>
    </row>
    <row r="40" spans="1:14" ht="13.2" x14ac:dyDescent="0.2">
      <c r="A40" s="63" t="s">
        <v>174</v>
      </c>
      <c r="C40" s="147">
        <v>2.2800000000000001E-2</v>
      </c>
      <c r="E40" s="147">
        <v>2.2800000000000001E-2</v>
      </c>
      <c r="G40" s="147">
        <v>2.2800000000000001E-2</v>
      </c>
      <c r="H40" s="104"/>
      <c r="I40" s="104"/>
      <c r="J40" s="104"/>
      <c r="K40" s="104"/>
      <c r="L40" s="104"/>
      <c r="M40" s="104"/>
      <c r="N40" s="104"/>
    </row>
    <row r="41" spans="1:14" ht="13.2" x14ac:dyDescent="0.2">
      <c r="A41" s="63" t="s">
        <v>175</v>
      </c>
      <c r="C41" s="148">
        <f>ROUND(+C36/(1-C40)+(C38+C39),4)-C36</f>
        <v>0.1182000000000003</v>
      </c>
      <c r="E41" s="148">
        <f>ROUND(+E36/(1-E40)+(E38+E39),4)-E36</f>
        <v>0.1182000000000003</v>
      </c>
      <c r="F41" s="68"/>
      <c r="G41" s="148">
        <f>ROUND(+G36/(1-G40)+(G38+G39),4)-G36</f>
        <v>0.1182000000000003</v>
      </c>
      <c r="H41" s="104"/>
      <c r="I41" s="104"/>
      <c r="J41" s="104"/>
      <c r="K41" s="104"/>
      <c r="L41" s="104"/>
      <c r="M41" s="104"/>
      <c r="N41" s="104"/>
    </row>
    <row r="42" spans="1:14" ht="13.2" x14ac:dyDescent="0.2">
      <c r="A42" s="63" t="s">
        <v>0</v>
      </c>
      <c r="C42" s="148">
        <v>0</v>
      </c>
      <c r="E42" s="148">
        <v>0.02</v>
      </c>
      <c r="F42" s="68"/>
      <c r="G42" s="148">
        <v>0.02</v>
      </c>
      <c r="H42" s="104"/>
      <c r="I42" s="104"/>
      <c r="J42" s="104"/>
      <c r="K42" s="104"/>
      <c r="L42" s="104"/>
      <c r="M42" s="104"/>
      <c r="N42" s="104"/>
    </row>
    <row r="43" spans="1:14" ht="13.8" thickBot="1" x14ac:dyDescent="0.25">
      <c r="A43" s="63" t="s">
        <v>176</v>
      </c>
      <c r="C43" s="151">
        <f>SUM(C41,C36:C37,C42)</f>
        <v>3.4056999999999999</v>
      </c>
      <c r="E43" s="151">
        <f>SUM(E41,E36:E37,E42)</f>
        <v>3.4257</v>
      </c>
      <c r="F43" s="68"/>
      <c r="G43" s="151">
        <f>SUM(G41,G36:G37,G42)</f>
        <v>3.4257</v>
      </c>
      <c r="H43" s="104"/>
      <c r="I43" s="104"/>
      <c r="J43" s="104"/>
      <c r="K43" s="104"/>
      <c r="L43" s="104"/>
      <c r="M43" s="104"/>
      <c r="N43" s="104"/>
    </row>
    <row r="44" spans="1:14" ht="13.8" thickTop="1" x14ac:dyDescent="0.2">
      <c r="A44" s="63" t="s">
        <v>3</v>
      </c>
      <c r="B44" s="63" t="s">
        <v>3</v>
      </c>
      <c r="C44" s="107">
        <v>37170</v>
      </c>
      <c r="E44" s="107">
        <v>54450</v>
      </c>
      <c r="F44" s="68"/>
      <c r="G44" s="107">
        <v>118800</v>
      </c>
      <c r="H44" s="104"/>
      <c r="I44" s="104"/>
      <c r="J44" s="104"/>
      <c r="K44" s="104"/>
      <c r="L44" s="104"/>
      <c r="M44" s="104"/>
      <c r="N44" s="104"/>
    </row>
    <row r="45" spans="1:14" ht="13.2" x14ac:dyDescent="0.2">
      <c r="A45" s="63" t="s">
        <v>393</v>
      </c>
      <c r="C45" s="69"/>
      <c r="E45" s="68"/>
      <c r="F45" s="68"/>
      <c r="G45" s="68"/>
      <c r="H45" s="104"/>
      <c r="I45" s="104"/>
      <c r="J45" s="104"/>
      <c r="K45" s="104"/>
      <c r="L45" s="104"/>
      <c r="M45" s="104"/>
      <c r="N45" s="104"/>
    </row>
    <row r="46" spans="1:14" ht="13.2" x14ac:dyDescent="0.2">
      <c r="A46" s="63" t="s">
        <v>394</v>
      </c>
      <c r="C46" s="69"/>
      <c r="H46" s="104"/>
      <c r="I46" s="104"/>
      <c r="J46" s="104"/>
      <c r="K46" s="104"/>
      <c r="L46" s="104"/>
      <c r="M46" s="104"/>
      <c r="N46" s="104"/>
    </row>
    <row r="47" spans="1:14" ht="13.2" x14ac:dyDescent="0.2">
      <c r="A47" s="63" t="s">
        <v>274</v>
      </c>
      <c r="C47" s="69"/>
      <c r="H47" s="104"/>
      <c r="I47" s="104"/>
      <c r="J47" s="104"/>
      <c r="K47" s="104"/>
      <c r="L47" s="104"/>
      <c r="M47" s="104"/>
      <c r="N47" s="104"/>
    </row>
    <row r="48" spans="1:14" ht="13.2" x14ac:dyDescent="0.2">
      <c r="A48" s="63" t="s">
        <v>275</v>
      </c>
      <c r="C48" s="69"/>
      <c r="H48" s="104"/>
      <c r="I48" s="104"/>
      <c r="J48" s="104"/>
      <c r="K48" s="104"/>
      <c r="L48" s="104"/>
      <c r="M48" s="104"/>
      <c r="N48" s="104"/>
    </row>
    <row r="49" spans="1:14" ht="13.2" x14ac:dyDescent="0.2">
      <c r="C49" s="69"/>
      <c r="H49" s="104"/>
      <c r="I49" s="104" t="s">
        <v>3</v>
      </c>
      <c r="J49" s="104"/>
      <c r="K49" s="104"/>
      <c r="L49" s="104"/>
      <c r="M49" s="104"/>
      <c r="N49" s="104"/>
    </row>
    <row r="50" spans="1:14" ht="13.2" x14ac:dyDescent="0.2">
      <c r="A50" s="63" t="s">
        <v>3</v>
      </c>
      <c r="C50" s="69"/>
      <c r="H50" s="104"/>
      <c r="I50" s="104"/>
      <c r="J50" s="104"/>
      <c r="K50" s="104"/>
      <c r="L50" s="104"/>
      <c r="M50" s="104"/>
      <c r="N50" s="104"/>
    </row>
    <row r="51" spans="1:14" ht="13.2" x14ac:dyDescent="0.2">
      <c r="A51" s="63" t="s">
        <v>3</v>
      </c>
      <c r="B51" s="63" t="s">
        <v>3</v>
      </c>
      <c r="C51" s="69"/>
      <c r="H51" s="104"/>
      <c r="I51" s="104"/>
      <c r="J51" s="104"/>
      <c r="K51" s="104"/>
      <c r="L51" s="104"/>
      <c r="M51" s="104"/>
      <c r="N51" s="104"/>
    </row>
    <row r="52" spans="1:14" ht="13.2" x14ac:dyDescent="0.2">
      <c r="A52" s="63" t="s">
        <v>3</v>
      </c>
      <c r="B52" s="63" t="s">
        <v>3</v>
      </c>
      <c r="C52" s="69"/>
      <c r="H52" s="104"/>
      <c r="I52" s="104"/>
      <c r="J52" s="104"/>
      <c r="K52" s="104"/>
      <c r="L52" s="104"/>
      <c r="M52" s="104"/>
      <c r="N52" s="104"/>
    </row>
    <row r="53" spans="1:14" ht="13.2" x14ac:dyDescent="0.2">
      <c r="C53" s="69"/>
      <c r="H53" s="104"/>
      <c r="I53" s="104"/>
      <c r="J53" s="104"/>
      <c r="K53" s="104"/>
      <c r="L53" s="104"/>
      <c r="M53" s="104"/>
      <c r="N53" s="104"/>
    </row>
    <row r="54" spans="1:14" ht="13.2" x14ac:dyDescent="0.2">
      <c r="C54" s="69"/>
      <c r="H54" s="104"/>
      <c r="I54" s="104"/>
      <c r="J54" s="104"/>
      <c r="K54" s="104"/>
      <c r="L54" s="104"/>
      <c r="M54" s="104"/>
      <c r="N54" s="104"/>
    </row>
    <row r="55" spans="1:14" ht="13.2" x14ac:dyDescent="0.2">
      <c r="C55" s="69"/>
      <c r="H55" s="104"/>
      <c r="I55" s="104"/>
      <c r="J55" s="104"/>
      <c r="K55" s="104"/>
      <c r="L55" s="104"/>
      <c r="M55" s="104"/>
      <c r="N55" s="104"/>
    </row>
    <row r="56" spans="1:14" ht="13.2" x14ac:dyDescent="0.2">
      <c r="C56" s="69"/>
      <c r="H56" s="104"/>
      <c r="I56" s="104"/>
      <c r="J56" s="104"/>
      <c r="K56" s="104"/>
      <c r="L56" s="104"/>
      <c r="M56" s="104"/>
      <c r="N56" s="104"/>
    </row>
    <row r="57" spans="1:14" ht="13.2" x14ac:dyDescent="0.25">
      <c r="A57" s="67" t="s">
        <v>276</v>
      </c>
      <c r="C57" s="98" t="s">
        <v>277</v>
      </c>
      <c r="E57" s="98" t="s">
        <v>278</v>
      </c>
      <c r="G57" s="104"/>
      <c r="H57" s="104"/>
      <c r="I57" s="104"/>
      <c r="J57" s="104"/>
      <c r="K57" s="104"/>
      <c r="L57" s="104"/>
      <c r="M57" s="104"/>
      <c r="N57" s="104"/>
    </row>
    <row r="58" spans="1:14" ht="13.2" x14ac:dyDescent="0.2">
      <c r="A58" s="63" t="s">
        <v>171</v>
      </c>
      <c r="B58" s="63" t="s">
        <v>279</v>
      </c>
      <c r="C58" s="146">
        <v>3.03</v>
      </c>
      <c r="E58" s="146">
        <f>+C64</f>
        <v>3.1816999999999998</v>
      </c>
      <c r="G58" s="104"/>
      <c r="H58" s="104"/>
      <c r="I58" s="104"/>
      <c r="J58" s="104"/>
      <c r="K58" s="104"/>
      <c r="L58" s="104"/>
      <c r="M58" s="104"/>
      <c r="N58" s="104"/>
    </row>
    <row r="59" spans="1:14" ht="13.2" x14ac:dyDescent="0.2">
      <c r="A59" s="63" t="s">
        <v>179</v>
      </c>
      <c r="C59" s="146">
        <v>0.01</v>
      </c>
      <c r="E59" s="146">
        <v>0</v>
      </c>
      <c r="G59" s="104"/>
      <c r="H59" s="104"/>
      <c r="I59" s="104"/>
      <c r="J59" s="104"/>
      <c r="K59" s="104"/>
      <c r="L59" s="104"/>
      <c r="M59" s="104"/>
      <c r="N59" s="104"/>
    </row>
    <row r="60" spans="1:14" ht="13.2" x14ac:dyDescent="0.2">
      <c r="A60" s="63" t="s">
        <v>172</v>
      </c>
      <c r="C60" s="146">
        <v>5.7200000000000001E-2</v>
      </c>
      <c r="E60" s="146">
        <v>1.1000000000000001E-3</v>
      </c>
      <c r="G60" s="104"/>
      <c r="H60" s="104"/>
      <c r="I60" s="104"/>
      <c r="J60" s="104"/>
      <c r="K60" s="104"/>
      <c r="L60" s="104"/>
      <c r="M60" s="104"/>
      <c r="N60" s="104"/>
    </row>
    <row r="61" spans="1:14" ht="13.2" x14ac:dyDescent="0.2">
      <c r="A61" s="63" t="s">
        <v>173</v>
      </c>
      <c r="C61" s="146">
        <v>3.1899999999999998E-2</v>
      </c>
      <c r="E61" s="146">
        <v>9.4000000000000004E-3</v>
      </c>
      <c r="F61" s="63" t="s">
        <v>280</v>
      </c>
      <c r="G61" s="104"/>
      <c r="H61" s="104"/>
      <c r="I61" s="104"/>
      <c r="J61" s="104"/>
      <c r="K61" s="104"/>
      <c r="L61" s="104"/>
      <c r="M61" s="104"/>
      <c r="N61" s="104"/>
    </row>
    <row r="62" spans="1:14" ht="13.2" x14ac:dyDescent="0.2">
      <c r="A62" s="63" t="s">
        <v>174</v>
      </c>
      <c r="C62" s="147">
        <v>1.7000000000000001E-2</v>
      </c>
      <c r="E62" s="147">
        <v>2.1999999999999999E-2</v>
      </c>
      <c r="G62" s="104"/>
      <c r="H62" s="104"/>
      <c r="I62" s="104"/>
      <c r="J62" s="104"/>
      <c r="K62" s="104"/>
      <c r="L62" s="104"/>
      <c r="M62" s="104"/>
      <c r="N62" s="104"/>
    </row>
    <row r="63" spans="1:14" ht="13.2" x14ac:dyDescent="0.2">
      <c r="A63" s="63" t="s">
        <v>175</v>
      </c>
      <c r="C63" s="148">
        <f>ROUND((+C58+C59)/(1-C62)-(C58+C59)+C60+C61,4)</f>
        <v>0.14169999999999999</v>
      </c>
      <c r="E63" s="148">
        <f>ROUND((+E58+E59)/(1-E62)-(E58+E59)+E60+E61,4)</f>
        <v>8.2100000000000006E-2</v>
      </c>
      <c r="G63" s="104"/>
      <c r="H63" s="104"/>
      <c r="I63" s="104"/>
      <c r="J63" s="104"/>
      <c r="K63" s="104"/>
      <c r="L63" s="104"/>
      <c r="M63" s="104"/>
      <c r="N63" s="104"/>
    </row>
    <row r="64" spans="1:14" ht="13.8" thickBot="1" x14ac:dyDescent="0.25">
      <c r="A64" s="63" t="s">
        <v>176</v>
      </c>
      <c r="C64" s="149">
        <f>SUM(C63,C58:C59)</f>
        <v>3.1816999999999998</v>
      </c>
      <c r="E64" s="149">
        <f>SUM(E63,E58:E59)</f>
        <v>3.2637999999999998</v>
      </c>
      <c r="F64" s="63" t="s">
        <v>474</v>
      </c>
      <c r="G64" s="104"/>
      <c r="H64" s="104"/>
      <c r="I64" s="104"/>
      <c r="J64" s="104"/>
      <c r="K64" s="104"/>
      <c r="L64" s="104"/>
      <c r="M64" s="104"/>
      <c r="N64" s="104"/>
    </row>
    <row r="65" spans="1:14" ht="13.8" thickTop="1" x14ac:dyDescent="0.2">
      <c r="G65" s="104"/>
      <c r="H65" s="104"/>
      <c r="I65" s="104"/>
      <c r="J65" s="104"/>
      <c r="K65" s="104"/>
      <c r="L65" s="104"/>
      <c r="M65" s="104"/>
      <c r="N65" s="104"/>
    </row>
    <row r="66" spans="1:14" ht="13.2" x14ac:dyDescent="0.2">
      <c r="A66" s="104"/>
      <c r="B66" s="104"/>
      <c r="C66" s="104"/>
      <c r="D66" s="104"/>
      <c r="E66" s="104"/>
      <c r="F66" s="104"/>
      <c r="G66" s="104"/>
      <c r="H66" s="104"/>
      <c r="I66" s="104"/>
      <c r="J66" s="104"/>
      <c r="K66" s="104"/>
      <c r="L66" s="104"/>
      <c r="M66" s="104"/>
      <c r="N66" s="104"/>
    </row>
    <row r="67" spans="1:14" ht="13.2" x14ac:dyDescent="0.2">
      <c r="A67" s="104"/>
      <c r="B67" s="104"/>
      <c r="C67" s="104"/>
      <c r="D67" s="104"/>
      <c r="E67" s="104"/>
      <c r="F67" s="104"/>
      <c r="G67" s="104"/>
      <c r="H67" s="104"/>
      <c r="I67" s="104"/>
      <c r="J67" s="104"/>
      <c r="K67" s="104"/>
      <c r="L67" s="104"/>
      <c r="M67" s="104"/>
      <c r="N67" s="104"/>
    </row>
    <row r="68" spans="1:14" ht="13.2" x14ac:dyDescent="0.2">
      <c r="A68" s="104"/>
      <c r="B68" s="104"/>
      <c r="C68" s="104"/>
      <c r="D68" s="104"/>
      <c r="E68" s="104"/>
      <c r="F68" s="104"/>
      <c r="G68" s="104"/>
      <c r="H68" s="104"/>
      <c r="I68" s="104"/>
      <c r="J68" s="104"/>
      <c r="K68" s="104"/>
      <c r="L68" s="104"/>
      <c r="M68" s="104"/>
      <c r="N68" s="104"/>
    </row>
    <row r="69" spans="1:14" ht="13.2" x14ac:dyDescent="0.25">
      <c r="A69" s="67" t="s">
        <v>281</v>
      </c>
      <c r="C69" s="98" t="s">
        <v>53</v>
      </c>
      <c r="E69" s="98" t="s">
        <v>282</v>
      </c>
      <c r="G69" s="104"/>
      <c r="H69" s="104"/>
      <c r="I69" s="104"/>
      <c r="J69" s="104"/>
      <c r="K69" s="104"/>
      <c r="L69" s="104"/>
      <c r="M69" s="104"/>
      <c r="N69" s="104"/>
    </row>
    <row r="70" spans="1:14" ht="13.2" x14ac:dyDescent="0.2">
      <c r="A70" s="63" t="s">
        <v>171</v>
      </c>
      <c r="B70" s="63" t="s">
        <v>26</v>
      </c>
      <c r="C70" s="146">
        <v>3.28</v>
      </c>
      <c r="E70" s="146">
        <v>3.28</v>
      </c>
      <c r="G70" s="104"/>
      <c r="H70" s="104"/>
      <c r="I70" s="104"/>
      <c r="J70" s="104"/>
      <c r="K70" s="104"/>
      <c r="L70" s="104"/>
      <c r="M70" s="104"/>
      <c r="N70" s="104"/>
    </row>
    <row r="71" spans="1:14" ht="13.2" x14ac:dyDescent="0.2">
      <c r="A71" s="63" t="s">
        <v>179</v>
      </c>
      <c r="C71" s="146">
        <v>2.75E-2</v>
      </c>
      <c r="E71" s="146">
        <v>2.75E-2</v>
      </c>
      <c r="G71" s="104"/>
      <c r="H71" s="104"/>
      <c r="I71" s="104"/>
      <c r="J71" s="104"/>
      <c r="K71" s="104"/>
      <c r="L71" s="104"/>
      <c r="M71" s="104"/>
      <c r="N71" s="104"/>
    </row>
    <row r="72" spans="1:14" ht="13.2" x14ac:dyDescent="0.2">
      <c r="A72" s="63" t="s">
        <v>172</v>
      </c>
      <c r="C72" s="146">
        <v>9.1999999999999998E-3</v>
      </c>
      <c r="E72" s="146">
        <v>0.2127</v>
      </c>
      <c r="G72" s="104"/>
      <c r="H72" s="104"/>
      <c r="I72" s="104"/>
      <c r="J72" s="104"/>
      <c r="K72" s="104"/>
      <c r="L72" s="104"/>
      <c r="M72" s="104"/>
      <c r="N72" s="104"/>
    </row>
    <row r="73" spans="1:14" ht="13.2" x14ac:dyDescent="0.2">
      <c r="A73" s="63" t="s">
        <v>173</v>
      </c>
      <c r="C73" s="146">
        <v>9.4000000000000004E-3</v>
      </c>
      <c r="E73" s="146">
        <v>9.4000000000000004E-3</v>
      </c>
      <c r="F73" s="104"/>
      <c r="G73" s="104"/>
      <c r="H73" s="104"/>
      <c r="I73" s="104"/>
      <c r="J73" s="104"/>
      <c r="K73" s="104"/>
      <c r="L73" s="104"/>
      <c r="M73" s="104"/>
      <c r="N73" s="104"/>
    </row>
    <row r="74" spans="1:14" ht="13.2" x14ac:dyDescent="0.2">
      <c r="A74" s="63" t="s">
        <v>174</v>
      </c>
      <c r="C74" s="147">
        <v>0.03</v>
      </c>
      <c r="E74" s="147">
        <v>0.03</v>
      </c>
      <c r="F74" s="104"/>
      <c r="G74" s="104"/>
      <c r="H74" s="104"/>
      <c r="I74" s="104"/>
      <c r="J74" s="104"/>
      <c r="K74" s="104"/>
      <c r="L74" s="104"/>
      <c r="M74" s="104"/>
      <c r="N74" s="104"/>
    </row>
    <row r="75" spans="1:14" ht="13.2" x14ac:dyDescent="0.2">
      <c r="A75" s="63" t="s">
        <v>175</v>
      </c>
      <c r="C75" s="148">
        <f>ROUND((+C70+C71)/(1-C74)-(C70+C71)+C72+C73,4)</f>
        <v>0.12089999999999999</v>
      </c>
      <c r="E75" s="148">
        <f>ROUND((+E70+E71)/(1-E74)-(E70+E71)+E72+E73,4)</f>
        <v>0.32440000000000002</v>
      </c>
      <c r="F75" s="104"/>
      <c r="G75" s="104"/>
      <c r="H75" s="104"/>
      <c r="I75" s="104"/>
      <c r="J75" s="104"/>
      <c r="K75" s="104"/>
      <c r="L75" s="104"/>
      <c r="M75" s="104"/>
      <c r="N75" s="104"/>
    </row>
    <row r="76" spans="1:14" ht="13.8" thickBot="1" x14ac:dyDescent="0.25">
      <c r="A76" s="63" t="s">
        <v>176</v>
      </c>
      <c r="C76" s="149">
        <f>SUM(C75,C70:C71)</f>
        <v>3.4283999999999994</v>
      </c>
      <c r="E76" s="149">
        <f>SUM(E75,E70:E71)</f>
        <v>3.6318999999999999</v>
      </c>
      <c r="F76" s="104"/>
      <c r="G76" s="104"/>
      <c r="H76" s="104"/>
      <c r="I76" s="104"/>
      <c r="J76" s="104"/>
      <c r="K76" s="104"/>
      <c r="L76" s="104"/>
      <c r="M76" s="104"/>
      <c r="N76" s="104"/>
    </row>
    <row r="77" spans="1:14" ht="13.8" thickTop="1" x14ac:dyDescent="0.2">
      <c r="F77" s="104"/>
      <c r="G77" s="104"/>
      <c r="H77" s="104"/>
      <c r="I77" s="104"/>
      <c r="J77" s="104"/>
      <c r="K77" s="104"/>
      <c r="L77" s="104"/>
      <c r="M77" s="104"/>
      <c r="N77" s="104"/>
    </row>
    <row r="78" spans="1:14" ht="13.2" x14ac:dyDescent="0.2">
      <c r="A78" s="63" t="s">
        <v>395</v>
      </c>
      <c r="F78" s="104"/>
      <c r="G78" s="104"/>
      <c r="H78" s="104"/>
      <c r="I78" s="104"/>
      <c r="J78" s="104"/>
      <c r="K78" s="104"/>
      <c r="L78" s="104"/>
      <c r="M78" s="104"/>
      <c r="N78" s="104"/>
    </row>
    <row r="79" spans="1:14" ht="13.2" x14ac:dyDescent="0.2">
      <c r="A79" s="104"/>
      <c r="B79" s="104"/>
      <c r="C79" s="104"/>
      <c r="D79" s="104"/>
      <c r="E79" s="104"/>
      <c r="F79" s="104"/>
      <c r="G79" s="104"/>
      <c r="H79" s="104"/>
      <c r="I79" s="104"/>
      <c r="J79" s="104"/>
      <c r="K79" s="104"/>
      <c r="L79" s="104"/>
      <c r="M79" s="104"/>
      <c r="N79" s="104"/>
    </row>
    <row r="80" spans="1:14" ht="13.2" x14ac:dyDescent="0.2">
      <c r="A80" s="104"/>
      <c r="B80" s="104"/>
      <c r="C80" s="104"/>
      <c r="D80" s="104"/>
      <c r="E80" s="104"/>
      <c r="F80" s="104"/>
      <c r="G80" s="104"/>
      <c r="H80" s="104"/>
      <c r="I80" s="104"/>
      <c r="J80" s="104"/>
      <c r="K80" s="104"/>
      <c r="L80" s="104"/>
      <c r="M80" s="104"/>
      <c r="N80" s="104"/>
    </row>
    <row r="81" spans="1:14" ht="13.2" x14ac:dyDescent="0.25">
      <c r="A81" s="67" t="s">
        <v>283</v>
      </c>
      <c r="F81" s="104"/>
      <c r="G81" s="104"/>
      <c r="H81" s="104"/>
      <c r="I81" s="104"/>
      <c r="J81" s="104"/>
      <c r="K81" s="104"/>
      <c r="L81" s="104"/>
      <c r="M81" s="104"/>
      <c r="N81" s="104"/>
    </row>
    <row r="82" spans="1:14" ht="13.2" x14ac:dyDescent="0.2">
      <c r="A82" s="63" t="s">
        <v>171</v>
      </c>
      <c r="B82" s="63" t="s">
        <v>164</v>
      </c>
      <c r="C82" s="146">
        <v>3.03</v>
      </c>
      <c r="F82" s="104"/>
      <c r="G82" s="104"/>
      <c r="H82" s="104"/>
      <c r="I82" s="104"/>
      <c r="J82" s="104"/>
      <c r="K82" s="104"/>
      <c r="L82" s="104"/>
      <c r="M82" s="104"/>
      <c r="N82" s="104"/>
    </row>
    <row r="83" spans="1:14" ht="13.2" x14ac:dyDescent="0.2">
      <c r="A83" s="63" t="s">
        <v>179</v>
      </c>
      <c r="C83" s="146">
        <v>0.01</v>
      </c>
      <c r="F83" s="104"/>
      <c r="G83" s="104"/>
      <c r="H83" s="104"/>
      <c r="I83" s="104"/>
      <c r="J83" s="104"/>
      <c r="K83" s="104"/>
      <c r="L83" s="104"/>
      <c r="M83" s="104"/>
      <c r="N83" s="104"/>
    </row>
    <row r="84" spans="1:14" ht="13.2" x14ac:dyDescent="0.2">
      <c r="A84" s="63" t="s">
        <v>172</v>
      </c>
      <c r="C84" s="146">
        <v>0.11260000000000001</v>
      </c>
      <c r="F84" s="104"/>
      <c r="G84" s="104"/>
      <c r="H84" s="104"/>
      <c r="I84" s="104"/>
      <c r="J84" s="104"/>
      <c r="K84" s="104"/>
      <c r="L84" s="104"/>
      <c r="M84" s="104"/>
      <c r="N84" s="104"/>
    </row>
    <row r="85" spans="1:14" ht="13.2" x14ac:dyDescent="0.2">
      <c r="A85" s="63" t="s">
        <v>173</v>
      </c>
      <c r="C85" s="146">
        <v>9.4000000000000004E-3</v>
      </c>
      <c r="F85" s="104"/>
      <c r="G85" s="104"/>
      <c r="H85" s="104"/>
      <c r="I85" s="104"/>
      <c r="J85" s="104"/>
      <c r="K85" s="104"/>
      <c r="L85" s="104"/>
      <c r="M85" s="104"/>
      <c r="N85" s="104"/>
    </row>
    <row r="86" spans="1:14" ht="13.2" x14ac:dyDescent="0.2">
      <c r="A86" s="63" t="s">
        <v>174</v>
      </c>
      <c r="C86" s="147">
        <v>5.9700000000000003E-2</v>
      </c>
      <c r="F86" s="104"/>
      <c r="G86" s="104"/>
      <c r="H86" s="104"/>
      <c r="I86" s="104"/>
      <c r="J86" s="104"/>
      <c r="K86" s="104"/>
      <c r="L86" s="104"/>
      <c r="M86" s="104"/>
      <c r="N86" s="104"/>
    </row>
    <row r="87" spans="1:14" ht="13.2" x14ac:dyDescent="0.2">
      <c r="A87" s="63" t="s">
        <v>175</v>
      </c>
      <c r="C87" s="148">
        <f>ROUND((+C82+C83)/(1-C86)-(C82+C83)+C84+C85,4)</f>
        <v>0.315</v>
      </c>
      <c r="F87" s="104"/>
      <c r="G87" s="104"/>
      <c r="H87" s="104"/>
      <c r="I87" s="104"/>
      <c r="J87" s="104"/>
      <c r="K87" s="104"/>
      <c r="L87" s="104"/>
      <c r="M87" s="104"/>
      <c r="N87" s="104"/>
    </row>
    <row r="88" spans="1:14" ht="13.8" thickBot="1" x14ac:dyDescent="0.25">
      <c r="C88" s="149">
        <f>SUM(C87,C82:C83)</f>
        <v>3.3549999999999995</v>
      </c>
      <c r="D88" s="63" t="s">
        <v>475</v>
      </c>
      <c r="F88" s="104"/>
      <c r="G88" s="104"/>
      <c r="H88" s="104"/>
      <c r="I88" s="104"/>
      <c r="J88" s="104"/>
      <c r="K88" s="104"/>
      <c r="L88" s="104"/>
      <c r="M88" s="104"/>
      <c r="N88" s="104"/>
    </row>
    <row r="89" spans="1:14" ht="13.8" thickTop="1" x14ac:dyDescent="0.2">
      <c r="E89" s="104"/>
      <c r="F89" s="104"/>
      <c r="G89" s="104"/>
      <c r="H89" s="104"/>
      <c r="I89" s="104"/>
      <c r="J89" s="104"/>
      <c r="K89" s="104"/>
      <c r="L89" s="104"/>
      <c r="M89" s="104"/>
      <c r="N89" s="104"/>
    </row>
    <row r="90" spans="1:14" ht="13.2" x14ac:dyDescent="0.2">
      <c r="A90" s="104"/>
      <c r="B90" s="104"/>
      <c r="C90" s="104"/>
      <c r="D90" s="104"/>
      <c r="E90" s="104"/>
      <c r="F90" s="104"/>
      <c r="G90" s="104"/>
      <c r="H90" s="104"/>
      <c r="I90" s="104"/>
      <c r="J90" s="104"/>
      <c r="K90" s="104"/>
      <c r="L90" s="104"/>
      <c r="M90" s="104"/>
      <c r="N90" s="104"/>
    </row>
    <row r="91" spans="1:14" ht="13.2" x14ac:dyDescent="0.25">
      <c r="A91" s="67" t="s">
        <v>284</v>
      </c>
      <c r="E91" s="104"/>
      <c r="F91" s="104"/>
      <c r="G91" s="104"/>
      <c r="H91" s="104"/>
      <c r="I91" s="104"/>
      <c r="J91" s="104"/>
      <c r="K91" s="104"/>
      <c r="L91" s="104"/>
      <c r="M91" s="104"/>
      <c r="N91" s="104"/>
    </row>
    <row r="92" spans="1:14" ht="13.2" x14ac:dyDescent="0.2">
      <c r="A92" s="63" t="s">
        <v>171</v>
      </c>
      <c r="B92" s="63" t="s">
        <v>285</v>
      </c>
      <c r="C92" s="146">
        <v>3.03</v>
      </c>
      <c r="E92" s="104"/>
      <c r="F92" s="104"/>
      <c r="G92" s="104"/>
      <c r="H92" s="104"/>
      <c r="I92" s="104"/>
      <c r="J92" s="104"/>
      <c r="K92" s="104"/>
      <c r="L92" s="104"/>
      <c r="M92" s="104"/>
      <c r="N92" s="104"/>
    </row>
    <row r="93" spans="1:14" ht="13.2" x14ac:dyDescent="0.2">
      <c r="A93" s="63" t="s">
        <v>179</v>
      </c>
      <c r="C93" s="146">
        <v>0.01</v>
      </c>
      <c r="E93" s="104"/>
      <c r="F93" s="104"/>
      <c r="G93" s="104"/>
      <c r="H93" s="104"/>
      <c r="I93" s="104"/>
      <c r="J93" s="104"/>
      <c r="K93" s="104"/>
      <c r="L93" s="104"/>
      <c r="M93" s="104"/>
      <c r="N93" s="104"/>
    </row>
    <row r="94" spans="1:14" ht="13.2" x14ac:dyDescent="0.2">
      <c r="A94" s="63" t="s">
        <v>172</v>
      </c>
      <c r="C94" s="146">
        <v>0.1012</v>
      </c>
      <c r="E94" s="104"/>
      <c r="F94" s="104"/>
      <c r="G94" s="104"/>
      <c r="H94" s="104"/>
      <c r="I94" s="104"/>
      <c r="J94" s="104"/>
      <c r="K94" s="104"/>
      <c r="L94" s="104"/>
      <c r="M94" s="104"/>
      <c r="N94" s="104"/>
    </row>
    <row r="95" spans="1:14" ht="13.2" x14ac:dyDescent="0.2">
      <c r="A95" s="63" t="s">
        <v>173</v>
      </c>
      <c r="C95" s="146">
        <v>9.4000000000000004E-3</v>
      </c>
      <c r="E95" s="104"/>
      <c r="F95" s="104"/>
      <c r="G95" s="104"/>
      <c r="H95" s="104"/>
      <c r="I95" s="104"/>
      <c r="J95" s="104"/>
      <c r="K95" s="104"/>
      <c r="L95" s="104"/>
      <c r="M95" s="104"/>
      <c r="N95" s="104"/>
    </row>
    <row r="96" spans="1:14" ht="13.2" x14ac:dyDescent="0.2">
      <c r="A96" s="63" t="s">
        <v>174</v>
      </c>
      <c r="C96" s="147">
        <v>7.0499999999999993E-2</v>
      </c>
      <c r="E96" s="104"/>
      <c r="F96" s="104"/>
      <c r="G96" s="104"/>
      <c r="H96" s="104"/>
      <c r="I96" s="104"/>
      <c r="J96" s="104"/>
      <c r="K96" s="104"/>
      <c r="L96" s="104"/>
      <c r="M96" s="104"/>
      <c r="N96" s="104"/>
    </row>
    <row r="97" spans="1:14" ht="13.2" x14ac:dyDescent="0.2">
      <c r="A97" s="63" t="s">
        <v>175</v>
      </c>
      <c r="C97" s="148">
        <f>ROUND((+C92+C93)/(1-C96)-(C92+C93)+C94+C95,4)</f>
        <v>0.3412</v>
      </c>
      <c r="D97" s="63" t="s">
        <v>391</v>
      </c>
      <c r="E97" s="104"/>
      <c r="F97" s="104"/>
      <c r="G97" s="104"/>
      <c r="H97" s="104"/>
      <c r="I97" s="104"/>
      <c r="J97" s="104"/>
      <c r="K97" s="104"/>
      <c r="L97" s="104"/>
      <c r="M97" s="104"/>
      <c r="N97" s="104"/>
    </row>
    <row r="98" spans="1:14" ht="13.8" thickBot="1" x14ac:dyDescent="0.25">
      <c r="C98" s="149">
        <f>SUM(C97,C92:C93)</f>
        <v>3.3811999999999998</v>
      </c>
      <c r="D98" s="63" t="s">
        <v>392</v>
      </c>
      <c r="E98" s="104"/>
      <c r="F98" s="104"/>
      <c r="G98" s="104"/>
      <c r="H98" s="104"/>
      <c r="I98" s="104"/>
      <c r="J98" s="104"/>
      <c r="K98" s="104"/>
      <c r="L98" s="104"/>
      <c r="M98" s="104"/>
      <c r="N98" s="104"/>
    </row>
    <row r="99" spans="1:14" ht="13.8" thickTop="1" x14ac:dyDescent="0.2">
      <c r="E99" s="104"/>
      <c r="F99" s="104"/>
      <c r="G99" s="104"/>
      <c r="H99" s="104"/>
      <c r="I99" s="104"/>
      <c r="J99" s="104"/>
      <c r="K99" s="104"/>
      <c r="L99" s="104"/>
      <c r="M99" s="104"/>
      <c r="N99" s="104"/>
    </row>
    <row r="100" spans="1:14" ht="13.2" x14ac:dyDescent="0.2">
      <c r="A100" s="63" t="s">
        <v>390</v>
      </c>
      <c r="E100" s="104"/>
      <c r="F100" s="104"/>
      <c r="G100" s="104"/>
      <c r="H100" s="104"/>
      <c r="I100" s="104"/>
      <c r="J100" s="104"/>
      <c r="K100" s="104"/>
      <c r="L100" s="104"/>
      <c r="M100" s="104"/>
      <c r="N100" s="104"/>
    </row>
    <row r="101" spans="1:14" ht="13.2" x14ac:dyDescent="0.2">
      <c r="A101" s="104"/>
      <c r="B101" s="104"/>
      <c r="C101" s="104"/>
      <c r="D101" s="104"/>
      <c r="E101" s="104"/>
      <c r="F101" s="104"/>
      <c r="G101" s="104"/>
      <c r="H101" s="104"/>
      <c r="I101" s="104"/>
      <c r="J101" s="104"/>
      <c r="K101" s="104"/>
      <c r="L101" s="104"/>
      <c r="M101" s="104"/>
      <c r="N101" s="104"/>
    </row>
    <row r="102" spans="1:14" ht="13.2" x14ac:dyDescent="0.2">
      <c r="A102" s="104"/>
      <c r="B102" s="104"/>
      <c r="C102" s="104"/>
      <c r="D102" s="104"/>
      <c r="E102" s="104"/>
      <c r="F102" s="104"/>
      <c r="G102" s="104"/>
      <c r="H102" s="104"/>
      <c r="I102" s="104"/>
      <c r="J102" s="104"/>
      <c r="K102" s="104"/>
      <c r="L102" s="104"/>
      <c r="M102" s="104"/>
      <c r="N102" s="104"/>
    </row>
    <row r="103" spans="1:14" ht="13.2" x14ac:dyDescent="0.2">
      <c r="A103" s="104"/>
      <c r="B103" s="104"/>
      <c r="C103" s="104"/>
      <c r="D103" s="104"/>
      <c r="E103" s="104"/>
      <c r="F103" s="104"/>
      <c r="G103" s="104"/>
      <c r="H103" s="104"/>
      <c r="I103" s="104"/>
      <c r="J103" s="104"/>
      <c r="K103" s="104"/>
      <c r="L103" s="104"/>
      <c r="M103" s="104"/>
      <c r="N103" s="104"/>
    </row>
    <row r="104" spans="1:14" ht="13.2" x14ac:dyDescent="0.2">
      <c r="A104" s="104"/>
      <c r="B104" s="104"/>
      <c r="C104" s="104"/>
      <c r="D104" s="104"/>
      <c r="E104" s="104"/>
      <c r="F104" s="104"/>
      <c r="G104" s="104"/>
      <c r="H104" s="104"/>
      <c r="I104" s="104"/>
      <c r="J104" s="104"/>
      <c r="K104" s="104"/>
      <c r="L104" s="104"/>
      <c r="M104" s="104"/>
      <c r="N104" s="104"/>
    </row>
    <row r="105" spans="1:14" ht="13.2" x14ac:dyDescent="0.2">
      <c r="A105" s="104"/>
      <c r="B105" s="104"/>
      <c r="C105" s="104"/>
      <c r="D105" s="104"/>
      <c r="E105" s="104"/>
      <c r="F105" s="104"/>
      <c r="G105" s="104"/>
      <c r="H105" s="104"/>
      <c r="I105" s="104"/>
      <c r="J105" s="104"/>
      <c r="K105" s="104"/>
      <c r="L105" s="104"/>
      <c r="M105" s="104"/>
      <c r="N105" s="104"/>
    </row>
    <row r="106" spans="1:14" ht="13.2" x14ac:dyDescent="0.2">
      <c r="A106" s="104"/>
      <c r="B106" s="104"/>
      <c r="C106" s="104"/>
      <c r="D106" s="104"/>
      <c r="E106" s="104"/>
      <c r="F106" s="104"/>
      <c r="G106" s="104"/>
      <c r="H106" s="104"/>
      <c r="I106" s="104"/>
      <c r="J106" s="104"/>
      <c r="K106" s="104"/>
      <c r="L106" s="104"/>
      <c r="M106" s="104"/>
      <c r="N106" s="104"/>
    </row>
    <row r="107" spans="1:14" ht="13.2" x14ac:dyDescent="0.2">
      <c r="A107" s="104"/>
      <c r="B107" s="104"/>
      <c r="C107" s="104"/>
      <c r="D107" s="104"/>
      <c r="E107" s="104"/>
      <c r="F107" s="104"/>
      <c r="G107" s="104"/>
      <c r="H107" s="104"/>
      <c r="I107" s="104"/>
      <c r="J107" s="104"/>
      <c r="K107" s="104"/>
      <c r="L107" s="104"/>
      <c r="M107" s="104"/>
      <c r="N107" s="104"/>
    </row>
    <row r="108" spans="1:14" ht="13.2" x14ac:dyDescent="0.25">
      <c r="A108" s="66" t="s">
        <v>1</v>
      </c>
      <c r="G108" s="25"/>
      <c r="H108" s="25"/>
    </row>
    <row r="109" spans="1:14" ht="13.2" x14ac:dyDescent="0.25">
      <c r="D109" s="108"/>
      <c r="F109" s="107"/>
      <c r="G109" s="25"/>
    </row>
    <row r="110" spans="1:14" x14ac:dyDescent="0.2">
      <c r="A110" s="63" t="s">
        <v>170</v>
      </c>
      <c r="E110" s="68"/>
      <c r="F110" s="68"/>
      <c r="G110" s="68"/>
      <c r="H110" s="68"/>
      <c r="I110" s="68"/>
      <c r="J110" s="68"/>
      <c r="K110" s="68"/>
      <c r="L110" s="68"/>
    </row>
    <row r="111" spans="1:14" ht="13.2" x14ac:dyDescent="0.25">
      <c r="A111" s="63" t="s">
        <v>171</v>
      </c>
      <c r="B111" s="63" t="s">
        <v>142</v>
      </c>
      <c r="C111" s="146">
        <v>3.09</v>
      </c>
      <c r="E111" s="68"/>
      <c r="F111" s="68"/>
      <c r="G111" s="69"/>
      <c r="H111" s="68"/>
      <c r="I111" s="68"/>
      <c r="J111" s="68"/>
      <c r="K111" s="69"/>
      <c r="L111" s="34"/>
    </row>
    <row r="112" spans="1:14" ht="13.2" x14ac:dyDescent="0.25">
      <c r="C112" s="146">
        <v>0.01</v>
      </c>
      <c r="E112" s="68"/>
      <c r="F112" s="68"/>
      <c r="G112" s="69"/>
      <c r="H112" s="68"/>
      <c r="I112" s="68"/>
      <c r="J112" s="68"/>
      <c r="K112" s="69"/>
      <c r="L112" s="34"/>
    </row>
    <row r="113" spans="1:14" ht="13.2" x14ac:dyDescent="0.25">
      <c r="A113" s="63" t="s">
        <v>172</v>
      </c>
      <c r="B113" s="25"/>
      <c r="C113" s="146">
        <v>2.7400000000000001E-2</v>
      </c>
      <c r="E113" s="68"/>
      <c r="F113" s="34"/>
      <c r="G113" s="69"/>
      <c r="H113" s="68"/>
      <c r="I113" s="68"/>
      <c r="J113" s="34"/>
      <c r="K113" s="69"/>
      <c r="L113" s="34"/>
    </row>
    <row r="114" spans="1:14" ht="13.2" x14ac:dyDescent="0.25">
      <c r="A114" s="63" t="s">
        <v>173</v>
      </c>
      <c r="B114" s="25"/>
      <c r="C114" s="146">
        <v>2.2499999999999999E-2</v>
      </c>
      <c r="E114" s="68"/>
      <c r="F114" s="34"/>
      <c r="G114" s="69"/>
      <c r="H114" s="68"/>
      <c r="I114" s="68"/>
      <c r="J114" s="34"/>
      <c r="K114" s="69"/>
      <c r="L114" s="34"/>
    </row>
    <row r="115" spans="1:14" ht="13.2" x14ac:dyDescent="0.25">
      <c r="A115" s="63" t="s">
        <v>174</v>
      </c>
      <c r="B115" s="99"/>
      <c r="C115" s="147">
        <v>4.7199999999999999E-2</v>
      </c>
      <c r="E115" s="68"/>
      <c r="F115" s="96"/>
      <c r="G115" s="70"/>
      <c r="H115" s="68"/>
      <c r="I115" s="68"/>
      <c r="J115" s="96"/>
      <c r="K115" s="70"/>
      <c r="L115" s="34"/>
    </row>
    <row r="116" spans="1:14" ht="13.2" x14ac:dyDescent="0.25">
      <c r="A116" s="63" t="s">
        <v>175</v>
      </c>
      <c r="C116" s="148">
        <f>ROUND((+C111+C112)/(1-C115)+(C113+C114),4)-C111-C112</f>
        <v>0.20350000000000024</v>
      </c>
      <c r="E116" s="68"/>
      <c r="F116" s="68"/>
      <c r="G116" s="69"/>
      <c r="H116" s="68"/>
      <c r="I116" s="68"/>
      <c r="J116" s="68"/>
      <c r="K116" s="69"/>
      <c r="L116" s="34"/>
    </row>
    <row r="117" spans="1:14" ht="13.8" thickBot="1" x14ac:dyDescent="0.3">
      <c r="C117" s="149">
        <f>SUM(C116,C111:C112)</f>
        <v>3.3034999999999997</v>
      </c>
      <c r="D117" s="63" t="s">
        <v>398</v>
      </c>
      <c r="E117" s="68"/>
      <c r="F117" s="68"/>
      <c r="G117" s="68"/>
      <c r="H117" s="68"/>
      <c r="I117" s="68"/>
      <c r="J117" s="68"/>
      <c r="K117" s="68"/>
      <c r="L117" s="34"/>
      <c r="M117" s="64"/>
      <c r="N117" s="65"/>
    </row>
    <row r="118" spans="1:14" ht="13.8" thickTop="1" x14ac:dyDescent="0.25">
      <c r="B118" s="25"/>
      <c r="C118" s="65"/>
      <c r="G118" s="64"/>
      <c r="H118" s="97"/>
    </row>
    <row r="119" spans="1:14" ht="13.2" x14ac:dyDescent="0.25">
      <c r="K119" s="25"/>
      <c r="L119" s="65"/>
    </row>
    <row r="120" spans="1:14" ht="13.2" x14ac:dyDescent="0.2">
      <c r="A120" s="104"/>
      <c r="B120" s="104"/>
      <c r="C120" s="104"/>
      <c r="D120" s="104"/>
      <c r="E120" s="104"/>
      <c r="F120" s="104"/>
      <c r="G120" s="104"/>
      <c r="H120" s="104"/>
      <c r="I120" s="104"/>
      <c r="J120" s="104"/>
      <c r="K120" s="104"/>
      <c r="L120" s="104"/>
      <c r="M120" s="104"/>
      <c r="N120" s="104"/>
    </row>
    <row r="121" spans="1:14" x14ac:dyDescent="0.2">
      <c r="A121" s="63" t="s">
        <v>286</v>
      </c>
      <c r="E121" s="68"/>
      <c r="F121" s="68"/>
      <c r="G121" s="68"/>
      <c r="H121" s="68"/>
      <c r="I121" s="68"/>
      <c r="J121" s="68"/>
      <c r="K121" s="68"/>
      <c r="L121" s="68"/>
    </row>
    <row r="122" spans="1:14" ht="13.2" x14ac:dyDescent="0.25">
      <c r="A122" s="63" t="s">
        <v>171</v>
      </c>
      <c r="B122" s="63" t="s">
        <v>142</v>
      </c>
      <c r="C122" s="146">
        <v>3.09</v>
      </c>
      <c r="E122" s="68"/>
      <c r="F122" s="68"/>
      <c r="G122" s="69"/>
      <c r="H122" s="68"/>
      <c r="I122" s="68"/>
      <c r="J122" s="68"/>
      <c r="K122" s="69"/>
      <c r="L122" s="34"/>
    </row>
    <row r="123" spans="1:14" ht="13.2" x14ac:dyDescent="0.25">
      <c r="C123" s="146">
        <v>7.4999999999999997E-3</v>
      </c>
      <c r="E123" s="68"/>
      <c r="F123" s="68"/>
      <c r="G123" s="69"/>
      <c r="H123" s="68"/>
      <c r="I123" s="68"/>
      <c r="J123" s="68"/>
      <c r="K123" s="69"/>
      <c r="L123" s="34"/>
    </row>
    <row r="124" spans="1:14" ht="13.2" x14ac:dyDescent="0.25">
      <c r="A124" s="63" t="s">
        <v>172</v>
      </c>
      <c r="B124" s="25"/>
      <c r="C124" s="146">
        <v>1.4E-2</v>
      </c>
      <c r="E124" s="68"/>
      <c r="F124" s="34"/>
      <c r="G124" s="69"/>
      <c r="H124" s="68"/>
      <c r="I124" s="68"/>
      <c r="J124" s="34"/>
      <c r="K124" s="69"/>
      <c r="L124" s="34"/>
    </row>
    <row r="125" spans="1:14" ht="13.2" x14ac:dyDescent="0.25">
      <c r="A125" s="63" t="s">
        <v>173</v>
      </c>
      <c r="B125" s="25"/>
      <c r="C125" s="146">
        <v>2.2499999999999999E-2</v>
      </c>
      <c r="E125" s="68"/>
      <c r="F125" s="34"/>
      <c r="G125" s="69"/>
      <c r="H125" s="68"/>
      <c r="I125" s="68"/>
      <c r="J125" s="34"/>
      <c r="K125" s="69"/>
      <c r="L125" s="34"/>
    </row>
    <row r="126" spans="1:14" ht="13.2" x14ac:dyDescent="0.25">
      <c r="A126" s="63" t="s">
        <v>174</v>
      </c>
      <c r="B126" s="99"/>
      <c r="C126" s="147">
        <v>2.35E-2</v>
      </c>
      <c r="E126" s="68"/>
      <c r="F126" s="96"/>
      <c r="G126" s="70"/>
      <c r="H126" s="68"/>
      <c r="I126" s="68"/>
      <c r="J126" s="96"/>
      <c r="K126" s="70"/>
      <c r="L126" s="34"/>
    </row>
    <row r="127" spans="1:14" ht="13.2" x14ac:dyDescent="0.25">
      <c r="A127" s="63" t="s">
        <v>175</v>
      </c>
      <c r="C127" s="148">
        <f>ROUND((+C122+C123)/(1-C126)+(C124+C125),4)-C122-C123</f>
        <v>0.11100000000000004</v>
      </c>
      <c r="E127" s="68"/>
      <c r="F127" s="68"/>
      <c r="G127" s="69"/>
      <c r="H127" s="68"/>
      <c r="I127" s="68"/>
      <c r="J127" s="68"/>
      <c r="K127" s="69"/>
      <c r="L127" s="34"/>
    </row>
    <row r="128" spans="1:14" ht="13.8" thickBot="1" x14ac:dyDescent="0.3">
      <c r="C128" s="149">
        <f>SUM(C127,C122:C123)</f>
        <v>3.2084999999999999</v>
      </c>
      <c r="D128" s="63" t="s">
        <v>396</v>
      </c>
      <c r="E128" s="68"/>
      <c r="F128" s="68"/>
      <c r="G128" s="68"/>
      <c r="H128" s="68"/>
      <c r="I128" s="68"/>
      <c r="J128" s="68"/>
      <c r="K128" s="68"/>
      <c r="L128" s="34"/>
      <c r="M128" s="64"/>
      <c r="N128" s="65"/>
    </row>
    <row r="129" spans="1:14" ht="13.8" thickTop="1" x14ac:dyDescent="0.25">
      <c r="B129" s="25"/>
      <c r="C129" s="65"/>
      <c r="G129" s="64"/>
      <c r="H129" s="97"/>
    </row>
    <row r="130" spans="1:14" ht="13.2" x14ac:dyDescent="0.2">
      <c r="A130" s="104"/>
      <c r="B130" s="104"/>
      <c r="C130" s="104"/>
      <c r="D130" s="104"/>
      <c r="E130" s="104"/>
      <c r="F130" s="104"/>
      <c r="G130" s="104"/>
      <c r="H130" s="104"/>
      <c r="I130" s="104"/>
      <c r="J130" s="104"/>
      <c r="K130" s="104"/>
      <c r="L130" s="104"/>
      <c r="M130" s="104"/>
      <c r="N130" s="104"/>
    </row>
    <row r="131" spans="1:14" ht="13.2" x14ac:dyDescent="0.2">
      <c r="A131" s="104"/>
      <c r="B131" s="104"/>
      <c r="C131" s="104"/>
      <c r="D131" s="104"/>
      <c r="E131" s="104"/>
      <c r="F131" s="104"/>
      <c r="G131" s="104"/>
      <c r="H131" s="104"/>
      <c r="I131" s="104"/>
      <c r="J131" s="104"/>
      <c r="K131" s="104"/>
      <c r="L131" s="104"/>
      <c r="M131" s="104"/>
      <c r="N131" s="104"/>
    </row>
    <row r="132" spans="1:14" x14ac:dyDescent="0.2">
      <c r="A132" s="63" t="s">
        <v>287</v>
      </c>
      <c r="I132" s="63" t="s">
        <v>288</v>
      </c>
    </row>
    <row r="133" spans="1:14" ht="13.2" x14ac:dyDescent="0.25">
      <c r="A133" s="63" t="s">
        <v>171</v>
      </c>
      <c r="B133" s="63" t="s">
        <v>289</v>
      </c>
      <c r="C133" s="146">
        <v>3.1</v>
      </c>
      <c r="I133" s="63" t="s">
        <v>171</v>
      </c>
      <c r="J133" s="63" t="s">
        <v>289</v>
      </c>
      <c r="K133" s="146">
        <v>3.1</v>
      </c>
      <c r="L133" s="25"/>
    </row>
    <row r="134" spans="1:14" ht="13.2" x14ac:dyDescent="0.25">
      <c r="A134" s="63" t="s">
        <v>179</v>
      </c>
      <c r="C134" s="146">
        <v>1.7500000000000002E-2</v>
      </c>
      <c r="K134" s="146">
        <v>1.7500000000000002E-2</v>
      </c>
      <c r="L134" s="25"/>
    </row>
    <row r="135" spans="1:14" ht="13.2" x14ac:dyDescent="0.25">
      <c r="A135" s="63" t="s">
        <v>172</v>
      </c>
      <c r="B135" s="25"/>
      <c r="C135" s="146">
        <v>1.15E-2</v>
      </c>
      <c r="I135" s="63" t="s">
        <v>172</v>
      </c>
      <c r="J135" s="25"/>
      <c r="K135" s="146">
        <v>2.3E-3</v>
      </c>
      <c r="L135" s="25"/>
    </row>
    <row r="136" spans="1:14" ht="13.2" x14ac:dyDescent="0.25">
      <c r="A136" s="63" t="s">
        <v>173</v>
      </c>
      <c r="B136" s="25"/>
      <c r="C136" s="146">
        <v>9.4000000000000004E-3</v>
      </c>
      <c r="D136" s="63" t="s">
        <v>290</v>
      </c>
      <c r="I136" s="63" t="s">
        <v>173</v>
      </c>
      <c r="J136" s="25"/>
      <c r="K136" s="146">
        <v>9.4000000000000004E-3</v>
      </c>
      <c r="L136" s="63" t="s">
        <v>290</v>
      </c>
    </row>
    <row r="137" spans="1:14" ht="13.2" x14ac:dyDescent="0.25">
      <c r="A137" s="63" t="s">
        <v>174</v>
      </c>
      <c r="B137" s="99"/>
      <c r="C137" s="147">
        <v>1.9E-2</v>
      </c>
      <c r="I137" s="63" t="s">
        <v>174</v>
      </c>
      <c r="J137" s="99"/>
      <c r="K137" s="147">
        <v>1.9300000000000001E-2</v>
      </c>
      <c r="L137" s="25"/>
    </row>
    <row r="138" spans="1:14" ht="13.2" x14ac:dyDescent="0.25">
      <c r="A138" s="63" t="s">
        <v>175</v>
      </c>
      <c r="C138" s="148">
        <f>ROUND((+C133+C134)/(1-C137)+(C135+C136),4)-C133-C134</f>
        <v>8.1299999999999775E-2</v>
      </c>
      <c r="I138" s="63" t="s">
        <v>175</v>
      </c>
      <c r="K138" s="148">
        <f>ROUND((+K133+K134)/(1-K137)+(K135+K136),4)-K133-K134</f>
        <v>7.309999999999979E-2</v>
      </c>
      <c r="L138" s="25"/>
    </row>
    <row r="139" spans="1:14" ht="13.8" thickBot="1" x14ac:dyDescent="0.3">
      <c r="A139" s="63" t="s">
        <v>176</v>
      </c>
      <c r="C139" s="149">
        <f>SUM(C138,C133:C134)</f>
        <v>3.1987999999999999</v>
      </c>
      <c r="D139" s="63" t="s">
        <v>397</v>
      </c>
      <c r="I139" s="68" t="s">
        <v>176</v>
      </c>
      <c r="J139" s="68"/>
      <c r="K139" s="149">
        <f>SUM(K138,K133:K134)</f>
        <v>3.1905999999999999</v>
      </c>
      <c r="L139" s="25" t="s">
        <v>301</v>
      </c>
      <c r="M139" s="64"/>
      <c r="N139" s="65"/>
    </row>
    <row r="140" spans="1:14" ht="13.8" thickTop="1" x14ac:dyDescent="0.25">
      <c r="B140" s="25"/>
      <c r="C140" s="65"/>
      <c r="G140" s="64"/>
      <c r="H140" s="97"/>
    </row>
    <row r="141" spans="1:14" ht="13.2" x14ac:dyDescent="0.2">
      <c r="A141" s="104"/>
      <c r="B141" s="104"/>
      <c r="C141" s="104"/>
      <c r="D141" s="104"/>
      <c r="E141" s="104"/>
      <c r="F141" s="104"/>
      <c r="G141" s="104"/>
      <c r="H141" s="104"/>
      <c r="I141" s="104"/>
      <c r="J141" s="104"/>
      <c r="K141" s="104"/>
      <c r="L141" s="104"/>
      <c r="M141" s="104"/>
      <c r="N141" s="104"/>
    </row>
    <row r="142" spans="1:14" x14ac:dyDescent="0.2">
      <c r="A142" s="63" t="s">
        <v>291</v>
      </c>
    </row>
    <row r="143" spans="1:14" x14ac:dyDescent="0.2">
      <c r="A143" s="63" t="s">
        <v>171</v>
      </c>
      <c r="B143" s="63" t="s">
        <v>289</v>
      </c>
      <c r="C143" s="146">
        <v>3.1</v>
      </c>
      <c r="D143" s="63" t="s">
        <v>292</v>
      </c>
    </row>
    <row r="144" spans="1:14" ht="13.2" x14ac:dyDescent="0.25">
      <c r="A144" s="63" t="s">
        <v>172</v>
      </c>
      <c r="B144" s="25"/>
      <c r="C144" s="146">
        <v>2.0299999999999999E-2</v>
      </c>
    </row>
    <row r="145" spans="1:4" ht="13.2" x14ac:dyDescent="0.25">
      <c r="A145" s="63" t="s">
        <v>173</v>
      </c>
      <c r="B145" s="25"/>
      <c r="C145" s="146">
        <v>2.2499999999999999E-2</v>
      </c>
    </row>
    <row r="146" spans="1:4" x14ac:dyDescent="0.2">
      <c r="A146" s="63" t="s">
        <v>174</v>
      </c>
      <c r="B146" s="99"/>
      <c r="C146" s="147">
        <v>3.4299999999999997E-2</v>
      </c>
    </row>
    <row r="147" spans="1:4" x14ac:dyDescent="0.2">
      <c r="A147" s="63" t="s">
        <v>175</v>
      </c>
      <c r="C147" s="148">
        <v>0.14280000000000026</v>
      </c>
    </row>
    <row r="148" spans="1:4" x14ac:dyDescent="0.2">
      <c r="A148" s="63" t="s">
        <v>293</v>
      </c>
      <c r="C148" s="152">
        <v>0.27</v>
      </c>
    </row>
    <row r="149" spans="1:4" ht="12" thickBot="1" x14ac:dyDescent="0.25">
      <c r="A149" s="63" t="s">
        <v>176</v>
      </c>
      <c r="C149" s="149">
        <v>3.0428000000000002</v>
      </c>
      <c r="D149" s="63" t="s">
        <v>294</v>
      </c>
    </row>
    <row r="150" spans="1:4" ht="12" thickTop="1" x14ac:dyDescent="0.2">
      <c r="D150" s="63" t="s">
        <v>295</v>
      </c>
    </row>
    <row r="151" spans="1:4" x14ac:dyDescent="0.2">
      <c r="D151" s="63" t="s">
        <v>296</v>
      </c>
    </row>
    <row r="155" spans="1:4" x14ac:dyDescent="0.2">
      <c r="A155" s="63" t="s">
        <v>476</v>
      </c>
    </row>
    <row r="156" spans="1:4" x14ac:dyDescent="0.2">
      <c r="A156" s="63" t="s">
        <v>171</v>
      </c>
      <c r="B156" s="63" t="s">
        <v>142</v>
      </c>
      <c r="C156" s="146">
        <v>3.09</v>
      </c>
    </row>
    <row r="157" spans="1:4" x14ac:dyDescent="0.2">
      <c r="C157" s="146">
        <v>7.4999999999999997E-3</v>
      </c>
    </row>
    <row r="158" spans="1:4" ht="13.2" x14ac:dyDescent="0.25">
      <c r="A158" s="63" t="s">
        <v>172</v>
      </c>
      <c r="B158" s="25"/>
      <c r="C158" s="146">
        <v>2.2800000000000001E-2</v>
      </c>
    </row>
    <row r="159" spans="1:4" ht="13.2" x14ac:dyDescent="0.25">
      <c r="A159" s="63" t="s">
        <v>173</v>
      </c>
      <c r="B159" s="25"/>
      <c r="C159" s="146">
        <v>2.2499999999999999E-2</v>
      </c>
    </row>
    <row r="160" spans="1:4" x14ac:dyDescent="0.2">
      <c r="A160" s="63" t="s">
        <v>174</v>
      </c>
      <c r="B160" s="99"/>
      <c r="C160" s="147">
        <v>3.8800000000000001E-2</v>
      </c>
    </row>
    <row r="161" spans="1:4" x14ac:dyDescent="0.2">
      <c r="A161" s="63" t="s">
        <v>175</v>
      </c>
      <c r="C161" s="148">
        <f>ROUND((+C156+C157)/(1-C160)+(C158+C159),4)-C156-C157</f>
        <v>0.17029999999999995</v>
      </c>
    </row>
    <row r="162" spans="1:4" ht="12" thickBot="1" x14ac:dyDescent="0.25">
      <c r="A162" s="63" t="s">
        <v>176</v>
      </c>
      <c r="C162" s="149">
        <f>SUM(C161,C156:C157)</f>
        <v>3.2677999999999998</v>
      </c>
      <c r="D162" s="63" t="s">
        <v>477</v>
      </c>
    </row>
    <row r="163" spans="1:4" ht="12" thickTop="1" x14ac:dyDescent="0.2"/>
    <row r="169" spans="1:4" ht="12" x14ac:dyDescent="0.25">
      <c r="A169" s="67" t="s">
        <v>130</v>
      </c>
    </row>
    <row r="170" spans="1:4" x14ac:dyDescent="0.2">
      <c r="A170" s="63" t="s">
        <v>171</v>
      </c>
      <c r="B170" s="63" t="s">
        <v>478</v>
      </c>
      <c r="C170" s="146">
        <v>3.06</v>
      </c>
    </row>
    <row r="171" spans="1:4" x14ac:dyDescent="0.2">
      <c r="A171" s="63" t="s">
        <v>179</v>
      </c>
      <c r="C171" s="146">
        <v>-0.01</v>
      </c>
    </row>
    <row r="172" spans="1:4" x14ac:dyDescent="0.2">
      <c r="A172" s="63" t="s">
        <v>172</v>
      </c>
      <c r="C172" s="146">
        <v>3.2300000000000002E-2</v>
      </c>
    </row>
    <row r="173" spans="1:4" x14ac:dyDescent="0.2">
      <c r="A173" s="63" t="s">
        <v>173</v>
      </c>
      <c r="C173" s="146">
        <v>9.4000000000000004E-3</v>
      </c>
    </row>
    <row r="174" spans="1:4" x14ac:dyDescent="0.2">
      <c r="A174" s="63" t="s">
        <v>174</v>
      </c>
      <c r="C174" s="147">
        <v>2.6800000000000001E-2</v>
      </c>
    </row>
    <row r="175" spans="1:4" x14ac:dyDescent="0.2">
      <c r="A175" s="63" t="s">
        <v>175</v>
      </c>
      <c r="C175" s="148">
        <f>ROUND((+C170+C171)/(1-C174)+(C172+C173),4)-C170-C171</f>
        <v>0.12569999999999992</v>
      </c>
    </row>
    <row r="176" spans="1:4" ht="12" thickBot="1" x14ac:dyDescent="0.25">
      <c r="A176" s="63" t="s">
        <v>176</v>
      </c>
      <c r="C176" s="149">
        <f>SUM(C175,C170:C171)</f>
        <v>3.1757</v>
      </c>
      <c r="D176" s="63" t="s">
        <v>3</v>
      </c>
    </row>
    <row r="177" spans="1:4" ht="12" thickTop="1" x14ac:dyDescent="0.2"/>
    <row r="179" spans="1:4" ht="12" x14ac:dyDescent="0.25">
      <c r="A179" s="67" t="s">
        <v>337</v>
      </c>
    </row>
    <row r="180" spans="1:4" x14ac:dyDescent="0.2">
      <c r="A180" s="63" t="s">
        <v>171</v>
      </c>
      <c r="B180" s="63" t="s">
        <v>479</v>
      </c>
      <c r="C180" s="146">
        <v>3.07</v>
      </c>
    </row>
    <row r="181" spans="1:4" x14ac:dyDescent="0.2">
      <c r="A181" s="63" t="s">
        <v>179</v>
      </c>
      <c r="C181" s="146">
        <v>7.4999999999999997E-3</v>
      </c>
    </row>
    <row r="182" spans="1:4" x14ac:dyDescent="0.2">
      <c r="A182" s="63" t="s">
        <v>172</v>
      </c>
      <c r="C182" s="146">
        <v>2.1000000000000001E-2</v>
      </c>
    </row>
    <row r="183" spans="1:4" x14ac:dyDescent="0.2">
      <c r="A183" s="63" t="s">
        <v>173</v>
      </c>
      <c r="C183" s="146">
        <f>0.0022+0.0072</f>
        <v>9.4000000000000004E-3</v>
      </c>
    </row>
    <row r="184" spans="1:4" x14ac:dyDescent="0.2">
      <c r="A184" s="63" t="s">
        <v>174</v>
      </c>
      <c r="C184" s="147">
        <v>2.5999999999999999E-2</v>
      </c>
    </row>
    <row r="185" spans="1:4" x14ac:dyDescent="0.2">
      <c r="A185" s="63" t="s">
        <v>175</v>
      </c>
      <c r="C185" s="148">
        <f>ROUND((+C180+C181)/(1-C184)-(C180+C181)+C182+C183,4)</f>
        <v>0.11260000000000001</v>
      </c>
    </row>
    <row r="186" spans="1:4" ht="12" thickBot="1" x14ac:dyDescent="0.25">
      <c r="A186" s="63" t="s">
        <v>176</v>
      </c>
      <c r="C186" s="149">
        <f>SUM(C185,C180:C181)</f>
        <v>3.1900999999999997</v>
      </c>
      <c r="D186" s="63" t="s">
        <v>480</v>
      </c>
    </row>
    <row r="187" spans="1:4" ht="12" thickTop="1" x14ac:dyDescent="0.2"/>
  </sheetData>
  <pageMargins left="0.75" right="0.75" top="1" bottom="1" header="0.5" footer="0.5"/>
  <pageSetup orientation="portrait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121"/>
  <sheetViews>
    <sheetView topLeftCell="E1" workbookViewId="0">
      <selection activeCell="J94" sqref="J94"/>
    </sheetView>
  </sheetViews>
  <sheetFormatPr defaultColWidth="9.109375" defaultRowHeight="13.2" x14ac:dyDescent="0.25"/>
  <cols>
    <col min="1" max="1" width="9.109375" style="25"/>
    <col min="2" max="2" width="10" style="25" customWidth="1"/>
    <col min="3" max="3" width="9.109375" style="25"/>
    <col min="4" max="4" width="10.5546875" style="25" customWidth="1"/>
    <col min="5" max="5" width="9.33203125" style="25" customWidth="1"/>
    <col min="6" max="6" width="9.5546875" style="25" customWidth="1"/>
    <col min="7" max="7" width="12.44140625" style="27" customWidth="1"/>
    <col min="8" max="8" width="14" style="27" customWidth="1"/>
    <col min="9" max="9" width="10.6640625" style="25" customWidth="1"/>
    <col min="10" max="10" width="7.6640625" style="25" customWidth="1"/>
    <col min="11" max="14" width="0" style="25" hidden="1" customWidth="1"/>
    <col min="15" max="15" width="0" style="47" hidden="1" customWidth="1"/>
    <col min="16" max="16" width="0" style="25" hidden="1" customWidth="1"/>
    <col min="17" max="17" width="11.6640625" style="25" customWidth="1"/>
    <col min="18" max="18" width="9.44140625" style="25" customWidth="1"/>
    <col min="19" max="19" width="12.33203125" style="25" customWidth="1"/>
    <col min="20" max="20" width="10.6640625" style="25" customWidth="1"/>
    <col min="21" max="21" width="11.88671875" style="25" customWidth="1"/>
    <col min="22" max="22" width="14.88671875" style="38" customWidth="1"/>
    <col min="23" max="23" width="42.33203125" style="27" customWidth="1"/>
    <col min="24" max="25" width="9.109375" style="38"/>
    <col min="26" max="26" width="12.44140625" style="25" customWidth="1"/>
    <col min="27" max="16384" width="9.109375" style="25"/>
  </cols>
  <sheetData>
    <row r="1" spans="2:25" x14ac:dyDescent="0.25">
      <c r="B1" s="41" t="s">
        <v>403</v>
      </c>
      <c r="C1" s="3"/>
      <c r="D1" s="3"/>
      <c r="E1" s="4"/>
      <c r="F1" s="4"/>
      <c r="G1" s="1"/>
      <c r="H1" s="1"/>
      <c r="I1" s="3" t="s">
        <v>19</v>
      </c>
      <c r="J1" s="7">
        <v>31</v>
      </c>
      <c r="K1" s="48" t="s">
        <v>38</v>
      </c>
      <c r="L1" s="5"/>
      <c r="M1" s="5"/>
      <c r="N1" s="5"/>
      <c r="O1" s="43"/>
      <c r="P1" s="5"/>
      <c r="Q1" s="24"/>
      <c r="R1" s="2"/>
      <c r="S1" s="28"/>
      <c r="T1" s="28"/>
      <c r="U1" s="28"/>
      <c r="V1" s="52"/>
      <c r="W1" s="58"/>
      <c r="X1" s="35"/>
      <c r="Y1" s="35"/>
    </row>
    <row r="2" spans="2:25" x14ac:dyDescent="0.25">
      <c r="B2" s="1" t="s">
        <v>33</v>
      </c>
      <c r="C2" s="1"/>
      <c r="D2" s="1"/>
      <c r="E2" s="4"/>
      <c r="F2" s="4"/>
      <c r="G2" s="1"/>
      <c r="H2" s="1"/>
      <c r="I2" s="3"/>
      <c r="J2" s="7"/>
      <c r="K2" s="48" t="s">
        <v>39</v>
      </c>
      <c r="L2" s="5"/>
      <c r="M2" s="5"/>
      <c r="N2" s="5"/>
      <c r="O2" s="43"/>
      <c r="P2" s="5"/>
      <c r="Q2" s="24"/>
      <c r="R2" s="2"/>
      <c r="S2" s="28"/>
      <c r="T2" s="28"/>
      <c r="U2" s="28"/>
      <c r="V2" s="52"/>
      <c r="W2" s="58"/>
      <c r="X2" s="35"/>
      <c r="Y2" s="35"/>
    </row>
    <row r="3" spans="2:25" x14ac:dyDescent="0.25">
      <c r="B3" s="1" t="s">
        <v>34</v>
      </c>
      <c r="C3" s="1"/>
      <c r="D3" s="1"/>
      <c r="E3" s="4"/>
      <c r="F3" s="4"/>
      <c r="G3" s="6" t="s">
        <v>3</v>
      </c>
      <c r="H3" s="1" t="s">
        <v>3</v>
      </c>
      <c r="I3" s="2" t="s">
        <v>3</v>
      </c>
      <c r="J3" s="8"/>
      <c r="K3" s="31" t="s">
        <v>3</v>
      </c>
      <c r="L3" s="5"/>
      <c r="M3" s="31" t="s">
        <v>3</v>
      </c>
      <c r="N3" s="5"/>
      <c r="O3" s="43"/>
      <c r="P3" s="31" t="s">
        <v>3</v>
      </c>
      <c r="Q3" s="24"/>
      <c r="R3" s="2"/>
      <c r="S3" s="28"/>
      <c r="T3" s="28"/>
      <c r="U3" s="28"/>
      <c r="V3" s="52"/>
      <c r="W3" s="58"/>
      <c r="X3" s="35"/>
      <c r="Y3" s="35"/>
    </row>
    <row r="4" spans="2:25" x14ac:dyDescent="0.25">
      <c r="B4" s="1"/>
      <c r="C4" s="3"/>
      <c r="D4" s="3"/>
      <c r="E4" s="4"/>
      <c r="F4" s="4"/>
      <c r="G4" s="32"/>
      <c r="H4" s="1"/>
      <c r="I4" s="32"/>
      <c r="J4" s="8"/>
      <c r="K4" s="32"/>
      <c r="L4" s="5"/>
      <c r="M4" s="32"/>
      <c r="N4" s="2"/>
      <c r="O4" s="43"/>
      <c r="P4" s="2"/>
      <c r="Q4" s="24"/>
      <c r="R4" s="2"/>
      <c r="S4" s="28"/>
      <c r="T4" s="33"/>
      <c r="U4" s="33"/>
      <c r="V4" s="53"/>
      <c r="W4" s="58"/>
      <c r="X4" s="35"/>
      <c r="Y4" s="35"/>
    </row>
    <row r="5" spans="2:25" x14ac:dyDescent="0.25">
      <c r="B5" s="1" t="s">
        <v>40</v>
      </c>
      <c r="C5" s="3"/>
      <c r="D5" s="1"/>
      <c r="E5" s="4"/>
      <c r="F5" s="4"/>
      <c r="G5" s="32"/>
      <c r="H5" s="1"/>
      <c r="I5" s="32"/>
      <c r="J5" s="8"/>
      <c r="K5" s="32"/>
      <c r="L5" s="5"/>
      <c r="M5" s="32"/>
      <c r="N5" s="2"/>
      <c r="O5" s="43"/>
      <c r="P5" s="2"/>
      <c r="Q5" s="24"/>
      <c r="R5" s="2"/>
      <c r="S5" s="28"/>
      <c r="T5" s="33"/>
      <c r="U5" s="33"/>
      <c r="V5" s="53"/>
      <c r="W5" s="58"/>
      <c r="X5" s="35"/>
      <c r="Y5" s="35"/>
    </row>
    <row r="6" spans="2:25" x14ac:dyDescent="0.25">
      <c r="B6" s="1"/>
      <c r="C6" s="3" t="s">
        <v>184</v>
      </c>
      <c r="D6" s="3"/>
      <c r="E6" s="4"/>
      <c r="F6" s="4"/>
      <c r="G6" s="32"/>
      <c r="H6" s="1"/>
      <c r="I6" s="32"/>
      <c r="J6" s="8"/>
      <c r="K6" s="32"/>
      <c r="L6" s="5"/>
      <c r="M6" s="32"/>
      <c r="N6" s="2"/>
      <c r="O6" s="43"/>
      <c r="P6" s="2"/>
      <c r="Q6" s="24"/>
      <c r="R6" s="2"/>
      <c r="S6" s="28"/>
      <c r="T6" s="33"/>
      <c r="U6" s="33"/>
      <c r="V6" s="53"/>
      <c r="W6" s="58"/>
      <c r="X6" s="35"/>
      <c r="Y6" s="35"/>
    </row>
    <row r="7" spans="2:25" x14ac:dyDescent="0.25">
      <c r="B7" s="1"/>
      <c r="C7" s="3"/>
      <c r="D7" s="3"/>
      <c r="E7" s="4"/>
      <c r="F7" s="4"/>
      <c r="G7" s="32"/>
      <c r="H7" s="1"/>
      <c r="I7" s="32"/>
      <c r="J7" s="8"/>
      <c r="K7" s="32"/>
      <c r="L7" s="5"/>
      <c r="M7" s="32"/>
      <c r="N7" s="2"/>
      <c r="O7" s="43"/>
      <c r="P7" s="2"/>
      <c r="Q7" s="24"/>
      <c r="R7" s="2"/>
      <c r="S7" s="28"/>
      <c r="T7" s="33"/>
      <c r="U7" s="33"/>
      <c r="V7" s="53"/>
      <c r="W7" s="58"/>
      <c r="X7" s="35"/>
      <c r="Y7" s="35"/>
    </row>
    <row r="8" spans="2:25" x14ac:dyDescent="0.25">
      <c r="B8" s="1"/>
      <c r="C8" s="3"/>
      <c r="D8" s="3"/>
      <c r="E8" s="4"/>
      <c r="F8" s="4"/>
      <c r="G8" s="32"/>
      <c r="H8" s="1"/>
      <c r="I8" s="32"/>
      <c r="J8" s="8"/>
      <c r="K8" s="32"/>
      <c r="L8" s="5"/>
      <c r="M8" s="32"/>
      <c r="N8" s="2"/>
      <c r="O8" s="43"/>
      <c r="P8" s="2"/>
      <c r="Q8" s="24"/>
      <c r="R8" s="2"/>
      <c r="S8" s="28"/>
      <c r="T8" s="33"/>
      <c r="U8" s="33"/>
      <c r="V8" s="53"/>
      <c r="W8" s="58"/>
      <c r="X8" s="35"/>
      <c r="Y8" s="35"/>
    </row>
    <row r="9" spans="2:25" x14ac:dyDescent="0.25">
      <c r="B9" s="1"/>
      <c r="C9" s="3"/>
      <c r="D9" s="3"/>
      <c r="E9" s="4"/>
      <c r="F9" s="4"/>
      <c r="G9" s="32"/>
      <c r="H9" s="1"/>
      <c r="I9" s="32"/>
      <c r="J9" s="8"/>
      <c r="K9" s="32"/>
      <c r="L9" s="5"/>
      <c r="M9" s="32"/>
      <c r="N9" s="2"/>
      <c r="O9" s="43"/>
      <c r="P9" s="2"/>
      <c r="Q9" s="24"/>
      <c r="R9" s="2"/>
      <c r="S9" s="28"/>
      <c r="T9" s="33"/>
      <c r="U9" s="33"/>
      <c r="V9" s="53"/>
      <c r="W9" s="58"/>
      <c r="X9" s="35"/>
      <c r="Y9" s="35"/>
    </row>
    <row r="10" spans="2:25" x14ac:dyDescent="0.25">
      <c r="B10" s="1"/>
      <c r="C10" s="3"/>
      <c r="D10" s="3"/>
      <c r="E10" s="4"/>
      <c r="F10" s="4"/>
      <c r="G10" s="32"/>
      <c r="H10" s="1"/>
      <c r="I10" s="32"/>
      <c r="J10" s="8"/>
      <c r="K10" s="32"/>
      <c r="L10" s="5"/>
      <c r="M10" s="32"/>
      <c r="N10" s="2"/>
      <c r="O10" s="43"/>
      <c r="P10" s="2"/>
      <c r="Q10" s="24"/>
      <c r="R10" s="2"/>
      <c r="S10" s="28"/>
      <c r="T10" s="33"/>
      <c r="U10" s="33"/>
      <c r="V10" s="53"/>
      <c r="W10" s="58"/>
      <c r="X10" s="35"/>
      <c r="Y10" s="35"/>
    </row>
    <row r="11" spans="2:25" x14ac:dyDescent="0.25">
      <c r="B11" s="16" t="s">
        <v>4</v>
      </c>
      <c r="C11" s="17" t="s">
        <v>5</v>
      </c>
      <c r="D11" s="17" t="s">
        <v>6</v>
      </c>
      <c r="E11" s="18" t="s">
        <v>7</v>
      </c>
      <c r="F11" s="18"/>
      <c r="G11" s="16" t="s">
        <v>8</v>
      </c>
      <c r="H11" s="16" t="s">
        <v>9</v>
      </c>
      <c r="I11" s="17" t="s">
        <v>49</v>
      </c>
      <c r="J11" s="19" t="s">
        <v>10</v>
      </c>
      <c r="K11" s="17" t="s">
        <v>11</v>
      </c>
      <c r="L11" s="17" t="s">
        <v>12</v>
      </c>
      <c r="M11" s="17" t="s">
        <v>13</v>
      </c>
      <c r="N11" s="17" t="s">
        <v>14</v>
      </c>
      <c r="O11" s="44" t="s">
        <v>15</v>
      </c>
      <c r="P11" s="17" t="s">
        <v>16</v>
      </c>
      <c r="Q11" s="20" t="s">
        <v>181</v>
      </c>
      <c r="R11" s="17" t="s">
        <v>17</v>
      </c>
      <c r="S11" s="16" t="s">
        <v>18</v>
      </c>
      <c r="T11" s="21" t="s">
        <v>48</v>
      </c>
      <c r="U11" s="21" t="s">
        <v>47</v>
      </c>
      <c r="V11" s="54" t="s">
        <v>182</v>
      </c>
      <c r="W11" s="59" t="e">
        <f>+#REF!</f>
        <v>#REF!</v>
      </c>
      <c r="X11" s="36"/>
      <c r="Y11" s="36"/>
    </row>
    <row r="12" spans="2:25" s="62" customFormat="1" x14ac:dyDescent="0.25">
      <c r="B12" s="1" t="s">
        <v>183</v>
      </c>
      <c r="C12" s="3" t="s">
        <v>36</v>
      </c>
      <c r="D12" s="3" t="s">
        <v>123</v>
      </c>
      <c r="E12" s="4">
        <v>36281</v>
      </c>
      <c r="F12" s="4">
        <v>36646</v>
      </c>
      <c r="G12" s="1" t="s">
        <v>37</v>
      </c>
      <c r="H12" s="1" t="s">
        <v>30</v>
      </c>
      <c r="I12" s="3" t="s">
        <v>122</v>
      </c>
      <c r="J12" s="8">
        <f t="shared" ref="J12:J21" si="0">3.145/J$1</f>
        <v>0.10145161290322581</v>
      </c>
      <c r="K12" s="5">
        <v>1.32E-2</v>
      </c>
      <c r="L12" s="5">
        <v>2.2000000000000001E-3</v>
      </c>
      <c r="M12" s="5">
        <v>0</v>
      </c>
      <c r="N12" s="5">
        <v>0</v>
      </c>
      <c r="O12" s="43">
        <v>2.1160000000000002E-2</v>
      </c>
      <c r="P12" s="5">
        <f t="shared" ref="P12:P21" si="1">SUM(J12:N12)</f>
        <v>0.11685161290322581</v>
      </c>
      <c r="Q12" s="24">
        <v>63562</v>
      </c>
      <c r="R12" s="3">
        <v>34</v>
      </c>
      <c r="S12" s="1"/>
      <c r="T12" s="9">
        <f t="shared" ref="T12:T26" si="2">J12*J$1*R12</f>
        <v>106.93</v>
      </c>
      <c r="U12" s="9"/>
      <c r="V12" s="56">
        <v>156613</v>
      </c>
      <c r="W12" s="1"/>
      <c r="X12" s="36"/>
      <c r="Y12" s="36"/>
    </row>
    <row r="13" spans="2:25" s="111" customFormat="1" x14ac:dyDescent="0.25">
      <c r="B13" s="112" t="s">
        <v>183</v>
      </c>
      <c r="C13" s="113" t="s">
        <v>36</v>
      </c>
      <c r="D13" s="113" t="s">
        <v>123</v>
      </c>
      <c r="E13" s="114">
        <v>36678</v>
      </c>
      <c r="F13" s="114">
        <v>37042</v>
      </c>
      <c r="G13" s="112" t="s">
        <v>37</v>
      </c>
      <c r="H13" s="112" t="s">
        <v>30</v>
      </c>
      <c r="I13" s="113" t="s">
        <v>122</v>
      </c>
      <c r="J13" s="116">
        <f t="shared" si="0"/>
        <v>0.10145161290322581</v>
      </c>
      <c r="K13" s="117">
        <v>1.32E-2</v>
      </c>
      <c r="L13" s="117">
        <v>2.2000000000000001E-3</v>
      </c>
      <c r="M13" s="117">
        <v>0</v>
      </c>
      <c r="N13" s="117">
        <v>0</v>
      </c>
      <c r="O13" s="118">
        <v>2.1160000000000002E-2</v>
      </c>
      <c r="P13" s="117">
        <f t="shared" si="1"/>
        <v>0.11685161290322581</v>
      </c>
      <c r="Q13" s="122">
        <v>68360</v>
      </c>
      <c r="R13" s="113">
        <v>291</v>
      </c>
      <c r="S13" s="112"/>
      <c r="T13" s="120">
        <f t="shared" si="2"/>
        <v>915.19500000000005</v>
      </c>
      <c r="U13" s="120"/>
      <c r="V13" s="121">
        <v>271311</v>
      </c>
      <c r="W13" s="112"/>
      <c r="X13" s="125"/>
      <c r="Y13" s="125"/>
    </row>
    <row r="14" spans="2:25" s="111" customFormat="1" x14ac:dyDescent="0.25">
      <c r="B14" s="112" t="s">
        <v>183</v>
      </c>
      <c r="C14" s="113" t="s">
        <v>36</v>
      </c>
      <c r="D14" s="113" t="s">
        <v>46</v>
      </c>
      <c r="E14" s="114">
        <v>36678</v>
      </c>
      <c r="F14" s="114">
        <v>37042</v>
      </c>
      <c r="G14" s="112" t="s">
        <v>37</v>
      </c>
      <c r="H14" s="112" t="s">
        <v>30</v>
      </c>
      <c r="I14" s="113" t="s">
        <v>122</v>
      </c>
      <c r="J14" s="116">
        <f t="shared" si="0"/>
        <v>0.10145161290322581</v>
      </c>
      <c r="K14" s="117">
        <v>1.32E-2</v>
      </c>
      <c r="L14" s="117">
        <v>2.2000000000000001E-3</v>
      </c>
      <c r="M14" s="117">
        <v>0</v>
      </c>
      <c r="N14" s="117">
        <v>0</v>
      </c>
      <c r="O14" s="118">
        <v>2.1160000000000002E-2</v>
      </c>
      <c r="P14" s="117">
        <f t="shared" si="1"/>
        <v>0.11685161290322581</v>
      </c>
      <c r="Q14" s="122">
        <v>68385</v>
      </c>
      <c r="R14" s="113">
        <v>223</v>
      </c>
      <c r="S14" s="112"/>
      <c r="T14" s="120">
        <f t="shared" si="2"/>
        <v>701.33500000000004</v>
      </c>
      <c r="U14" s="120"/>
      <c r="V14" s="121">
        <v>280550</v>
      </c>
      <c r="W14" s="112"/>
      <c r="X14" s="125"/>
      <c r="Y14" s="125"/>
    </row>
    <row r="15" spans="2:25" s="62" customFormat="1" x14ac:dyDescent="0.25">
      <c r="B15" s="1" t="s">
        <v>183</v>
      </c>
      <c r="C15" s="3" t="s">
        <v>36</v>
      </c>
      <c r="D15" s="3" t="s">
        <v>46</v>
      </c>
      <c r="E15" s="4">
        <v>36342</v>
      </c>
      <c r="F15" s="4">
        <v>36707</v>
      </c>
      <c r="G15" s="1" t="s">
        <v>37</v>
      </c>
      <c r="H15" s="1" t="s">
        <v>30</v>
      </c>
      <c r="I15" s="3" t="s">
        <v>122</v>
      </c>
      <c r="J15" s="8">
        <f t="shared" si="0"/>
        <v>0.10145161290322581</v>
      </c>
      <c r="K15" s="5">
        <v>1.32E-2</v>
      </c>
      <c r="L15" s="5">
        <v>2.2000000000000001E-3</v>
      </c>
      <c r="M15" s="5">
        <v>0</v>
      </c>
      <c r="N15" s="5">
        <v>0</v>
      </c>
      <c r="O15" s="43">
        <v>2.1160000000000002E-2</v>
      </c>
      <c r="P15" s="5">
        <f t="shared" si="1"/>
        <v>0.11685161290322581</v>
      </c>
      <c r="Q15" s="24">
        <v>64033</v>
      </c>
      <c r="R15" s="3">
        <v>1</v>
      </c>
      <c r="S15" s="1"/>
      <c r="T15" s="9">
        <f t="shared" si="2"/>
        <v>3.145</v>
      </c>
      <c r="U15" s="9"/>
      <c r="V15" s="56">
        <v>156618</v>
      </c>
      <c r="W15" s="1"/>
      <c r="X15" s="36"/>
      <c r="Y15" s="36"/>
    </row>
    <row r="16" spans="2:25" s="62" customFormat="1" x14ac:dyDescent="0.25">
      <c r="B16" s="1" t="s">
        <v>183</v>
      </c>
      <c r="C16" s="3" t="s">
        <v>36</v>
      </c>
      <c r="D16" s="3" t="s">
        <v>123</v>
      </c>
      <c r="E16" s="4">
        <v>36342</v>
      </c>
      <c r="F16" s="4">
        <v>36707</v>
      </c>
      <c r="G16" s="1" t="s">
        <v>37</v>
      </c>
      <c r="H16" s="1" t="s">
        <v>30</v>
      </c>
      <c r="I16" s="3" t="s">
        <v>122</v>
      </c>
      <c r="J16" s="8">
        <f t="shared" si="0"/>
        <v>0.10145161290322581</v>
      </c>
      <c r="K16" s="5">
        <v>1.32E-2</v>
      </c>
      <c r="L16" s="5">
        <v>2.2000000000000001E-3</v>
      </c>
      <c r="M16" s="5">
        <v>0</v>
      </c>
      <c r="N16" s="5">
        <v>0</v>
      </c>
      <c r="O16" s="43">
        <v>2.1160000000000002E-2</v>
      </c>
      <c r="P16" s="5">
        <f t="shared" si="1"/>
        <v>0.11685161290322581</v>
      </c>
      <c r="Q16" s="24">
        <v>64035</v>
      </c>
      <c r="R16" s="3">
        <v>931</v>
      </c>
      <c r="S16" s="1"/>
      <c r="T16" s="9">
        <f t="shared" si="2"/>
        <v>2927.9949999999999</v>
      </c>
      <c r="U16" s="9"/>
      <c r="V16" s="56">
        <v>156620</v>
      </c>
      <c r="W16" s="1"/>
      <c r="X16" s="36"/>
      <c r="Y16" s="36"/>
    </row>
    <row r="17" spans="2:25" s="62" customFormat="1" x14ac:dyDescent="0.25">
      <c r="B17" s="1" t="s">
        <v>183</v>
      </c>
      <c r="C17" s="3" t="s">
        <v>36</v>
      </c>
      <c r="D17" s="3" t="s">
        <v>46</v>
      </c>
      <c r="E17" s="4">
        <v>36373</v>
      </c>
      <c r="F17" s="4">
        <v>36738</v>
      </c>
      <c r="G17" s="1" t="s">
        <v>37</v>
      </c>
      <c r="H17" s="1" t="s">
        <v>30</v>
      </c>
      <c r="I17" s="3" t="s">
        <v>122</v>
      </c>
      <c r="J17" s="8">
        <f t="shared" si="0"/>
        <v>0.10145161290322581</v>
      </c>
      <c r="K17" s="5">
        <v>1.32E-2</v>
      </c>
      <c r="L17" s="5">
        <v>2.2000000000000001E-3</v>
      </c>
      <c r="M17" s="5">
        <v>0</v>
      </c>
      <c r="N17" s="5">
        <v>0</v>
      </c>
      <c r="O17" s="43">
        <v>2.1160000000000002E-2</v>
      </c>
      <c r="P17" s="5">
        <f t="shared" si="1"/>
        <v>0.11685161290322581</v>
      </c>
      <c r="Q17" s="24">
        <v>64332</v>
      </c>
      <c r="R17" s="3">
        <v>12</v>
      </c>
      <c r="S17" s="1"/>
      <c r="T17" s="9">
        <f t="shared" si="2"/>
        <v>37.74</v>
      </c>
      <c r="U17" s="9"/>
      <c r="V17" s="56">
        <v>156621</v>
      </c>
      <c r="W17" s="1"/>
      <c r="X17" s="36"/>
      <c r="Y17" s="36"/>
    </row>
    <row r="18" spans="2:25" s="62" customFormat="1" x14ac:dyDescent="0.25">
      <c r="B18" s="1" t="s">
        <v>183</v>
      </c>
      <c r="C18" s="3" t="s">
        <v>36</v>
      </c>
      <c r="D18" s="3" t="s">
        <v>123</v>
      </c>
      <c r="E18" s="4">
        <v>36373</v>
      </c>
      <c r="F18" s="4">
        <v>36738</v>
      </c>
      <c r="G18" s="1" t="s">
        <v>37</v>
      </c>
      <c r="H18" s="1" t="s">
        <v>30</v>
      </c>
      <c r="I18" s="3" t="s">
        <v>122</v>
      </c>
      <c r="J18" s="8">
        <f t="shared" si="0"/>
        <v>0.10145161290322581</v>
      </c>
      <c r="K18" s="5">
        <v>1.32E-2</v>
      </c>
      <c r="L18" s="5">
        <v>2.2000000000000001E-3</v>
      </c>
      <c r="M18" s="5">
        <v>0</v>
      </c>
      <c r="N18" s="5">
        <v>0</v>
      </c>
      <c r="O18" s="43">
        <v>2.1160000000000002E-2</v>
      </c>
      <c r="P18" s="5">
        <f t="shared" si="1"/>
        <v>0.11685161290322581</v>
      </c>
      <c r="Q18" s="24">
        <v>64334</v>
      </c>
      <c r="R18" s="3">
        <v>52</v>
      </c>
      <c r="S18" s="1"/>
      <c r="T18" s="9">
        <f t="shared" si="2"/>
        <v>163.54</v>
      </c>
      <c r="U18" s="9"/>
      <c r="V18" s="56">
        <v>221878</v>
      </c>
      <c r="W18" s="1"/>
      <c r="X18" s="36"/>
      <c r="Y18" s="36"/>
    </row>
    <row r="19" spans="2:25" s="62" customFormat="1" x14ac:dyDescent="0.25">
      <c r="B19" s="1" t="s">
        <v>183</v>
      </c>
      <c r="C19" s="3" t="s">
        <v>36</v>
      </c>
      <c r="D19" s="3"/>
      <c r="E19" s="4">
        <v>36373</v>
      </c>
      <c r="F19" s="4">
        <v>36738</v>
      </c>
      <c r="G19" s="1" t="s">
        <v>37</v>
      </c>
      <c r="H19" s="1" t="s">
        <v>300</v>
      </c>
      <c r="I19" s="3" t="s">
        <v>122</v>
      </c>
      <c r="J19" s="8">
        <f t="shared" si="0"/>
        <v>0.10145161290322581</v>
      </c>
      <c r="K19" s="5">
        <v>1.32E-2</v>
      </c>
      <c r="L19" s="5">
        <v>2.2000000000000001E-3</v>
      </c>
      <c r="M19" s="5">
        <v>0</v>
      </c>
      <c r="N19" s="5">
        <v>0</v>
      </c>
      <c r="O19" s="43">
        <v>2.1160000000000002E-2</v>
      </c>
      <c r="P19" s="5">
        <f>SUM(J19:N19)</f>
        <v>0.11685161290322581</v>
      </c>
      <c r="Q19" s="24">
        <v>64446</v>
      </c>
      <c r="R19" s="3">
        <v>142</v>
      </c>
      <c r="S19" s="1"/>
      <c r="T19" s="9">
        <f t="shared" si="2"/>
        <v>446.59</v>
      </c>
      <c r="U19" s="9"/>
      <c r="V19" s="56">
        <v>221881</v>
      </c>
      <c r="W19" s="1"/>
      <c r="X19" s="36"/>
      <c r="Y19" s="36"/>
    </row>
    <row r="20" spans="2:25" s="62" customFormat="1" x14ac:dyDescent="0.25">
      <c r="B20" s="1" t="s">
        <v>183</v>
      </c>
      <c r="C20" s="3" t="s">
        <v>36</v>
      </c>
      <c r="D20" s="3" t="s">
        <v>46</v>
      </c>
      <c r="E20" s="4">
        <v>36404</v>
      </c>
      <c r="F20" s="4">
        <v>36769</v>
      </c>
      <c r="G20" s="1" t="s">
        <v>37</v>
      </c>
      <c r="H20" s="1" t="s">
        <v>30</v>
      </c>
      <c r="I20" s="3" t="s">
        <v>122</v>
      </c>
      <c r="J20" s="8">
        <f t="shared" si="0"/>
        <v>0.10145161290322581</v>
      </c>
      <c r="K20" s="5">
        <v>1.32E-2</v>
      </c>
      <c r="L20" s="5">
        <v>2.2000000000000001E-3</v>
      </c>
      <c r="M20" s="5">
        <v>0</v>
      </c>
      <c r="N20" s="5">
        <v>0</v>
      </c>
      <c r="O20" s="43">
        <v>2.1160000000000002E-2</v>
      </c>
      <c r="P20" s="5">
        <f t="shared" si="1"/>
        <v>0.11685161290322581</v>
      </c>
      <c r="Q20" s="24">
        <v>64652</v>
      </c>
      <c r="R20" s="3">
        <v>65</v>
      </c>
      <c r="S20" s="1"/>
      <c r="T20" s="9">
        <f t="shared" si="2"/>
        <v>204.42500000000001</v>
      </c>
      <c r="U20" s="9"/>
      <c r="V20" s="56">
        <v>156623</v>
      </c>
      <c r="W20" s="1"/>
      <c r="X20" s="36"/>
      <c r="Y20" s="36"/>
    </row>
    <row r="21" spans="2:25" s="62" customFormat="1" x14ac:dyDescent="0.25">
      <c r="B21" s="1" t="s">
        <v>183</v>
      </c>
      <c r="C21" s="3" t="s">
        <v>36</v>
      </c>
      <c r="D21" s="3" t="s">
        <v>46</v>
      </c>
      <c r="E21" s="4">
        <v>36434</v>
      </c>
      <c r="F21" s="4">
        <v>36799</v>
      </c>
      <c r="G21" s="1" t="s">
        <v>37</v>
      </c>
      <c r="H21" s="1" t="s">
        <v>30</v>
      </c>
      <c r="I21" s="3" t="s">
        <v>122</v>
      </c>
      <c r="J21" s="8">
        <f t="shared" si="0"/>
        <v>0.10145161290322581</v>
      </c>
      <c r="K21" s="5">
        <v>1.32E-2</v>
      </c>
      <c r="L21" s="5">
        <v>2.2000000000000001E-3</v>
      </c>
      <c r="M21" s="5">
        <v>0</v>
      </c>
      <c r="N21" s="5">
        <v>0</v>
      </c>
      <c r="O21" s="43">
        <v>2.1160000000000002E-2</v>
      </c>
      <c r="P21" s="5">
        <f t="shared" si="1"/>
        <v>0.11685161290322581</v>
      </c>
      <c r="Q21" s="24">
        <v>64863</v>
      </c>
      <c r="R21" s="3">
        <v>13</v>
      </c>
      <c r="S21" s="1"/>
      <c r="T21" s="9">
        <f t="shared" si="2"/>
        <v>40.884999999999998</v>
      </c>
      <c r="U21" s="9"/>
      <c r="V21" s="56">
        <v>156625</v>
      </c>
      <c r="W21" s="1"/>
      <c r="X21" s="36"/>
      <c r="Y21" s="36"/>
    </row>
    <row r="22" spans="2:25" s="62" customFormat="1" x14ac:dyDescent="0.25">
      <c r="B22" s="1" t="s">
        <v>183</v>
      </c>
      <c r="C22" s="3" t="s">
        <v>36</v>
      </c>
      <c r="D22" s="3" t="s">
        <v>46</v>
      </c>
      <c r="E22" s="4">
        <v>36465</v>
      </c>
      <c r="F22" s="4">
        <v>36830</v>
      </c>
      <c r="G22" s="1" t="s">
        <v>37</v>
      </c>
      <c r="H22" s="1" t="s">
        <v>30</v>
      </c>
      <c r="I22" s="3"/>
      <c r="J22" s="8">
        <f>3.145/J$1</f>
        <v>0.10145161290322581</v>
      </c>
      <c r="K22" s="5">
        <v>1.32E-2</v>
      </c>
      <c r="L22" s="5">
        <v>2.2000000000000001E-3</v>
      </c>
      <c r="M22" s="5">
        <v>0</v>
      </c>
      <c r="N22" s="5">
        <v>0</v>
      </c>
      <c r="O22" s="43">
        <v>2.1160000000000002E-2</v>
      </c>
      <c r="P22" s="5">
        <f>SUM(J22:N22)</f>
        <v>0.11685161290322581</v>
      </c>
      <c r="Q22" s="24">
        <v>65027</v>
      </c>
      <c r="R22" s="3">
        <v>131</v>
      </c>
      <c r="S22" s="1" t="s">
        <v>43</v>
      </c>
      <c r="T22" s="9">
        <f t="shared" si="2"/>
        <v>411.995</v>
      </c>
      <c r="U22" s="9"/>
      <c r="V22" s="56">
        <v>156666</v>
      </c>
      <c r="W22" s="1" t="s">
        <v>42</v>
      </c>
      <c r="X22" s="36"/>
      <c r="Y22" s="36"/>
    </row>
    <row r="23" spans="2:25" s="62" customFormat="1" x14ac:dyDescent="0.25">
      <c r="B23" s="1" t="s">
        <v>183</v>
      </c>
      <c r="C23" s="3" t="s">
        <v>36</v>
      </c>
      <c r="D23" s="3" t="s">
        <v>46</v>
      </c>
      <c r="E23" s="4">
        <v>36495</v>
      </c>
      <c r="F23" s="4">
        <v>36860</v>
      </c>
      <c r="G23" s="1" t="s">
        <v>37</v>
      </c>
      <c r="H23" s="1" t="s">
        <v>30</v>
      </c>
      <c r="I23" s="3" t="s">
        <v>122</v>
      </c>
      <c r="J23" s="8">
        <f>3.145/J$1</f>
        <v>0.10145161290322581</v>
      </c>
      <c r="K23" s="5">
        <v>1.32E-2</v>
      </c>
      <c r="L23" s="5">
        <v>2.2000000000000001E-3</v>
      </c>
      <c r="M23" s="5">
        <v>0</v>
      </c>
      <c r="N23" s="5">
        <v>0</v>
      </c>
      <c r="O23" s="43">
        <v>2.1160000000000002E-2</v>
      </c>
      <c r="P23" s="5">
        <f>SUM(J23:N23)</f>
        <v>0.11685161290322581</v>
      </c>
      <c r="Q23" s="24">
        <v>65557</v>
      </c>
      <c r="R23" s="3">
        <v>3</v>
      </c>
      <c r="S23" s="1"/>
      <c r="T23" s="9">
        <f t="shared" si="2"/>
        <v>9.4350000000000005</v>
      </c>
      <c r="U23" s="9"/>
      <c r="V23" s="56">
        <v>156669</v>
      </c>
      <c r="W23" s="1"/>
      <c r="X23" s="36"/>
      <c r="Y23" s="36"/>
    </row>
    <row r="24" spans="2:25" s="62" customFormat="1" x14ac:dyDescent="0.25">
      <c r="B24" s="1" t="s">
        <v>183</v>
      </c>
      <c r="C24" s="3" t="s">
        <v>36</v>
      </c>
      <c r="D24" s="3" t="s">
        <v>46</v>
      </c>
      <c r="E24" s="4">
        <v>36617</v>
      </c>
      <c r="F24" s="4">
        <v>36616</v>
      </c>
      <c r="G24" s="1" t="s">
        <v>37</v>
      </c>
      <c r="H24" s="1" t="s">
        <v>30</v>
      </c>
      <c r="I24" s="3" t="s">
        <v>122</v>
      </c>
      <c r="J24" s="8">
        <f>3.145/J1</f>
        <v>0.10145161290322581</v>
      </c>
      <c r="K24" s="5"/>
      <c r="L24" s="5"/>
      <c r="M24" s="5"/>
      <c r="N24" s="5"/>
      <c r="O24" s="43"/>
      <c r="P24" s="5"/>
      <c r="Q24" s="24">
        <v>66941</v>
      </c>
      <c r="R24" s="3">
        <v>53</v>
      </c>
      <c r="S24" s="1"/>
      <c r="T24" s="9">
        <f t="shared" si="2"/>
        <v>166.685</v>
      </c>
      <c r="U24" s="9"/>
      <c r="V24" s="56">
        <v>228122</v>
      </c>
      <c r="W24" s="1"/>
      <c r="X24" s="36"/>
      <c r="Y24" s="36"/>
    </row>
    <row r="25" spans="2:25" s="62" customFormat="1" x14ac:dyDescent="0.25">
      <c r="B25" s="1" t="s">
        <v>183</v>
      </c>
      <c r="C25" s="3" t="s">
        <v>36</v>
      </c>
      <c r="D25" s="3" t="s">
        <v>112</v>
      </c>
      <c r="E25" s="4">
        <v>36617</v>
      </c>
      <c r="F25" s="4">
        <v>36646</v>
      </c>
      <c r="G25" s="1" t="s">
        <v>207</v>
      </c>
      <c r="H25" s="1" t="s">
        <v>208</v>
      </c>
      <c r="I25" s="3" t="s">
        <v>124</v>
      </c>
      <c r="J25" s="8">
        <f>1.0603/30</f>
        <v>3.5343333333333331E-2</v>
      </c>
      <c r="K25" s="5">
        <v>0</v>
      </c>
      <c r="L25" s="5">
        <v>2.2000000000000001E-3</v>
      </c>
      <c r="M25" s="5">
        <v>7.1999999999999998E-3</v>
      </c>
      <c r="N25" s="5">
        <v>0</v>
      </c>
      <c r="O25" s="43">
        <v>0</v>
      </c>
      <c r="P25" s="5">
        <f>SUM(J25:N25)</f>
        <v>4.4743333333333329E-2</v>
      </c>
      <c r="Q25" s="24">
        <v>66938</v>
      </c>
      <c r="R25" s="3">
        <v>177</v>
      </c>
      <c r="S25" s="1"/>
      <c r="T25" s="9">
        <f t="shared" si="2"/>
        <v>193.92886999999999</v>
      </c>
      <c r="U25" s="9"/>
      <c r="V25" s="56">
        <v>228160</v>
      </c>
      <c r="W25" s="1"/>
      <c r="X25" s="36"/>
      <c r="Y25" s="36"/>
    </row>
    <row r="26" spans="2:25" s="62" customFormat="1" x14ac:dyDescent="0.25">
      <c r="B26" s="1" t="s">
        <v>183</v>
      </c>
      <c r="C26" s="3" t="s">
        <v>36</v>
      </c>
      <c r="D26" s="3" t="s">
        <v>112</v>
      </c>
      <c r="E26" s="4">
        <v>36617</v>
      </c>
      <c r="F26" s="4">
        <v>36646</v>
      </c>
      <c r="G26" s="1" t="s">
        <v>37</v>
      </c>
      <c r="H26" s="1" t="s">
        <v>30</v>
      </c>
      <c r="I26" s="3" t="s">
        <v>122</v>
      </c>
      <c r="J26" s="8">
        <f>3.145/J1</f>
        <v>0.10145161290322581</v>
      </c>
      <c r="K26" s="5">
        <v>0</v>
      </c>
      <c r="L26" s="5">
        <v>2.2000000000000001E-3</v>
      </c>
      <c r="M26" s="5">
        <v>7.1999999999999998E-3</v>
      </c>
      <c r="N26" s="5">
        <v>0</v>
      </c>
      <c r="O26" s="43">
        <v>0</v>
      </c>
      <c r="P26" s="5">
        <f>SUM(J26:N26)</f>
        <v>0.1108516129032258</v>
      </c>
      <c r="Q26" s="24">
        <v>66937</v>
      </c>
      <c r="R26" s="3">
        <v>172</v>
      </c>
      <c r="S26" s="1"/>
      <c r="T26" s="9">
        <f t="shared" si="2"/>
        <v>540.94000000000005</v>
      </c>
      <c r="U26" s="9"/>
      <c r="V26" s="56">
        <v>228163</v>
      </c>
      <c r="W26" s="1"/>
      <c r="X26" s="36"/>
      <c r="Y26" s="36"/>
    </row>
    <row r="27" spans="2:25" s="62" customFormat="1" x14ac:dyDescent="0.25">
      <c r="B27" s="1" t="s">
        <v>183</v>
      </c>
      <c r="C27" s="3" t="s">
        <v>36</v>
      </c>
      <c r="D27" s="3" t="s">
        <v>46</v>
      </c>
      <c r="E27" s="4">
        <v>36557</v>
      </c>
      <c r="F27" s="4">
        <v>36922</v>
      </c>
      <c r="G27" s="1" t="s">
        <v>37</v>
      </c>
      <c r="H27" s="1" t="s">
        <v>30</v>
      </c>
      <c r="I27" s="3" t="s">
        <v>122</v>
      </c>
      <c r="J27" s="8">
        <f>3.145/31</f>
        <v>0.10145161290322581</v>
      </c>
      <c r="K27" s="5"/>
      <c r="L27" s="5"/>
      <c r="M27" s="5"/>
      <c r="N27" s="5"/>
      <c r="O27" s="43"/>
      <c r="P27" s="5"/>
      <c r="Q27" s="24">
        <v>66283</v>
      </c>
      <c r="R27" s="3">
        <v>5</v>
      </c>
      <c r="S27" s="1"/>
      <c r="T27" s="100">
        <f>+J27*R27*31</f>
        <v>15.725000000000001</v>
      </c>
      <c r="U27" s="9"/>
      <c r="V27" s="56">
        <v>156674</v>
      </c>
      <c r="W27" s="1"/>
      <c r="X27" s="36"/>
      <c r="Y27" s="36"/>
    </row>
    <row r="28" spans="2:25" s="62" customFormat="1" x14ac:dyDescent="0.25">
      <c r="B28" s="1" t="s">
        <v>183</v>
      </c>
      <c r="C28" s="3" t="s">
        <v>36</v>
      </c>
      <c r="D28" s="3" t="s">
        <v>306</v>
      </c>
      <c r="E28" s="4">
        <v>36617</v>
      </c>
      <c r="F28" s="4">
        <v>36981</v>
      </c>
      <c r="G28" s="1" t="s">
        <v>37</v>
      </c>
      <c r="H28" s="1" t="s">
        <v>30</v>
      </c>
      <c r="I28" s="3" t="s">
        <v>122</v>
      </c>
      <c r="J28" s="8">
        <f>3.15/J1</f>
        <v>0.10161290322580645</v>
      </c>
      <c r="K28" s="5"/>
      <c r="L28" s="5"/>
      <c r="M28" s="5"/>
      <c r="N28" s="5"/>
      <c r="O28" s="43"/>
      <c r="P28" s="5"/>
      <c r="Q28" s="24">
        <v>66941</v>
      </c>
      <c r="R28" s="3">
        <v>53</v>
      </c>
      <c r="S28" s="1"/>
      <c r="T28" s="100">
        <f>+J28*R28*31</f>
        <v>166.95</v>
      </c>
      <c r="U28" s="9"/>
      <c r="V28" s="56">
        <v>228122</v>
      </c>
      <c r="W28" s="1"/>
      <c r="X28" s="36"/>
      <c r="Y28" s="36"/>
    </row>
    <row r="29" spans="2:25" s="80" customFormat="1" x14ac:dyDescent="0.25">
      <c r="B29" s="42" t="s">
        <v>183</v>
      </c>
      <c r="C29" s="72" t="s">
        <v>36</v>
      </c>
      <c r="D29" s="72" t="s">
        <v>46</v>
      </c>
      <c r="E29" s="73">
        <v>36656</v>
      </c>
      <c r="F29" s="73">
        <v>36950</v>
      </c>
      <c r="G29" s="42" t="s">
        <v>37</v>
      </c>
      <c r="H29" s="42" t="s">
        <v>30</v>
      </c>
      <c r="I29" s="72" t="s">
        <v>122</v>
      </c>
      <c r="J29" s="74">
        <v>3.145</v>
      </c>
      <c r="K29" s="75"/>
      <c r="L29" s="75"/>
      <c r="M29" s="75"/>
      <c r="N29" s="75"/>
      <c r="O29" s="76"/>
      <c r="P29" s="75"/>
      <c r="Q29" s="77">
        <v>68308</v>
      </c>
      <c r="R29" s="72">
        <v>9</v>
      </c>
      <c r="S29" s="42"/>
      <c r="T29" s="78">
        <f>+R29*J29/31*21</f>
        <v>19.174354838709679</v>
      </c>
      <c r="U29" s="78"/>
      <c r="V29" s="110">
        <v>262090</v>
      </c>
      <c r="W29" s="42" t="s">
        <v>217</v>
      </c>
      <c r="X29" s="79"/>
      <c r="Y29" s="79"/>
    </row>
    <row r="30" spans="2:25" s="80" customFormat="1" x14ac:dyDescent="0.25">
      <c r="B30" s="42" t="s">
        <v>183</v>
      </c>
      <c r="C30" s="72" t="s">
        <v>36</v>
      </c>
      <c r="D30" s="72" t="s">
        <v>46</v>
      </c>
      <c r="E30" s="73">
        <v>36617</v>
      </c>
      <c r="F30" s="73">
        <v>36655</v>
      </c>
      <c r="G30" s="42" t="s">
        <v>37</v>
      </c>
      <c r="H30" s="42" t="s">
        <v>30</v>
      </c>
      <c r="I30" s="72" t="s">
        <v>122</v>
      </c>
      <c r="J30" s="74">
        <v>3.145</v>
      </c>
      <c r="K30" s="75"/>
      <c r="L30" s="75"/>
      <c r="M30" s="75"/>
      <c r="N30" s="75"/>
      <c r="O30" s="76"/>
      <c r="P30" s="75"/>
      <c r="Q30" s="77">
        <v>66615</v>
      </c>
      <c r="R30" s="72">
        <v>9</v>
      </c>
      <c r="S30" s="42"/>
      <c r="T30" s="78">
        <f>+R30*J30/31*9</f>
        <v>8.2175806451612914</v>
      </c>
      <c r="U30" s="78"/>
      <c r="V30" s="110">
        <v>262082</v>
      </c>
      <c r="W30" s="42" t="s">
        <v>217</v>
      </c>
      <c r="X30" s="79"/>
      <c r="Y30" s="79"/>
    </row>
    <row r="31" spans="2:25" s="111" customFormat="1" x14ac:dyDescent="0.25">
      <c r="B31" s="112" t="s">
        <v>183</v>
      </c>
      <c r="C31" s="113" t="s">
        <v>36</v>
      </c>
      <c r="D31" s="113" t="s">
        <v>123</v>
      </c>
      <c r="E31" s="114">
        <v>36647</v>
      </c>
      <c r="F31" s="114">
        <v>37011</v>
      </c>
      <c r="G31" s="112" t="s">
        <v>37</v>
      </c>
      <c r="H31" s="112" t="s">
        <v>30</v>
      </c>
      <c r="I31" s="113" t="s">
        <v>122</v>
      </c>
      <c r="J31" s="116">
        <v>3.1539999999999999</v>
      </c>
      <c r="K31" s="117"/>
      <c r="L31" s="117"/>
      <c r="M31" s="117"/>
      <c r="N31" s="117"/>
      <c r="O31" s="118"/>
      <c r="P31" s="117"/>
      <c r="Q31" s="122">
        <v>68281</v>
      </c>
      <c r="R31" s="113">
        <v>21</v>
      </c>
      <c r="S31" s="112" t="s">
        <v>421</v>
      </c>
      <c r="T31" s="120">
        <f>+J31*R31</f>
        <v>66.233999999999995</v>
      </c>
      <c r="U31" s="120"/>
      <c r="V31" s="121">
        <v>256413</v>
      </c>
      <c r="W31" s="112"/>
      <c r="X31" s="125"/>
      <c r="Y31" s="125"/>
    </row>
    <row r="33" spans="2:25" s="62" customFormat="1" x14ac:dyDescent="0.25">
      <c r="B33" s="1"/>
      <c r="C33" s="3"/>
      <c r="D33" s="3"/>
      <c r="E33" s="4"/>
      <c r="F33" s="4"/>
      <c r="G33" s="1"/>
      <c r="H33" s="1"/>
      <c r="I33" s="3"/>
      <c r="J33" s="8"/>
      <c r="K33" s="5"/>
      <c r="L33" s="5"/>
      <c r="M33" s="5"/>
      <c r="N33" s="5"/>
      <c r="O33" s="43"/>
      <c r="P33" s="5"/>
      <c r="Q33" s="24"/>
      <c r="R33" s="3"/>
      <c r="S33" s="1"/>
      <c r="T33" s="9"/>
      <c r="U33" s="9"/>
      <c r="V33" s="56"/>
      <c r="W33" s="1"/>
      <c r="X33" s="36"/>
      <c r="Y33" s="36"/>
    </row>
    <row r="34" spans="2:25" x14ac:dyDescent="0.25">
      <c r="B34" s="1"/>
      <c r="C34" s="3"/>
      <c r="D34" s="3"/>
      <c r="E34" s="4"/>
      <c r="F34" s="4"/>
      <c r="G34" s="1"/>
      <c r="H34" s="1"/>
      <c r="I34" s="3"/>
      <c r="J34" s="8"/>
      <c r="K34" s="5"/>
      <c r="L34" s="23"/>
      <c r="M34" s="5"/>
      <c r="N34" s="5"/>
      <c r="O34" s="43"/>
      <c r="P34" s="5"/>
      <c r="Q34" s="24"/>
      <c r="R34" s="2">
        <f>SUM(R12:R32)</f>
        <v>2397</v>
      </c>
      <c r="S34" s="3"/>
      <c r="T34" s="9">
        <f>SUM(T12:T33)</f>
        <v>7147.0648054838721</v>
      </c>
      <c r="U34" s="9"/>
      <c r="V34" s="56"/>
      <c r="W34" s="1"/>
      <c r="X34" s="36"/>
      <c r="Y34" s="36"/>
    </row>
    <row r="35" spans="2:25" x14ac:dyDescent="0.25">
      <c r="B35" s="16" t="s">
        <v>4</v>
      </c>
      <c r="C35" s="17" t="s">
        <v>5</v>
      </c>
      <c r="D35" s="17" t="s">
        <v>6</v>
      </c>
      <c r="E35" s="18" t="s">
        <v>7</v>
      </c>
      <c r="F35" s="18"/>
      <c r="G35" s="16" t="s">
        <v>8</v>
      </c>
      <c r="H35" s="16" t="s">
        <v>9</v>
      </c>
      <c r="I35" s="17" t="s">
        <v>49</v>
      </c>
      <c r="J35" s="19" t="s">
        <v>10</v>
      </c>
      <c r="K35" s="17" t="s">
        <v>11</v>
      </c>
      <c r="L35" s="17" t="s">
        <v>12</v>
      </c>
      <c r="M35" s="17" t="s">
        <v>13</v>
      </c>
      <c r="N35" s="17" t="s">
        <v>14</v>
      </c>
      <c r="O35" s="44" t="s">
        <v>15</v>
      </c>
      <c r="P35" s="17" t="s">
        <v>16</v>
      </c>
      <c r="Q35" s="20" t="s">
        <v>181</v>
      </c>
      <c r="R35" s="17" t="s">
        <v>17</v>
      </c>
      <c r="S35" s="16" t="s">
        <v>18</v>
      </c>
      <c r="T35" s="21" t="s">
        <v>48</v>
      </c>
      <c r="U35" s="21" t="s">
        <v>47</v>
      </c>
      <c r="V35" s="54" t="s">
        <v>182</v>
      </c>
      <c r="W35" s="59" t="e">
        <f>+#REF!</f>
        <v>#REF!</v>
      </c>
      <c r="X35" s="36"/>
      <c r="Y35" s="36"/>
    </row>
    <row r="36" spans="2:25" s="111" customFormat="1" ht="12" customHeight="1" x14ac:dyDescent="0.25">
      <c r="B36" s="112" t="s">
        <v>183</v>
      </c>
      <c r="C36" s="113" t="s">
        <v>204</v>
      </c>
      <c r="D36" s="113" t="s">
        <v>205</v>
      </c>
      <c r="E36" s="114">
        <v>36678</v>
      </c>
      <c r="F36" s="114">
        <v>36707</v>
      </c>
      <c r="G36" s="115"/>
      <c r="H36" s="115"/>
      <c r="I36" s="113" t="s">
        <v>206</v>
      </c>
      <c r="J36" s="116">
        <v>2.8340000000000001E-2</v>
      </c>
      <c r="K36" s="117">
        <v>0</v>
      </c>
      <c r="L36" s="117">
        <v>2.2000000000000001E-3</v>
      </c>
      <c r="M36" s="117">
        <v>7.1999999999999998E-3</v>
      </c>
      <c r="N36" s="117">
        <v>0</v>
      </c>
      <c r="O36" s="118">
        <v>0</v>
      </c>
      <c r="P36" s="117">
        <f>SUM(J36:N36)</f>
        <v>3.7740000000000003E-2</v>
      </c>
      <c r="Q36" s="122" t="s">
        <v>383</v>
      </c>
      <c r="R36" s="113">
        <v>820865</v>
      </c>
      <c r="S36" s="112"/>
      <c r="T36" s="120">
        <f>+J36*R36</f>
        <v>23263.3141</v>
      </c>
      <c r="U36" s="120"/>
      <c r="V36" s="121">
        <v>277918</v>
      </c>
      <c r="W36" s="112" t="s">
        <v>493</v>
      </c>
      <c r="X36" s="125"/>
      <c r="Y36" s="125"/>
    </row>
    <row r="37" spans="2:25" s="111" customFormat="1" ht="12" customHeight="1" x14ac:dyDescent="0.25">
      <c r="B37" s="112" t="s">
        <v>183</v>
      </c>
      <c r="C37" s="113" t="s">
        <v>204</v>
      </c>
      <c r="D37" s="113" t="s">
        <v>205</v>
      </c>
      <c r="E37" s="114">
        <v>36678</v>
      </c>
      <c r="F37" s="114">
        <v>36707</v>
      </c>
      <c r="G37" s="115"/>
      <c r="H37" s="115"/>
      <c r="I37" s="113" t="s">
        <v>206</v>
      </c>
      <c r="J37" s="116">
        <f>1.544/30</f>
        <v>5.1466666666666668E-2</v>
      </c>
      <c r="K37" s="117">
        <v>0</v>
      </c>
      <c r="L37" s="117">
        <v>2.2000000000000001E-3</v>
      </c>
      <c r="M37" s="117">
        <v>7.1999999999999998E-3</v>
      </c>
      <c r="N37" s="117">
        <v>0</v>
      </c>
      <c r="O37" s="118">
        <v>0</v>
      </c>
      <c r="P37" s="117">
        <f>SUM(J37:N37)</f>
        <v>6.0866666666666666E-2</v>
      </c>
      <c r="Q37" s="122" t="s">
        <v>383</v>
      </c>
      <c r="R37" s="113">
        <v>16248</v>
      </c>
      <c r="S37" s="112"/>
      <c r="T37" s="120">
        <f>+J37*R37*30</f>
        <v>25086.912</v>
      </c>
      <c r="U37" s="120"/>
      <c r="V37" s="121">
        <v>277918</v>
      </c>
      <c r="W37" s="112" t="s">
        <v>493</v>
      </c>
      <c r="X37" s="125"/>
      <c r="Y37" s="125"/>
    </row>
    <row r="38" spans="2:25" s="111" customFormat="1" ht="12" customHeight="1" x14ac:dyDescent="0.25">
      <c r="B38" s="112" t="s">
        <v>183</v>
      </c>
      <c r="C38" s="113" t="s">
        <v>204</v>
      </c>
      <c r="D38" s="113" t="s">
        <v>205</v>
      </c>
      <c r="E38" s="114">
        <v>36678</v>
      </c>
      <c r="F38" s="114">
        <v>36707</v>
      </c>
      <c r="G38" s="115"/>
      <c r="H38" s="115"/>
      <c r="I38" s="113" t="s">
        <v>206</v>
      </c>
      <c r="J38" s="116">
        <v>2.8340000000000001E-2</v>
      </c>
      <c r="K38" s="117">
        <v>0</v>
      </c>
      <c r="L38" s="117">
        <v>2.2000000000000001E-3</v>
      </c>
      <c r="M38" s="117">
        <v>7.1999999999999998E-3</v>
      </c>
      <c r="N38" s="117">
        <v>0</v>
      </c>
      <c r="O38" s="118">
        <v>0</v>
      </c>
      <c r="P38" s="117">
        <f>SUM(J38:N38)</f>
        <v>3.7740000000000003E-2</v>
      </c>
      <c r="Q38" s="122" t="s">
        <v>383</v>
      </c>
      <c r="R38" s="113">
        <v>12501</v>
      </c>
      <c r="S38" s="112"/>
      <c r="T38" s="120">
        <f>+J38*R38</f>
        <v>354.27834000000001</v>
      </c>
      <c r="U38" s="120"/>
      <c r="V38" s="121">
        <v>277845</v>
      </c>
      <c r="W38" s="112" t="s">
        <v>494</v>
      </c>
      <c r="X38" s="125"/>
      <c r="Y38" s="125"/>
    </row>
    <row r="39" spans="2:25" s="111" customFormat="1" ht="12" customHeight="1" x14ac:dyDescent="0.25">
      <c r="B39" s="112" t="s">
        <v>183</v>
      </c>
      <c r="C39" s="113" t="s">
        <v>204</v>
      </c>
      <c r="D39" s="113" t="s">
        <v>205</v>
      </c>
      <c r="E39" s="114">
        <v>36678</v>
      </c>
      <c r="F39" s="114">
        <v>36707</v>
      </c>
      <c r="G39" s="115"/>
      <c r="H39" s="115"/>
      <c r="I39" s="113" t="s">
        <v>206</v>
      </c>
      <c r="J39" s="116">
        <f>1.544/30</f>
        <v>5.1466666666666668E-2</v>
      </c>
      <c r="K39" s="117">
        <v>0</v>
      </c>
      <c r="L39" s="117">
        <v>2.2000000000000001E-3</v>
      </c>
      <c r="M39" s="117">
        <v>7.1999999999999998E-3</v>
      </c>
      <c r="N39" s="117">
        <v>0</v>
      </c>
      <c r="O39" s="118">
        <v>0</v>
      </c>
      <c r="P39" s="117">
        <f>SUM(J39:N39)</f>
        <v>6.0866666666666666E-2</v>
      </c>
      <c r="Q39" s="122" t="s">
        <v>383</v>
      </c>
      <c r="R39" s="113">
        <v>252</v>
      </c>
      <c r="S39" s="112"/>
      <c r="T39" s="120">
        <f>+J39*R39*30</f>
        <v>389.08799999999997</v>
      </c>
      <c r="U39" s="120"/>
      <c r="V39" s="121">
        <v>277845</v>
      </c>
      <c r="W39" s="112" t="s">
        <v>494</v>
      </c>
      <c r="X39" s="125"/>
      <c r="Y39" s="125"/>
    </row>
    <row r="40" spans="2:25" s="111" customFormat="1" ht="12" customHeight="1" x14ac:dyDescent="0.25">
      <c r="B40" s="112" t="s">
        <v>183</v>
      </c>
      <c r="C40" s="113" t="s">
        <v>204</v>
      </c>
      <c r="D40" s="113" t="s">
        <v>205</v>
      </c>
      <c r="E40" s="114">
        <v>36678</v>
      </c>
      <c r="F40" s="114">
        <v>36707</v>
      </c>
      <c r="G40" s="115"/>
      <c r="H40" s="115"/>
      <c r="I40" s="113" t="s">
        <v>132</v>
      </c>
      <c r="J40" s="116">
        <f>11.2024/30</f>
        <v>0.37341333333333337</v>
      </c>
      <c r="K40" s="117"/>
      <c r="L40" s="117"/>
      <c r="M40" s="117"/>
      <c r="N40" s="117"/>
      <c r="O40" s="118"/>
      <c r="P40" s="117"/>
      <c r="Q40" s="122" t="s">
        <v>310</v>
      </c>
      <c r="R40" s="113">
        <v>30507</v>
      </c>
      <c r="S40" s="112"/>
      <c r="T40" s="120">
        <f>J40*J$1*R40</f>
        <v>353143.33736</v>
      </c>
      <c r="U40" s="120"/>
      <c r="V40" s="121">
        <v>279907</v>
      </c>
      <c r="W40" s="112"/>
      <c r="X40" s="125"/>
      <c r="Y40" s="125"/>
    </row>
    <row r="41" spans="2:25" s="111" customFormat="1" ht="12" customHeight="1" x14ac:dyDescent="0.25">
      <c r="B41" s="112" t="s">
        <v>183</v>
      </c>
      <c r="C41" s="113" t="s">
        <v>204</v>
      </c>
      <c r="D41" s="113" t="s">
        <v>205</v>
      </c>
      <c r="E41" s="114">
        <v>36678</v>
      </c>
      <c r="F41" s="114">
        <v>36707</v>
      </c>
      <c r="G41" s="115"/>
      <c r="H41" s="115"/>
      <c r="I41" s="113" t="s">
        <v>132</v>
      </c>
      <c r="J41" s="116">
        <f>11.204/30</f>
        <v>0.37346666666666667</v>
      </c>
      <c r="K41" s="117"/>
      <c r="L41" s="117"/>
      <c r="M41" s="117"/>
      <c r="N41" s="117"/>
      <c r="O41" s="118"/>
      <c r="P41" s="117"/>
      <c r="Q41" s="122" t="s">
        <v>310</v>
      </c>
      <c r="R41" s="113">
        <v>6563</v>
      </c>
      <c r="S41" s="112"/>
      <c r="T41" s="120">
        <f>J41*J$1*R41</f>
        <v>75982.913733333335</v>
      </c>
      <c r="U41" s="120"/>
      <c r="V41" s="121">
        <v>277830</v>
      </c>
      <c r="W41" s="112" t="s">
        <v>495</v>
      </c>
      <c r="X41" s="125"/>
      <c r="Y41" s="125"/>
    </row>
    <row r="42" spans="2:25" s="111" customFormat="1" ht="12" customHeight="1" x14ac:dyDescent="0.25">
      <c r="B42" s="112" t="s">
        <v>183</v>
      </c>
      <c r="C42" s="113" t="s">
        <v>204</v>
      </c>
      <c r="D42" s="113" t="s">
        <v>205</v>
      </c>
      <c r="E42" s="114">
        <v>36678</v>
      </c>
      <c r="F42" s="114">
        <v>36707</v>
      </c>
      <c r="G42" s="115"/>
      <c r="H42" s="115"/>
      <c r="I42" s="113" t="s">
        <v>132</v>
      </c>
      <c r="J42" s="116">
        <f>8.5094/J1</f>
        <v>0.27449677419354834</v>
      </c>
      <c r="K42" s="117"/>
      <c r="L42" s="117"/>
      <c r="M42" s="117"/>
      <c r="N42" s="117"/>
      <c r="O42" s="118"/>
      <c r="P42" s="117"/>
      <c r="Q42" s="122" t="s">
        <v>310</v>
      </c>
      <c r="R42" s="113">
        <v>513</v>
      </c>
      <c r="S42" s="112"/>
      <c r="T42" s="120">
        <f>J42*J$1*R42</f>
        <v>4365.3221999999996</v>
      </c>
      <c r="U42" s="120"/>
      <c r="V42" s="121">
        <v>277796</v>
      </c>
      <c r="W42" s="112" t="s">
        <v>496</v>
      </c>
      <c r="X42" s="125"/>
      <c r="Y42" s="125"/>
    </row>
    <row r="43" spans="2:25" s="111" customFormat="1" ht="12" customHeight="1" x14ac:dyDescent="0.25">
      <c r="B43" s="112" t="s">
        <v>183</v>
      </c>
      <c r="C43" s="113" t="s">
        <v>220</v>
      </c>
      <c r="D43" s="113" t="s">
        <v>205</v>
      </c>
      <c r="E43" s="114">
        <v>36678</v>
      </c>
      <c r="F43" s="114">
        <v>36707</v>
      </c>
      <c r="G43" s="112" t="s">
        <v>164</v>
      </c>
      <c r="H43" s="112" t="s">
        <v>164</v>
      </c>
      <c r="I43" s="113" t="s">
        <v>132</v>
      </c>
      <c r="J43" s="116">
        <f>5.406/31</f>
        <v>0.17438709677419353</v>
      </c>
      <c r="K43" s="117"/>
      <c r="L43" s="117"/>
      <c r="M43" s="117"/>
      <c r="N43" s="117"/>
      <c r="O43" s="118"/>
      <c r="P43" s="117"/>
      <c r="Q43" s="122" t="s">
        <v>437</v>
      </c>
      <c r="R43" s="113">
        <v>515</v>
      </c>
      <c r="S43" s="112"/>
      <c r="T43" s="120">
        <f>J43*J$1*R43</f>
        <v>2784.0899999999997</v>
      </c>
      <c r="U43" s="120"/>
      <c r="V43" s="121">
        <v>277925</v>
      </c>
      <c r="W43" s="112" t="s">
        <v>435</v>
      </c>
      <c r="X43" s="125"/>
      <c r="Y43" s="125"/>
    </row>
    <row r="44" spans="2:25" s="62" customFormat="1" ht="12" customHeight="1" x14ac:dyDescent="0.25">
      <c r="B44" s="1" t="s">
        <v>183</v>
      </c>
      <c r="C44" s="3" t="s">
        <v>220</v>
      </c>
      <c r="D44" s="3" t="s">
        <v>205</v>
      </c>
      <c r="E44" s="4">
        <v>36678</v>
      </c>
      <c r="F44" s="4">
        <v>36707</v>
      </c>
      <c r="G44" s="1"/>
      <c r="H44" s="1"/>
      <c r="I44" s="3" t="s">
        <v>132</v>
      </c>
      <c r="J44" s="8">
        <v>0.03</v>
      </c>
      <c r="K44" s="5"/>
      <c r="L44" s="5"/>
      <c r="M44" s="5"/>
      <c r="N44" s="5"/>
      <c r="O44" s="43"/>
      <c r="P44" s="5"/>
      <c r="Q44" s="24" t="s">
        <v>437</v>
      </c>
      <c r="R44" s="3"/>
      <c r="S44" s="1"/>
      <c r="T44" s="9"/>
      <c r="U44" s="9"/>
      <c r="V44" s="56"/>
      <c r="W44" s="1"/>
      <c r="X44" s="36"/>
      <c r="Y44" s="36"/>
    </row>
    <row r="45" spans="2:25" s="62" customFormat="1" x14ac:dyDescent="0.25">
      <c r="B45" s="1"/>
      <c r="C45" s="3"/>
      <c r="D45" s="3"/>
      <c r="E45" s="4"/>
      <c r="F45" s="4"/>
      <c r="G45" s="29"/>
      <c r="H45" s="29"/>
      <c r="I45" s="3"/>
      <c r="J45" s="8"/>
      <c r="K45" s="5"/>
      <c r="L45" s="5"/>
      <c r="M45" s="5"/>
      <c r="N45" s="5"/>
      <c r="O45" s="43"/>
      <c r="P45" s="5"/>
      <c r="Q45" s="24"/>
      <c r="R45" s="3"/>
      <c r="S45" s="1"/>
      <c r="T45" s="9">
        <f>SUM(T36:T43)</f>
        <v>485369.25573333335</v>
      </c>
      <c r="U45" s="9"/>
      <c r="V45" s="56"/>
      <c r="W45" s="1"/>
      <c r="X45" s="36"/>
      <c r="Y45" s="36"/>
    </row>
    <row r="46" spans="2:25" x14ac:dyDescent="0.25">
      <c r="B46" s="16" t="s">
        <v>4</v>
      </c>
      <c r="C46" s="17" t="s">
        <v>5</v>
      </c>
      <c r="D46" s="17" t="s">
        <v>6</v>
      </c>
      <c r="E46" s="18" t="s">
        <v>7</v>
      </c>
      <c r="F46" s="18"/>
      <c r="G46" s="16" t="s">
        <v>8</v>
      </c>
      <c r="H46" s="16" t="s">
        <v>9</v>
      </c>
      <c r="I46" s="17" t="s">
        <v>49</v>
      </c>
      <c r="J46" s="19" t="s">
        <v>10</v>
      </c>
      <c r="K46" s="17" t="s">
        <v>11</v>
      </c>
      <c r="L46" s="17" t="s">
        <v>12</v>
      </c>
      <c r="M46" s="17" t="s">
        <v>13</v>
      </c>
      <c r="N46" s="17" t="s">
        <v>14</v>
      </c>
      <c r="O46" s="44" t="s">
        <v>15</v>
      </c>
      <c r="P46" s="17" t="s">
        <v>16</v>
      </c>
      <c r="Q46" s="20" t="s">
        <v>181</v>
      </c>
      <c r="R46" s="17" t="s">
        <v>17</v>
      </c>
      <c r="S46" s="16" t="s">
        <v>18</v>
      </c>
      <c r="T46" s="21" t="s">
        <v>48</v>
      </c>
      <c r="U46" s="21" t="s">
        <v>47</v>
      </c>
      <c r="V46" s="54" t="s">
        <v>182</v>
      </c>
      <c r="W46" s="59" t="e">
        <f>+#REF!</f>
        <v>#REF!</v>
      </c>
      <c r="X46" s="36"/>
      <c r="Y46" s="36"/>
    </row>
    <row r="47" spans="2:25" s="111" customFormat="1" x14ac:dyDescent="0.25">
      <c r="B47" s="112" t="s">
        <v>183</v>
      </c>
      <c r="C47" s="113" t="s">
        <v>2</v>
      </c>
      <c r="D47" s="113" t="s">
        <v>112</v>
      </c>
      <c r="E47" s="114">
        <v>36557</v>
      </c>
      <c r="F47" s="114">
        <v>36677</v>
      </c>
      <c r="G47" s="115" t="s">
        <v>113</v>
      </c>
      <c r="H47" s="115" t="s">
        <v>114</v>
      </c>
      <c r="I47" s="113" t="s">
        <v>115</v>
      </c>
      <c r="J47" s="116">
        <f>14.76/J$1</f>
        <v>0.47612903225806452</v>
      </c>
      <c r="K47" s="117">
        <v>0</v>
      </c>
      <c r="L47" s="117">
        <v>2.2000000000000001E-3</v>
      </c>
      <c r="M47" s="117">
        <v>7.1999999999999998E-3</v>
      </c>
      <c r="N47" s="117">
        <v>0</v>
      </c>
      <c r="O47" s="118">
        <v>0</v>
      </c>
      <c r="P47" s="117">
        <f>SUM(J47:N47)</f>
        <v>0.48552903225806449</v>
      </c>
      <c r="Q47" s="122">
        <v>32337</v>
      </c>
      <c r="R47" s="113">
        <v>431</v>
      </c>
      <c r="S47" s="112" t="s">
        <v>28</v>
      </c>
      <c r="T47" s="120">
        <f t="shared" ref="T47:T52" si="3">J47*J$1*R47</f>
        <v>6361.5599999999995</v>
      </c>
      <c r="U47" s="120"/>
      <c r="V47" s="121">
        <v>157612</v>
      </c>
      <c r="W47" s="112"/>
      <c r="X47" s="125"/>
      <c r="Y47" s="125"/>
    </row>
    <row r="48" spans="2:25" s="111" customFormat="1" x14ac:dyDescent="0.25">
      <c r="B48" s="112" t="s">
        <v>183</v>
      </c>
      <c r="C48" s="113" t="s">
        <v>2</v>
      </c>
      <c r="D48" s="113" t="s">
        <v>86</v>
      </c>
      <c r="E48" s="114">
        <v>36557</v>
      </c>
      <c r="F48" s="114">
        <v>36677</v>
      </c>
      <c r="G48" s="115" t="s">
        <v>117</v>
      </c>
      <c r="H48" s="115" t="s">
        <v>116</v>
      </c>
      <c r="I48" s="113" t="s">
        <v>115</v>
      </c>
      <c r="J48" s="116">
        <f>13.28/J$1</f>
        <v>0.42838709677419351</v>
      </c>
      <c r="K48" s="117">
        <v>0</v>
      </c>
      <c r="L48" s="117">
        <v>2.2000000000000001E-3</v>
      </c>
      <c r="M48" s="117">
        <v>7.1999999999999998E-3</v>
      </c>
      <c r="N48" s="117">
        <v>0</v>
      </c>
      <c r="O48" s="118">
        <v>0</v>
      </c>
      <c r="P48" s="117">
        <f>SUM(J48:N48)</f>
        <v>0.43778709677419347</v>
      </c>
      <c r="Q48" s="122">
        <v>32336</v>
      </c>
      <c r="R48" s="113">
        <v>48</v>
      </c>
      <c r="S48" s="112" t="s">
        <v>28</v>
      </c>
      <c r="T48" s="120">
        <f t="shared" si="3"/>
        <v>637.43999999999994</v>
      </c>
      <c r="U48" s="120"/>
      <c r="V48" s="121">
        <v>157613</v>
      </c>
      <c r="W48" s="112"/>
      <c r="X48" s="125"/>
      <c r="Y48" s="125"/>
    </row>
    <row r="49" spans="2:25" s="111" customFormat="1" x14ac:dyDescent="0.25">
      <c r="B49" s="112" t="s">
        <v>183</v>
      </c>
      <c r="C49" s="113" t="s">
        <v>2</v>
      </c>
      <c r="D49" s="113" t="s">
        <v>118</v>
      </c>
      <c r="E49" s="114">
        <v>36678</v>
      </c>
      <c r="F49" s="114">
        <v>36707</v>
      </c>
      <c r="G49" s="112" t="s">
        <v>119</v>
      </c>
      <c r="H49" s="115" t="s">
        <v>120</v>
      </c>
      <c r="I49" s="113" t="s">
        <v>115</v>
      </c>
      <c r="J49" s="116">
        <f>6.79/30</f>
        <v>0.22633333333333333</v>
      </c>
      <c r="K49" s="117">
        <v>7.6300000000000007E-2</v>
      </c>
      <c r="L49" s="117">
        <v>2.2000000000000001E-3</v>
      </c>
      <c r="M49" s="117">
        <v>7.1999999999999998E-3</v>
      </c>
      <c r="N49" s="117">
        <v>0</v>
      </c>
      <c r="O49" s="118">
        <v>2.7900000000000001E-2</v>
      </c>
      <c r="P49" s="117">
        <f>SUM(J49:N49)</f>
        <v>0.31203333333333327</v>
      </c>
      <c r="Q49" s="122">
        <v>33716</v>
      </c>
      <c r="R49" s="113">
        <v>3522</v>
      </c>
      <c r="S49" s="112" t="s">
        <v>28</v>
      </c>
      <c r="T49" s="120">
        <f t="shared" si="3"/>
        <v>24711.525999999998</v>
      </c>
      <c r="U49" s="120"/>
      <c r="V49" s="121">
        <v>278181</v>
      </c>
      <c r="W49" s="112" t="s">
        <v>121</v>
      </c>
      <c r="X49" s="125"/>
      <c r="Y49" s="125"/>
    </row>
    <row r="50" spans="2:25" s="111" customFormat="1" x14ac:dyDescent="0.25">
      <c r="B50" s="112" t="s">
        <v>183</v>
      </c>
      <c r="C50" s="113" t="s">
        <v>162</v>
      </c>
      <c r="D50" s="113" t="s">
        <v>118</v>
      </c>
      <c r="E50" s="114">
        <v>36678</v>
      </c>
      <c r="F50" s="114">
        <v>36707</v>
      </c>
      <c r="G50" s="112" t="s">
        <v>163</v>
      </c>
      <c r="H50" s="112" t="s">
        <v>118</v>
      </c>
      <c r="I50" s="113" t="s">
        <v>115</v>
      </c>
      <c r="J50" s="116">
        <f>11.95/30</f>
        <v>0.39833333333333332</v>
      </c>
      <c r="K50" s="117">
        <v>0</v>
      </c>
      <c r="L50" s="117">
        <v>2.2000000000000001E-3</v>
      </c>
      <c r="M50" s="117">
        <v>7.1999999999999998E-3</v>
      </c>
      <c r="N50" s="117">
        <v>0</v>
      </c>
      <c r="O50" s="118">
        <v>2.2200000000000001E-2</v>
      </c>
      <c r="P50" s="117">
        <f>SUM(J50:N50)</f>
        <v>0.40773333333333328</v>
      </c>
      <c r="Q50" s="122">
        <v>33742</v>
      </c>
      <c r="R50" s="113">
        <v>3972</v>
      </c>
      <c r="S50" s="112" t="s">
        <v>28</v>
      </c>
      <c r="T50" s="120">
        <f t="shared" si="3"/>
        <v>49047.579999999994</v>
      </c>
      <c r="U50" s="120"/>
      <c r="V50" s="121">
        <v>280090</v>
      </c>
      <c r="W50" s="112" t="s">
        <v>121</v>
      </c>
      <c r="X50" s="125"/>
      <c r="Y50" s="125"/>
    </row>
    <row r="51" spans="2:25" s="111" customFormat="1" x14ac:dyDescent="0.25">
      <c r="B51" s="112" t="s">
        <v>183</v>
      </c>
      <c r="C51" s="113" t="s">
        <v>2</v>
      </c>
      <c r="D51" s="113" t="s">
        <v>118</v>
      </c>
      <c r="E51" s="114">
        <v>36678</v>
      </c>
      <c r="F51" s="114">
        <v>36707</v>
      </c>
      <c r="G51" s="112" t="s">
        <v>215</v>
      </c>
      <c r="H51" s="112"/>
      <c r="I51" s="113" t="s">
        <v>216</v>
      </c>
      <c r="J51" s="116">
        <v>2.4799999999999999E-2</v>
      </c>
      <c r="K51" s="117"/>
      <c r="L51" s="117"/>
      <c r="M51" s="117"/>
      <c r="N51" s="117"/>
      <c r="O51" s="118"/>
      <c r="P51" s="117"/>
      <c r="Q51" s="122">
        <v>33735</v>
      </c>
      <c r="R51" s="113">
        <v>210511</v>
      </c>
      <c r="S51" s="112"/>
      <c r="T51" s="120">
        <f>J51*R51</f>
        <v>5220.6727999999994</v>
      </c>
      <c r="U51" s="120"/>
      <c r="V51" s="121">
        <v>278237</v>
      </c>
      <c r="W51" s="112"/>
      <c r="X51" s="125"/>
      <c r="Y51" s="125"/>
    </row>
    <row r="52" spans="2:25" s="111" customFormat="1" x14ac:dyDescent="0.25">
      <c r="B52" s="112" t="s">
        <v>183</v>
      </c>
      <c r="C52" s="113" t="s">
        <v>2</v>
      </c>
      <c r="D52" s="113" t="s">
        <v>118</v>
      </c>
      <c r="E52" s="114">
        <v>36678</v>
      </c>
      <c r="F52" s="114">
        <v>36707</v>
      </c>
      <c r="G52" s="112" t="s">
        <v>215</v>
      </c>
      <c r="H52" s="112"/>
      <c r="I52" s="113" t="s">
        <v>216</v>
      </c>
      <c r="J52" s="116">
        <f>2.02/J1</f>
        <v>6.5161290322580639E-2</v>
      </c>
      <c r="K52" s="117"/>
      <c r="L52" s="117"/>
      <c r="M52" s="117"/>
      <c r="N52" s="117"/>
      <c r="O52" s="118"/>
      <c r="P52" s="117"/>
      <c r="Q52" s="122">
        <v>33735</v>
      </c>
      <c r="R52" s="113">
        <v>1407</v>
      </c>
      <c r="S52" s="112"/>
      <c r="T52" s="120">
        <f t="shared" si="3"/>
        <v>2842.14</v>
      </c>
      <c r="U52" s="120"/>
      <c r="V52" s="121">
        <v>278237</v>
      </c>
      <c r="W52" s="112"/>
      <c r="X52" s="125"/>
      <c r="Y52" s="125"/>
    </row>
    <row r="53" spans="2:25" s="111" customFormat="1" x14ac:dyDescent="0.25">
      <c r="B53" s="112" t="s">
        <v>183</v>
      </c>
      <c r="C53" s="113" t="s">
        <v>2</v>
      </c>
      <c r="D53" s="113" t="s">
        <v>118</v>
      </c>
      <c r="E53" s="114">
        <v>36678</v>
      </c>
      <c r="F53" s="114">
        <v>36678</v>
      </c>
      <c r="G53" s="112" t="s">
        <v>260</v>
      </c>
      <c r="H53" s="112"/>
      <c r="I53" s="113" t="s">
        <v>261</v>
      </c>
      <c r="J53" s="116">
        <v>1.8700000000000001E-2</v>
      </c>
      <c r="K53" s="117"/>
      <c r="L53" s="117"/>
      <c r="M53" s="117"/>
      <c r="N53" s="117"/>
      <c r="O53" s="118"/>
      <c r="P53" s="117"/>
      <c r="Q53" s="122">
        <v>33764</v>
      </c>
      <c r="R53" s="127">
        <v>75549</v>
      </c>
      <c r="S53" s="112"/>
      <c r="T53" s="120">
        <f>+R53*J53</f>
        <v>1412.7663</v>
      </c>
      <c r="U53" s="120"/>
      <c r="V53" s="121">
        <v>280153</v>
      </c>
      <c r="W53" s="112"/>
      <c r="X53" s="125"/>
      <c r="Y53" s="125"/>
    </row>
    <row r="54" spans="2:25" s="111" customFormat="1" x14ac:dyDescent="0.25">
      <c r="B54" s="112" t="s">
        <v>183</v>
      </c>
      <c r="C54" s="113" t="s">
        <v>2</v>
      </c>
      <c r="D54" s="113" t="s">
        <v>118</v>
      </c>
      <c r="E54" s="114">
        <v>36678</v>
      </c>
      <c r="F54" s="114">
        <v>36678</v>
      </c>
      <c r="G54" s="112" t="s">
        <v>260</v>
      </c>
      <c r="H54" s="112"/>
      <c r="I54" s="113" t="s">
        <v>261</v>
      </c>
      <c r="J54" s="116">
        <v>1.17</v>
      </c>
      <c r="K54" s="117"/>
      <c r="L54" s="117"/>
      <c r="M54" s="117"/>
      <c r="N54" s="117"/>
      <c r="O54" s="118"/>
      <c r="P54" s="117"/>
      <c r="Q54" s="122">
        <v>33764</v>
      </c>
      <c r="R54" s="127">
        <v>560</v>
      </c>
      <c r="S54" s="112"/>
      <c r="T54" s="120">
        <f>+R54*J54</f>
        <v>655.19999999999993</v>
      </c>
      <c r="U54" s="120"/>
      <c r="V54" s="121">
        <v>280153</v>
      </c>
      <c r="W54" s="112"/>
      <c r="X54" s="125"/>
      <c r="Y54" s="125"/>
    </row>
    <row r="55" spans="2:25" x14ac:dyDescent="0.25">
      <c r="B55" s="1"/>
      <c r="C55" s="3"/>
      <c r="D55" s="3"/>
      <c r="E55" s="4"/>
      <c r="F55" s="4"/>
      <c r="G55" s="1"/>
      <c r="H55" s="1"/>
      <c r="I55" s="3"/>
      <c r="J55" s="8"/>
      <c r="K55" s="5"/>
      <c r="L55" s="23"/>
      <c r="M55" s="5"/>
      <c r="N55" s="5"/>
      <c r="O55" s="43"/>
      <c r="P55" s="5"/>
      <c r="Q55" s="24"/>
      <c r="R55" s="2"/>
      <c r="S55" s="3"/>
      <c r="T55" s="9"/>
      <c r="U55" s="9"/>
      <c r="V55" s="56"/>
      <c r="W55" s="1"/>
      <c r="X55" s="36"/>
      <c r="Y55" s="36"/>
    </row>
    <row r="56" spans="2:25" x14ac:dyDescent="0.25">
      <c r="B56" s="1"/>
      <c r="C56" s="3"/>
      <c r="D56" s="3"/>
      <c r="E56" s="4"/>
      <c r="F56" s="4"/>
      <c r="G56" s="1"/>
      <c r="H56" s="1"/>
      <c r="I56" s="3"/>
      <c r="J56" s="8"/>
      <c r="K56" s="5"/>
      <c r="L56" s="23"/>
      <c r="M56" s="5"/>
      <c r="N56" s="5"/>
      <c r="O56" s="46"/>
      <c r="P56" s="5"/>
      <c r="Q56" s="24"/>
      <c r="R56" s="3"/>
      <c r="S56" s="3"/>
      <c r="T56" s="81">
        <f>SUM(T47:T55)</f>
        <v>90888.8851</v>
      </c>
      <c r="W56" s="29"/>
      <c r="X56" s="37"/>
      <c r="Y56" s="37"/>
    </row>
    <row r="57" spans="2:25" x14ac:dyDescent="0.25">
      <c r="B57" s="16" t="s">
        <v>4</v>
      </c>
      <c r="C57" s="17" t="s">
        <v>5</v>
      </c>
      <c r="D57" s="17" t="s">
        <v>6</v>
      </c>
      <c r="E57" s="18" t="s">
        <v>7</v>
      </c>
      <c r="F57" s="18"/>
      <c r="G57" s="16" t="s">
        <v>8</v>
      </c>
      <c r="H57" s="16" t="s">
        <v>9</v>
      </c>
      <c r="I57" s="17" t="s">
        <v>49</v>
      </c>
      <c r="J57" s="19" t="s">
        <v>10</v>
      </c>
      <c r="K57" s="17" t="s">
        <v>11</v>
      </c>
      <c r="L57" s="17" t="s">
        <v>12</v>
      </c>
      <c r="M57" s="17" t="s">
        <v>13</v>
      </c>
      <c r="N57" s="17" t="s">
        <v>14</v>
      </c>
      <c r="O57" s="44" t="s">
        <v>15</v>
      </c>
      <c r="P57" s="17" t="s">
        <v>16</v>
      </c>
      <c r="Q57" s="20" t="s">
        <v>181</v>
      </c>
      <c r="R57" s="17" t="s">
        <v>17</v>
      </c>
      <c r="S57" s="16" t="s">
        <v>18</v>
      </c>
      <c r="T57" s="21" t="s">
        <v>48</v>
      </c>
      <c r="U57" s="21" t="s">
        <v>47</v>
      </c>
      <c r="V57" s="54" t="s">
        <v>182</v>
      </c>
      <c r="W57" s="59" t="e">
        <f>+#REF!</f>
        <v>#REF!</v>
      </c>
      <c r="X57" s="36"/>
      <c r="Y57" s="36"/>
    </row>
    <row r="58" spans="2:25" s="62" customFormat="1" hidden="1" x14ac:dyDescent="0.25">
      <c r="B58" s="1" t="s">
        <v>90</v>
      </c>
      <c r="C58" s="3" t="s">
        <v>25</v>
      </c>
      <c r="D58" s="3" t="s">
        <v>125</v>
      </c>
      <c r="E58" s="4">
        <v>35977</v>
      </c>
      <c r="F58" s="4">
        <v>36585</v>
      </c>
      <c r="G58" s="1" t="s">
        <v>126</v>
      </c>
      <c r="H58" s="1" t="s">
        <v>127</v>
      </c>
      <c r="I58" s="3" t="s">
        <v>22</v>
      </c>
      <c r="J58" s="8"/>
      <c r="K58" s="5">
        <v>0</v>
      </c>
      <c r="L58" s="5">
        <v>2.2000000000000001E-3</v>
      </c>
      <c r="M58" s="5">
        <v>0</v>
      </c>
      <c r="N58" s="5">
        <v>0</v>
      </c>
      <c r="O58" s="43">
        <v>0</v>
      </c>
      <c r="P58" s="5">
        <f t="shared" ref="P58:P65" si="4">SUM(J58:N58)</f>
        <v>2.2000000000000001E-3</v>
      </c>
      <c r="Q58" s="24">
        <v>892591</v>
      </c>
      <c r="R58" s="3">
        <v>74</v>
      </c>
      <c r="S58" s="1"/>
      <c r="T58" s="9">
        <f t="shared" ref="T58:T65" si="5">J58*J$1*R58</f>
        <v>0</v>
      </c>
      <c r="U58" s="9"/>
      <c r="V58" s="56">
        <v>157553</v>
      </c>
      <c r="W58" s="1" t="s">
        <v>384</v>
      </c>
      <c r="X58" s="36"/>
      <c r="Y58" s="36"/>
    </row>
    <row r="59" spans="2:25" s="62" customFormat="1" hidden="1" x14ac:dyDescent="0.25">
      <c r="B59" s="1" t="s">
        <v>90</v>
      </c>
      <c r="C59" s="3" t="s">
        <v>25</v>
      </c>
      <c r="D59" s="3" t="s">
        <v>125</v>
      </c>
      <c r="E59" s="4">
        <v>36130</v>
      </c>
      <c r="F59" s="4">
        <v>41029</v>
      </c>
      <c r="G59" s="1" t="s">
        <v>126</v>
      </c>
      <c r="H59" s="1" t="s">
        <v>127</v>
      </c>
      <c r="I59" s="3" t="s">
        <v>22</v>
      </c>
      <c r="J59" s="8"/>
      <c r="K59" s="5">
        <v>0</v>
      </c>
      <c r="L59" s="5">
        <v>2.2000000000000001E-3</v>
      </c>
      <c r="M59" s="5">
        <v>0</v>
      </c>
      <c r="N59" s="5">
        <v>0</v>
      </c>
      <c r="O59" s="43">
        <v>0</v>
      </c>
      <c r="P59" s="5">
        <f t="shared" si="4"/>
        <v>2.2000000000000001E-3</v>
      </c>
      <c r="Q59" s="24" t="s">
        <v>203</v>
      </c>
      <c r="R59" s="3">
        <v>0</v>
      </c>
      <c r="S59" s="1"/>
      <c r="T59" s="9">
        <f t="shared" si="5"/>
        <v>0</v>
      </c>
      <c r="U59" s="9"/>
      <c r="V59" s="56">
        <v>143310</v>
      </c>
      <c r="W59" s="1" t="s">
        <v>201</v>
      </c>
      <c r="X59" s="36"/>
      <c r="Y59" s="36"/>
    </row>
    <row r="60" spans="2:25" s="62" customFormat="1" hidden="1" x14ac:dyDescent="0.25">
      <c r="B60" s="1" t="s">
        <v>90</v>
      </c>
      <c r="C60" s="3" t="s">
        <v>25</v>
      </c>
      <c r="D60" s="3" t="s">
        <v>125</v>
      </c>
      <c r="E60" s="4">
        <v>36220</v>
      </c>
      <c r="F60" s="4">
        <v>41029</v>
      </c>
      <c r="G60" s="1" t="s">
        <v>126</v>
      </c>
      <c r="H60" s="1" t="s">
        <v>128</v>
      </c>
      <c r="I60" s="3" t="s">
        <v>22</v>
      </c>
      <c r="J60" s="8"/>
      <c r="K60" s="5">
        <v>0</v>
      </c>
      <c r="L60" s="5">
        <v>2.2000000000000001E-3</v>
      </c>
      <c r="M60" s="5">
        <v>0</v>
      </c>
      <c r="N60" s="5">
        <v>0</v>
      </c>
      <c r="O60" s="43">
        <v>0</v>
      </c>
      <c r="P60" s="5">
        <f t="shared" si="4"/>
        <v>2.2000000000000001E-3</v>
      </c>
      <c r="Q60" s="24" t="s">
        <v>203</v>
      </c>
      <c r="R60" s="3">
        <v>0</v>
      </c>
      <c r="S60" s="1"/>
      <c r="T60" s="9">
        <f t="shared" si="5"/>
        <v>0</v>
      </c>
      <c r="U60" s="9"/>
      <c r="V60" s="56">
        <v>143311</v>
      </c>
      <c r="W60" s="1" t="s">
        <v>202</v>
      </c>
      <c r="X60" s="36"/>
      <c r="Y60" s="36"/>
    </row>
    <row r="61" spans="2:25" s="62" customFormat="1" hidden="1" x14ac:dyDescent="0.25">
      <c r="B61" s="1" t="s">
        <v>90</v>
      </c>
      <c r="C61" s="3" t="s">
        <v>25</v>
      </c>
      <c r="D61" s="3" t="s">
        <v>125</v>
      </c>
      <c r="E61" s="4">
        <v>36465</v>
      </c>
      <c r="F61" s="4">
        <v>39021</v>
      </c>
      <c r="G61" s="1" t="s">
        <v>21</v>
      </c>
      <c r="H61" s="1" t="s">
        <v>24</v>
      </c>
      <c r="I61" s="3" t="s">
        <v>22</v>
      </c>
      <c r="J61" s="8"/>
      <c r="K61" s="5">
        <v>0</v>
      </c>
      <c r="L61" s="5">
        <v>2.2000000000000001E-3</v>
      </c>
      <c r="M61" s="5">
        <v>0</v>
      </c>
      <c r="N61" s="5">
        <v>0</v>
      </c>
      <c r="O61" s="43">
        <v>0</v>
      </c>
      <c r="P61" s="5">
        <f t="shared" si="4"/>
        <v>2.2000000000000001E-3</v>
      </c>
      <c r="Q61" s="24">
        <v>892596</v>
      </c>
      <c r="R61" s="3">
        <v>139</v>
      </c>
      <c r="S61" s="1" t="s">
        <v>197</v>
      </c>
      <c r="T61" s="9">
        <f t="shared" si="5"/>
        <v>0</v>
      </c>
      <c r="U61" s="9"/>
      <c r="V61" s="56">
        <v>157537</v>
      </c>
      <c r="W61" s="1" t="s">
        <v>385</v>
      </c>
      <c r="X61" s="36"/>
      <c r="Y61" s="36"/>
    </row>
    <row r="62" spans="2:25" s="62" customFormat="1" hidden="1" x14ac:dyDescent="0.25">
      <c r="B62" s="1" t="s">
        <v>90</v>
      </c>
      <c r="C62" s="3" t="s">
        <v>25</v>
      </c>
      <c r="D62" s="3" t="s">
        <v>125</v>
      </c>
      <c r="E62" s="4">
        <v>36465</v>
      </c>
      <c r="F62" s="4">
        <v>36830</v>
      </c>
      <c r="G62" s="1" t="s">
        <v>29</v>
      </c>
      <c r="H62" s="1" t="s">
        <v>24</v>
      </c>
      <c r="I62" s="3" t="s">
        <v>23</v>
      </c>
      <c r="J62" s="8"/>
      <c r="K62" s="5">
        <v>0</v>
      </c>
      <c r="L62" s="5">
        <v>2.2000000000000001E-3</v>
      </c>
      <c r="M62" s="5">
        <v>0</v>
      </c>
      <c r="N62" s="5">
        <v>0</v>
      </c>
      <c r="O62" s="43">
        <v>0</v>
      </c>
      <c r="P62" s="5">
        <f t="shared" si="4"/>
        <v>2.2000000000000001E-3</v>
      </c>
      <c r="Q62" s="24">
        <v>892594</v>
      </c>
      <c r="R62" s="3">
        <v>11</v>
      </c>
      <c r="S62" s="1" t="s">
        <v>198</v>
      </c>
      <c r="T62" s="9">
        <f t="shared" si="5"/>
        <v>0</v>
      </c>
      <c r="U62" s="9"/>
      <c r="V62" s="56">
        <v>157539</v>
      </c>
      <c r="W62" s="1" t="s">
        <v>386</v>
      </c>
      <c r="X62" s="36"/>
      <c r="Y62" s="36"/>
    </row>
    <row r="63" spans="2:25" s="62" customFormat="1" hidden="1" x14ac:dyDescent="0.25">
      <c r="B63" s="1" t="s">
        <v>90</v>
      </c>
      <c r="C63" s="3" t="s">
        <v>25</v>
      </c>
      <c r="D63" s="3" t="s">
        <v>125</v>
      </c>
      <c r="E63" s="4">
        <v>36465</v>
      </c>
      <c r="F63" s="4">
        <v>37560</v>
      </c>
      <c r="G63" s="1" t="s">
        <v>21</v>
      </c>
      <c r="H63" s="1" t="s">
        <v>29</v>
      </c>
      <c r="I63" s="3" t="s">
        <v>22</v>
      </c>
      <c r="J63" s="8"/>
      <c r="K63" s="5">
        <v>0</v>
      </c>
      <c r="L63" s="5">
        <v>2.2000000000000001E-3</v>
      </c>
      <c r="M63" s="5">
        <v>0</v>
      </c>
      <c r="N63" s="5">
        <v>0</v>
      </c>
      <c r="O63" s="43">
        <v>0</v>
      </c>
      <c r="P63" s="5">
        <f t="shared" si="4"/>
        <v>2.2000000000000001E-3</v>
      </c>
      <c r="Q63" s="24">
        <v>892593</v>
      </c>
      <c r="R63" s="3">
        <v>18</v>
      </c>
      <c r="S63" s="1" t="s">
        <v>199</v>
      </c>
      <c r="T63" s="9">
        <f t="shared" si="5"/>
        <v>0</v>
      </c>
      <c r="U63" s="9"/>
      <c r="V63" s="56">
        <v>157543</v>
      </c>
      <c r="W63" s="1" t="s">
        <v>387</v>
      </c>
      <c r="X63" s="36"/>
      <c r="Y63" s="36"/>
    </row>
    <row r="64" spans="2:25" s="62" customFormat="1" hidden="1" x14ac:dyDescent="0.25">
      <c r="B64" s="1" t="s">
        <v>90</v>
      </c>
      <c r="C64" s="3" t="s">
        <v>25</v>
      </c>
      <c r="D64" s="3" t="s">
        <v>125</v>
      </c>
      <c r="E64" s="4">
        <v>36465</v>
      </c>
      <c r="F64" s="4">
        <v>39021</v>
      </c>
      <c r="G64" s="1" t="s">
        <v>21</v>
      </c>
      <c r="H64" s="1" t="s">
        <v>24</v>
      </c>
      <c r="I64" s="3" t="s">
        <v>22</v>
      </c>
      <c r="J64" s="8"/>
      <c r="K64" s="5">
        <v>0</v>
      </c>
      <c r="L64" s="5">
        <v>2.2000000000000001E-3</v>
      </c>
      <c r="M64" s="5">
        <v>0</v>
      </c>
      <c r="N64" s="5">
        <v>0</v>
      </c>
      <c r="O64" s="43">
        <v>0</v>
      </c>
      <c r="P64" s="5">
        <f>SUM(J64:N64)</f>
        <v>2.2000000000000001E-3</v>
      </c>
      <c r="Q64" s="24">
        <v>892597</v>
      </c>
      <c r="R64" s="3">
        <v>167</v>
      </c>
      <c r="S64" s="1" t="s">
        <v>200</v>
      </c>
      <c r="T64" s="9">
        <f t="shared" si="5"/>
        <v>0</v>
      </c>
      <c r="U64" s="9"/>
      <c r="V64" s="56">
        <v>157570</v>
      </c>
      <c r="W64" s="1" t="s">
        <v>388</v>
      </c>
      <c r="X64" s="36"/>
      <c r="Y64" s="36"/>
    </row>
    <row r="65" spans="2:25" s="62" customFormat="1" x14ac:dyDescent="0.25">
      <c r="B65" s="1" t="s">
        <v>183</v>
      </c>
      <c r="C65" s="3" t="s">
        <v>25</v>
      </c>
      <c r="D65" s="3" t="s">
        <v>125</v>
      </c>
      <c r="E65" s="4">
        <v>36586</v>
      </c>
      <c r="F65" s="4">
        <v>39021</v>
      </c>
      <c r="G65" s="1" t="s">
        <v>21</v>
      </c>
      <c r="H65" s="1" t="s">
        <v>24</v>
      </c>
      <c r="I65" s="3" t="s">
        <v>23</v>
      </c>
      <c r="J65" s="8">
        <v>0.55000000000000004</v>
      </c>
      <c r="K65" s="5">
        <v>0</v>
      </c>
      <c r="L65" s="5">
        <v>2.2000000000000001E-3</v>
      </c>
      <c r="M65" s="5">
        <v>0</v>
      </c>
      <c r="N65" s="5">
        <v>0</v>
      </c>
      <c r="O65" s="43">
        <v>0</v>
      </c>
      <c r="P65" s="5">
        <f t="shared" si="4"/>
        <v>0.55220000000000002</v>
      </c>
      <c r="Q65" s="24">
        <v>892722</v>
      </c>
      <c r="R65" s="3">
        <v>114</v>
      </c>
      <c r="S65" s="1" t="s">
        <v>214</v>
      </c>
      <c r="T65" s="9">
        <f t="shared" si="5"/>
        <v>1943.7</v>
      </c>
      <c r="U65" s="9"/>
      <c r="V65" s="56">
        <v>207137</v>
      </c>
      <c r="W65" s="1" t="s">
        <v>389</v>
      </c>
      <c r="X65" s="36"/>
      <c r="Y65" s="36"/>
    </row>
    <row r="66" spans="2:25" s="62" customFormat="1" x14ac:dyDescent="0.25">
      <c r="B66" s="1" t="s">
        <v>90</v>
      </c>
      <c r="C66" s="3" t="s">
        <v>25</v>
      </c>
      <c r="D66" s="3" t="s">
        <v>209</v>
      </c>
      <c r="E66" s="4">
        <v>36526</v>
      </c>
      <c r="F66" s="4">
        <v>36677</v>
      </c>
      <c r="G66" s="1" t="s">
        <v>210</v>
      </c>
      <c r="H66" s="1" t="s">
        <v>24</v>
      </c>
      <c r="I66" s="3" t="s">
        <v>23</v>
      </c>
      <c r="J66" s="8">
        <v>0.87390000000000001</v>
      </c>
      <c r="K66" s="5"/>
      <c r="L66" s="5"/>
      <c r="M66" s="5"/>
      <c r="N66" s="5"/>
      <c r="O66" s="43"/>
      <c r="P66" s="5"/>
      <c r="Q66" s="24">
        <v>891719</v>
      </c>
      <c r="R66" s="3">
        <v>300</v>
      </c>
      <c r="S66" s="1" t="s">
        <v>211</v>
      </c>
      <c r="T66" s="9">
        <f>(+R66*J66)*31</f>
        <v>8127.27</v>
      </c>
      <c r="U66" s="9"/>
      <c r="V66" s="56">
        <v>202419</v>
      </c>
      <c r="W66" s="1"/>
      <c r="X66" s="36"/>
      <c r="Y66" s="36"/>
    </row>
    <row r="67" spans="2:25" s="111" customFormat="1" x14ac:dyDescent="0.25">
      <c r="B67" s="112" t="s">
        <v>183</v>
      </c>
      <c r="C67" s="113" t="s">
        <v>25</v>
      </c>
      <c r="D67" s="113" t="s">
        <v>125</v>
      </c>
      <c r="E67" s="114">
        <v>36617</v>
      </c>
      <c r="F67" s="114">
        <v>37560</v>
      </c>
      <c r="G67" s="112" t="s">
        <v>381</v>
      </c>
      <c r="H67" s="112" t="s">
        <v>382</v>
      </c>
      <c r="I67" s="113" t="s">
        <v>22</v>
      </c>
      <c r="J67" s="116">
        <v>0.7</v>
      </c>
      <c r="K67" s="117"/>
      <c r="L67" s="117"/>
      <c r="M67" s="117"/>
      <c r="N67" s="117"/>
      <c r="O67" s="118"/>
      <c r="P67" s="117"/>
      <c r="Q67" s="122">
        <v>893067</v>
      </c>
      <c r="R67" s="113">
        <v>16</v>
      </c>
      <c r="S67" s="112" t="s">
        <v>445</v>
      </c>
      <c r="T67" s="120">
        <f t="shared" ref="T67:T74" si="6">J67*J$1*R67</f>
        <v>347.2</v>
      </c>
      <c r="U67" s="120"/>
      <c r="V67" s="121">
        <v>233233</v>
      </c>
      <c r="W67" s="112"/>
      <c r="X67" s="125"/>
      <c r="Y67" s="125"/>
    </row>
    <row r="68" spans="2:25" s="111" customFormat="1" x14ac:dyDescent="0.25">
      <c r="B68" s="112" t="s">
        <v>183</v>
      </c>
      <c r="C68" s="113" t="s">
        <v>25</v>
      </c>
      <c r="D68" s="113" t="s">
        <v>125</v>
      </c>
      <c r="E68" s="114">
        <v>36617</v>
      </c>
      <c r="F68" s="114">
        <v>41029</v>
      </c>
      <c r="G68" s="112" t="s">
        <v>24</v>
      </c>
      <c r="H68" s="112" t="s">
        <v>24</v>
      </c>
      <c r="I68" s="113" t="s">
        <v>22</v>
      </c>
      <c r="J68" s="116">
        <f>6.279/J1</f>
        <v>0.2025483870967742</v>
      </c>
      <c r="K68" s="117"/>
      <c r="L68" s="117"/>
      <c r="M68" s="117"/>
      <c r="N68" s="117"/>
      <c r="O68" s="118"/>
      <c r="P68" s="117"/>
      <c r="Q68" s="122">
        <v>893066</v>
      </c>
      <c r="R68" s="113">
        <v>67</v>
      </c>
      <c r="S68" s="112" t="s">
        <v>444</v>
      </c>
      <c r="T68" s="120">
        <f t="shared" si="6"/>
        <v>420.69299999999998</v>
      </c>
      <c r="U68" s="120"/>
      <c r="V68" s="121">
        <v>233232</v>
      </c>
      <c r="W68" s="112"/>
      <c r="X68" s="125"/>
      <c r="Y68" s="125"/>
    </row>
    <row r="69" spans="2:25" s="111" customFormat="1" x14ac:dyDescent="0.25">
      <c r="B69" s="112" t="s">
        <v>183</v>
      </c>
      <c r="C69" s="113" t="s">
        <v>25</v>
      </c>
      <c r="D69" s="113" t="s">
        <v>125</v>
      </c>
      <c r="E69" s="114">
        <v>36617</v>
      </c>
      <c r="F69" s="114">
        <v>39021</v>
      </c>
      <c r="G69" s="112" t="s">
        <v>381</v>
      </c>
      <c r="H69" s="112" t="s">
        <v>24</v>
      </c>
      <c r="I69" s="113" t="s">
        <v>23</v>
      </c>
      <c r="J69" s="116">
        <v>0.7</v>
      </c>
      <c r="K69" s="117"/>
      <c r="L69" s="117"/>
      <c r="M69" s="117"/>
      <c r="N69" s="117"/>
      <c r="O69" s="118"/>
      <c r="P69" s="117"/>
      <c r="Q69" s="122">
        <v>893064</v>
      </c>
      <c r="R69" s="113">
        <v>104</v>
      </c>
      <c r="S69" s="112" t="s">
        <v>443</v>
      </c>
      <c r="T69" s="120">
        <f t="shared" si="6"/>
        <v>2256.7999999999997</v>
      </c>
      <c r="U69" s="120"/>
      <c r="V69" s="121">
        <v>276559</v>
      </c>
      <c r="W69" s="112"/>
      <c r="X69" s="125"/>
      <c r="Y69" s="125"/>
    </row>
    <row r="70" spans="2:25" s="111" customFormat="1" x14ac:dyDescent="0.25">
      <c r="B70" s="112" t="s">
        <v>183</v>
      </c>
      <c r="C70" s="113" t="s">
        <v>25</v>
      </c>
      <c r="D70" s="113" t="s">
        <v>125</v>
      </c>
      <c r="E70" s="114">
        <v>36617</v>
      </c>
      <c r="F70" s="114">
        <v>39021</v>
      </c>
      <c r="G70" s="112" t="s">
        <v>381</v>
      </c>
      <c r="H70" s="112" t="s">
        <v>24</v>
      </c>
      <c r="I70" s="113" t="s">
        <v>22</v>
      </c>
      <c r="J70" s="116">
        <v>0.7</v>
      </c>
      <c r="K70" s="117"/>
      <c r="L70" s="117"/>
      <c r="M70" s="117"/>
      <c r="N70" s="117"/>
      <c r="O70" s="118"/>
      <c r="P70" s="117"/>
      <c r="Q70" s="122">
        <v>893062</v>
      </c>
      <c r="R70" s="113">
        <v>124</v>
      </c>
      <c r="S70" s="112" t="s">
        <v>442</v>
      </c>
      <c r="T70" s="120">
        <f t="shared" si="6"/>
        <v>2690.7999999999997</v>
      </c>
      <c r="U70" s="120"/>
      <c r="V70" s="121">
        <v>233230</v>
      </c>
      <c r="W70" s="112"/>
      <c r="X70" s="125"/>
      <c r="Y70" s="125"/>
    </row>
    <row r="71" spans="2:25" s="111" customFormat="1" x14ac:dyDescent="0.25">
      <c r="B71" s="112" t="s">
        <v>183</v>
      </c>
      <c r="C71" s="113" t="s">
        <v>25</v>
      </c>
      <c r="D71" s="113" t="s">
        <v>125</v>
      </c>
      <c r="E71" s="114">
        <v>36617</v>
      </c>
      <c r="F71" s="114">
        <v>41394</v>
      </c>
      <c r="G71" s="112"/>
      <c r="H71" s="112" t="s">
        <v>439</v>
      </c>
      <c r="I71" s="113" t="s">
        <v>129</v>
      </c>
      <c r="J71" s="116">
        <f>5.643/J1</f>
        <v>0.18203225806451612</v>
      </c>
      <c r="K71" s="117"/>
      <c r="L71" s="117"/>
      <c r="M71" s="117"/>
      <c r="N71" s="117"/>
      <c r="O71" s="118"/>
      <c r="P71" s="117"/>
      <c r="Q71" s="122">
        <v>893061</v>
      </c>
      <c r="R71" s="113">
        <v>151</v>
      </c>
      <c r="S71" s="112" t="s">
        <v>441</v>
      </c>
      <c r="T71" s="120">
        <f t="shared" si="6"/>
        <v>852.09299999999996</v>
      </c>
      <c r="U71" s="120"/>
      <c r="V71" s="121">
        <v>233229</v>
      </c>
      <c r="W71" s="112"/>
      <c r="X71" s="125"/>
      <c r="Y71" s="125"/>
    </row>
    <row r="72" spans="2:25" s="111" customFormat="1" x14ac:dyDescent="0.25">
      <c r="B72" s="112" t="s">
        <v>183</v>
      </c>
      <c r="C72" s="113" t="s">
        <v>25</v>
      </c>
      <c r="D72" s="113" t="s">
        <v>125</v>
      </c>
      <c r="E72" s="114">
        <v>36617</v>
      </c>
      <c r="F72" s="114">
        <v>41394</v>
      </c>
      <c r="G72" s="112"/>
      <c r="H72" s="112" t="s">
        <v>439</v>
      </c>
      <c r="I72" s="113" t="s">
        <v>129</v>
      </c>
      <c r="J72" s="116">
        <v>0.1343</v>
      </c>
      <c r="K72" s="117"/>
      <c r="L72" s="117"/>
      <c r="M72" s="117"/>
      <c r="N72" s="117"/>
      <c r="O72" s="118"/>
      <c r="P72" s="117"/>
      <c r="Q72" s="122">
        <v>893061</v>
      </c>
      <c r="R72" s="113">
        <v>10843</v>
      </c>
      <c r="S72" s="112" t="s">
        <v>441</v>
      </c>
      <c r="T72" s="120">
        <f>+J72*R72</f>
        <v>1456.2148999999999</v>
      </c>
      <c r="U72" s="120"/>
      <c r="V72" s="121">
        <v>233229</v>
      </c>
      <c r="W72" s="112"/>
      <c r="X72" s="125"/>
      <c r="Y72" s="125"/>
    </row>
    <row r="73" spans="2:25" s="111" customFormat="1" x14ac:dyDescent="0.25">
      <c r="B73" s="112" t="s">
        <v>183</v>
      </c>
      <c r="C73" s="113" t="s">
        <v>25</v>
      </c>
      <c r="D73" s="113" t="s">
        <v>125</v>
      </c>
      <c r="E73" s="114">
        <v>36617</v>
      </c>
      <c r="F73" s="114">
        <v>36830</v>
      </c>
      <c r="G73" s="112" t="s">
        <v>29</v>
      </c>
      <c r="H73" s="112" t="s">
        <v>24</v>
      </c>
      <c r="I73" s="113" t="s">
        <v>23</v>
      </c>
      <c r="J73" s="116">
        <f>7.136/J1</f>
        <v>0.23019354838709677</v>
      </c>
      <c r="K73" s="117"/>
      <c r="L73" s="117"/>
      <c r="M73" s="117"/>
      <c r="N73" s="117"/>
      <c r="O73" s="118"/>
      <c r="P73" s="117"/>
      <c r="Q73" s="122">
        <v>893068</v>
      </c>
      <c r="R73" s="113">
        <v>10</v>
      </c>
      <c r="S73" s="112" t="s">
        <v>446</v>
      </c>
      <c r="T73" s="120">
        <f t="shared" si="6"/>
        <v>71.36</v>
      </c>
      <c r="U73" s="120"/>
      <c r="V73" s="121">
        <v>233228</v>
      </c>
      <c r="W73" s="112"/>
      <c r="X73" s="125"/>
      <c r="Y73" s="125"/>
    </row>
    <row r="74" spans="2:25" s="111" customFormat="1" x14ac:dyDescent="0.25">
      <c r="B74" s="112" t="s">
        <v>183</v>
      </c>
      <c r="C74" s="113" t="s">
        <v>25</v>
      </c>
      <c r="D74" s="113" t="s">
        <v>125</v>
      </c>
      <c r="E74" s="114">
        <v>36617</v>
      </c>
      <c r="F74" s="114">
        <v>39021</v>
      </c>
      <c r="G74" s="112" t="s">
        <v>381</v>
      </c>
      <c r="H74" s="112" t="s">
        <v>24</v>
      </c>
      <c r="I74" s="113" t="s">
        <v>22</v>
      </c>
      <c r="J74" s="116">
        <v>0.7</v>
      </c>
      <c r="K74" s="117"/>
      <c r="L74" s="117"/>
      <c r="M74" s="117"/>
      <c r="N74" s="117"/>
      <c r="O74" s="118"/>
      <c r="P74" s="117"/>
      <c r="Q74" s="122">
        <v>893069</v>
      </c>
      <c r="R74" s="113">
        <v>150</v>
      </c>
      <c r="S74" s="112" t="s">
        <v>440</v>
      </c>
      <c r="T74" s="120">
        <f t="shared" si="6"/>
        <v>3255</v>
      </c>
      <c r="U74" s="120"/>
      <c r="V74" s="121">
        <v>233219</v>
      </c>
      <c r="W74" s="112"/>
      <c r="X74" s="125"/>
      <c r="Y74" s="125"/>
    </row>
    <row r="75" spans="2:25" s="111" customFormat="1" x14ac:dyDescent="0.25">
      <c r="B75" s="112" t="s">
        <v>183</v>
      </c>
      <c r="C75" s="113" t="s">
        <v>25</v>
      </c>
      <c r="D75" s="113" t="s">
        <v>161</v>
      </c>
      <c r="E75" s="114">
        <v>36647</v>
      </c>
      <c r="F75" s="114">
        <v>36677</v>
      </c>
      <c r="G75" s="112" t="s">
        <v>21</v>
      </c>
      <c r="H75" s="112" t="s">
        <v>24</v>
      </c>
      <c r="I75" s="113" t="s">
        <v>23</v>
      </c>
      <c r="J75" s="116">
        <v>0.65</v>
      </c>
      <c r="K75" s="117">
        <v>0</v>
      </c>
      <c r="L75" s="117">
        <v>2.2000000000000001E-3</v>
      </c>
      <c r="M75" s="117">
        <v>0</v>
      </c>
      <c r="N75" s="117">
        <v>0</v>
      </c>
      <c r="O75" s="118">
        <v>0</v>
      </c>
      <c r="P75" s="117">
        <f>SUM(J75:N75)</f>
        <v>0.6522</v>
      </c>
      <c r="Q75" s="122">
        <v>893255</v>
      </c>
      <c r="R75" s="113">
        <v>103</v>
      </c>
      <c r="S75" s="112" t="s">
        <v>404</v>
      </c>
      <c r="T75" s="120">
        <f>J75*J$1*R75</f>
        <v>2075.4500000000003</v>
      </c>
      <c r="U75" s="120"/>
      <c r="V75" s="143" t="s">
        <v>405</v>
      </c>
      <c r="W75" s="112"/>
      <c r="X75" s="125"/>
      <c r="Y75" s="125"/>
    </row>
    <row r="76" spans="2:25" s="111" customFormat="1" x14ac:dyDescent="0.25">
      <c r="B76" s="112" t="s">
        <v>183</v>
      </c>
      <c r="C76" s="113" t="s">
        <v>25</v>
      </c>
      <c r="D76" s="113" t="s">
        <v>195</v>
      </c>
      <c r="E76" s="114">
        <v>36647</v>
      </c>
      <c r="F76" s="114">
        <v>36677</v>
      </c>
      <c r="G76" s="112" t="s">
        <v>29</v>
      </c>
      <c r="H76" s="112" t="s">
        <v>29</v>
      </c>
      <c r="I76" s="113" t="s">
        <v>219</v>
      </c>
      <c r="J76" s="116">
        <f>1.2167/30</f>
        <v>4.0556666666666664E-2</v>
      </c>
      <c r="K76" s="117"/>
      <c r="L76" s="117"/>
      <c r="M76" s="117"/>
      <c r="N76" s="117"/>
      <c r="O76" s="118"/>
      <c r="P76" s="117"/>
      <c r="Q76" s="122">
        <v>893310</v>
      </c>
      <c r="R76" s="113">
        <v>41</v>
      </c>
      <c r="S76" s="112" t="s">
        <v>428</v>
      </c>
      <c r="T76" s="120">
        <f>+J76*R76*J$1</f>
        <v>51.547523333333331</v>
      </c>
      <c r="U76" s="120"/>
      <c r="V76" s="121">
        <v>254436</v>
      </c>
      <c r="W76" s="112"/>
      <c r="X76" s="125"/>
      <c r="Y76" s="125"/>
    </row>
    <row r="77" spans="2:25" s="111" customFormat="1" x14ac:dyDescent="0.25">
      <c r="B77" s="112" t="s">
        <v>183</v>
      </c>
      <c r="C77" s="113" t="s">
        <v>25</v>
      </c>
      <c r="D77" s="113" t="s">
        <v>195</v>
      </c>
      <c r="E77" s="114">
        <v>36617</v>
      </c>
      <c r="F77" s="114">
        <v>36646</v>
      </c>
      <c r="G77" s="112" t="s">
        <v>218</v>
      </c>
      <c r="H77" s="112" t="s">
        <v>29</v>
      </c>
      <c r="I77" s="113" t="s">
        <v>22</v>
      </c>
      <c r="J77" s="116">
        <f>5.075/30</f>
        <v>0.16916666666666666</v>
      </c>
      <c r="K77" s="117"/>
      <c r="L77" s="117"/>
      <c r="M77" s="117"/>
      <c r="N77" s="117"/>
      <c r="O77" s="118"/>
      <c r="P77" s="117"/>
      <c r="Q77" s="122">
        <v>893309</v>
      </c>
      <c r="R77" s="113">
        <v>41</v>
      </c>
      <c r="S77" s="112" t="s">
        <v>427</v>
      </c>
      <c r="T77" s="120">
        <f>+J77*R77*J$1</f>
        <v>215.01083333333332</v>
      </c>
      <c r="U77" s="120"/>
      <c r="V77" s="121">
        <v>254432</v>
      </c>
      <c r="W77" s="112"/>
      <c r="X77" s="125"/>
      <c r="Y77" s="125"/>
    </row>
    <row r="78" spans="2:25" s="80" customFormat="1" x14ac:dyDescent="0.25">
      <c r="B78" s="42" t="s">
        <v>90</v>
      </c>
      <c r="C78" s="72" t="s">
        <v>25</v>
      </c>
      <c r="D78" s="72" t="s">
        <v>125</v>
      </c>
      <c r="E78" s="73">
        <v>36617</v>
      </c>
      <c r="F78" s="73">
        <v>36830</v>
      </c>
      <c r="G78" s="42" t="s">
        <v>29</v>
      </c>
      <c r="H78" s="42" t="s">
        <v>24</v>
      </c>
      <c r="I78" s="72" t="s">
        <v>23</v>
      </c>
      <c r="J78" s="74">
        <f>7.136/J$1</f>
        <v>0.23019354838709677</v>
      </c>
      <c r="K78" s="75"/>
      <c r="L78" s="75"/>
      <c r="M78" s="75"/>
      <c r="N78" s="75"/>
      <c r="O78" s="76"/>
      <c r="P78" s="75"/>
      <c r="Q78" s="77">
        <v>889165</v>
      </c>
      <c r="R78" s="72">
        <v>10</v>
      </c>
      <c r="S78" s="42" t="s">
        <v>483</v>
      </c>
      <c r="T78" s="78">
        <f t="shared" ref="T78:T85" si="7">J78*J$1*R78</f>
        <v>71.36</v>
      </c>
      <c r="U78" s="78"/>
      <c r="V78" s="110">
        <v>276479</v>
      </c>
      <c r="W78" s="42"/>
      <c r="X78" s="79"/>
      <c r="Y78" s="79"/>
    </row>
    <row r="79" spans="2:25" s="80" customFormat="1" x14ac:dyDescent="0.25">
      <c r="B79" s="42" t="s">
        <v>90</v>
      </c>
      <c r="C79" s="72" t="s">
        <v>25</v>
      </c>
      <c r="D79" s="72" t="s">
        <v>125</v>
      </c>
      <c r="E79" s="73">
        <v>36617</v>
      </c>
      <c r="F79" s="73">
        <v>36830</v>
      </c>
      <c r="G79" s="42" t="s">
        <v>29</v>
      </c>
      <c r="H79" s="42" t="s">
        <v>24</v>
      </c>
      <c r="I79" s="72" t="s">
        <v>23</v>
      </c>
      <c r="J79" s="74">
        <f>7.136/J$1</f>
        <v>0.23019354838709677</v>
      </c>
      <c r="K79" s="75"/>
      <c r="L79" s="75"/>
      <c r="M79" s="75"/>
      <c r="N79" s="75"/>
      <c r="O79" s="76"/>
      <c r="P79" s="75"/>
      <c r="Q79" s="77">
        <v>889165</v>
      </c>
      <c r="R79" s="72">
        <v>-10</v>
      </c>
      <c r="S79" s="42" t="s">
        <v>484</v>
      </c>
      <c r="T79" s="78">
        <f t="shared" si="7"/>
        <v>-71.36</v>
      </c>
      <c r="U79" s="78"/>
      <c r="V79" s="110"/>
      <c r="W79" s="42"/>
      <c r="X79" s="79"/>
      <c r="Y79" s="79"/>
    </row>
    <row r="80" spans="2:25" s="80" customFormat="1" x14ac:dyDescent="0.25">
      <c r="B80" s="42" t="s">
        <v>183</v>
      </c>
      <c r="C80" s="72" t="s">
        <v>25</v>
      </c>
      <c r="D80" s="72" t="s">
        <v>125</v>
      </c>
      <c r="E80" s="73">
        <v>36617</v>
      </c>
      <c r="F80" s="73">
        <v>37560</v>
      </c>
      <c r="G80" s="42" t="s">
        <v>381</v>
      </c>
      <c r="H80" s="42" t="s">
        <v>382</v>
      </c>
      <c r="I80" s="72" t="s">
        <v>22</v>
      </c>
      <c r="J80" s="74">
        <v>0.50829999999999997</v>
      </c>
      <c r="K80" s="75"/>
      <c r="L80" s="75"/>
      <c r="M80" s="75"/>
      <c r="N80" s="75"/>
      <c r="O80" s="76"/>
      <c r="P80" s="75"/>
      <c r="Q80" s="77">
        <v>889122</v>
      </c>
      <c r="R80" s="72">
        <v>16</v>
      </c>
      <c r="S80" s="42" t="s">
        <v>485</v>
      </c>
      <c r="T80" s="78">
        <f t="shared" si="7"/>
        <v>252.11679999999998</v>
      </c>
      <c r="U80" s="78"/>
      <c r="V80" s="110">
        <v>276496</v>
      </c>
      <c r="W80" s="42"/>
      <c r="X80" s="79"/>
      <c r="Y80" s="79"/>
    </row>
    <row r="81" spans="2:25" s="80" customFormat="1" x14ac:dyDescent="0.25">
      <c r="B81" s="42" t="s">
        <v>183</v>
      </c>
      <c r="C81" s="72" t="s">
        <v>25</v>
      </c>
      <c r="D81" s="72" t="s">
        <v>125</v>
      </c>
      <c r="E81" s="73">
        <v>36617</v>
      </c>
      <c r="F81" s="73">
        <v>37560</v>
      </c>
      <c r="G81" s="42" t="s">
        <v>381</v>
      </c>
      <c r="H81" s="42" t="s">
        <v>382</v>
      </c>
      <c r="I81" s="72" t="s">
        <v>22</v>
      </c>
      <c r="J81" s="74">
        <v>0.50829999999999997</v>
      </c>
      <c r="K81" s="75"/>
      <c r="L81" s="75"/>
      <c r="M81" s="75"/>
      <c r="N81" s="75"/>
      <c r="O81" s="76"/>
      <c r="P81" s="75"/>
      <c r="Q81" s="77">
        <v>889122</v>
      </c>
      <c r="R81" s="72">
        <v>-16</v>
      </c>
      <c r="S81" s="42" t="s">
        <v>486</v>
      </c>
      <c r="T81" s="78">
        <f t="shared" si="7"/>
        <v>-252.11679999999998</v>
      </c>
      <c r="U81" s="78"/>
      <c r="V81" s="110"/>
      <c r="W81" s="42"/>
      <c r="X81" s="79"/>
      <c r="Y81" s="79"/>
    </row>
    <row r="82" spans="2:25" s="80" customFormat="1" x14ac:dyDescent="0.25">
      <c r="B82" s="42" t="s">
        <v>183</v>
      </c>
      <c r="C82" s="72" t="s">
        <v>25</v>
      </c>
      <c r="D82" s="72" t="s">
        <v>125</v>
      </c>
      <c r="E82" s="73">
        <v>36617</v>
      </c>
      <c r="F82" s="73">
        <v>39021</v>
      </c>
      <c r="G82" s="42" t="s">
        <v>381</v>
      </c>
      <c r="H82" s="42" t="s">
        <v>24</v>
      </c>
      <c r="I82" s="72" t="s">
        <v>22</v>
      </c>
      <c r="J82" s="74">
        <v>0.77500000000000002</v>
      </c>
      <c r="K82" s="75"/>
      <c r="L82" s="75"/>
      <c r="M82" s="75"/>
      <c r="N82" s="75"/>
      <c r="O82" s="76"/>
      <c r="P82" s="75"/>
      <c r="Q82" s="77">
        <v>889124</v>
      </c>
      <c r="R82" s="72">
        <v>124</v>
      </c>
      <c r="S82" s="42" t="s">
        <v>487</v>
      </c>
      <c r="T82" s="78">
        <f t="shared" si="7"/>
        <v>2979.1000000000004</v>
      </c>
      <c r="U82" s="78"/>
      <c r="V82" s="110">
        <v>276504</v>
      </c>
      <c r="W82" s="42"/>
      <c r="X82" s="79"/>
      <c r="Y82" s="79"/>
    </row>
    <row r="83" spans="2:25" s="80" customFormat="1" x14ac:dyDescent="0.25">
      <c r="B83" s="42" t="s">
        <v>183</v>
      </c>
      <c r="C83" s="72" t="s">
        <v>25</v>
      </c>
      <c r="D83" s="72" t="s">
        <v>125</v>
      </c>
      <c r="E83" s="73">
        <v>36617</v>
      </c>
      <c r="F83" s="73">
        <v>39021</v>
      </c>
      <c r="G83" s="42" t="s">
        <v>381</v>
      </c>
      <c r="H83" s="42" t="s">
        <v>24</v>
      </c>
      <c r="I83" s="72" t="s">
        <v>22</v>
      </c>
      <c r="J83" s="74">
        <v>0.6</v>
      </c>
      <c r="K83" s="75"/>
      <c r="L83" s="75"/>
      <c r="M83" s="75"/>
      <c r="N83" s="75"/>
      <c r="O83" s="76"/>
      <c r="P83" s="75"/>
      <c r="Q83" s="77">
        <v>889124</v>
      </c>
      <c r="R83" s="72">
        <v>-124</v>
      </c>
      <c r="S83" s="42" t="s">
        <v>488</v>
      </c>
      <c r="T83" s="78">
        <f t="shared" si="7"/>
        <v>-2306.3999999999996</v>
      </c>
      <c r="U83" s="78"/>
      <c r="V83" s="110"/>
      <c r="W83" s="42"/>
      <c r="X83" s="79"/>
      <c r="Y83" s="79"/>
    </row>
    <row r="84" spans="2:25" s="80" customFormat="1" x14ac:dyDescent="0.25">
      <c r="B84" s="42" t="s">
        <v>90</v>
      </c>
      <c r="C84" s="72" t="s">
        <v>25</v>
      </c>
      <c r="D84" s="72" t="s">
        <v>125</v>
      </c>
      <c r="E84" s="73">
        <v>36617</v>
      </c>
      <c r="F84" s="73">
        <v>39021</v>
      </c>
      <c r="G84" s="42" t="s">
        <v>381</v>
      </c>
      <c r="H84" s="42" t="s">
        <v>24</v>
      </c>
      <c r="I84" s="72" t="s">
        <v>22</v>
      </c>
      <c r="J84" s="74">
        <v>0.61</v>
      </c>
      <c r="K84" s="75"/>
      <c r="L84" s="75"/>
      <c r="M84" s="75"/>
      <c r="N84" s="75"/>
      <c r="O84" s="76"/>
      <c r="P84" s="75"/>
      <c r="Q84" s="77">
        <v>889126</v>
      </c>
      <c r="R84" s="72">
        <v>150</v>
      </c>
      <c r="S84" s="42" t="s">
        <v>489</v>
      </c>
      <c r="T84" s="78">
        <f t="shared" si="7"/>
        <v>2836.5</v>
      </c>
      <c r="U84" s="78"/>
      <c r="V84" s="110">
        <v>276512</v>
      </c>
      <c r="W84" s="42"/>
      <c r="X84" s="79"/>
      <c r="Y84" s="79"/>
    </row>
    <row r="85" spans="2:25" s="80" customFormat="1" x14ac:dyDescent="0.25">
      <c r="B85" s="42" t="s">
        <v>90</v>
      </c>
      <c r="C85" s="72" t="s">
        <v>25</v>
      </c>
      <c r="D85" s="72" t="s">
        <v>125</v>
      </c>
      <c r="E85" s="73">
        <v>36617</v>
      </c>
      <c r="F85" s="73">
        <v>39021</v>
      </c>
      <c r="G85" s="42" t="s">
        <v>381</v>
      </c>
      <c r="H85" s="42" t="s">
        <v>24</v>
      </c>
      <c r="I85" s="72" t="s">
        <v>22</v>
      </c>
      <c r="J85" s="74">
        <v>0.84399999999999997</v>
      </c>
      <c r="K85" s="75"/>
      <c r="L85" s="75"/>
      <c r="M85" s="75"/>
      <c r="N85" s="75"/>
      <c r="O85" s="76"/>
      <c r="P85" s="75"/>
      <c r="Q85" s="77">
        <v>889126</v>
      </c>
      <c r="R85" s="72">
        <v>-150</v>
      </c>
      <c r="S85" s="42" t="s">
        <v>440</v>
      </c>
      <c r="T85" s="78">
        <f t="shared" si="7"/>
        <v>-3924.6</v>
      </c>
      <c r="U85" s="78"/>
      <c r="V85" s="110"/>
      <c r="W85" s="42"/>
      <c r="X85" s="79"/>
      <c r="Y85" s="79"/>
    </row>
    <row r="86" spans="2:25" ht="11.25" customHeight="1" x14ac:dyDescent="0.25">
      <c r="B86" s="1"/>
      <c r="C86" s="3"/>
      <c r="D86" s="3"/>
      <c r="E86" s="4"/>
      <c r="F86" s="4"/>
      <c r="G86" s="1"/>
      <c r="H86" s="1"/>
      <c r="I86" s="3"/>
      <c r="J86" s="8"/>
      <c r="K86" s="5"/>
      <c r="L86" s="23"/>
      <c r="M86" s="5"/>
      <c r="N86" s="5"/>
      <c r="O86" s="43"/>
      <c r="P86" s="5"/>
      <c r="Q86" s="24"/>
      <c r="R86" s="2">
        <f>SUM(R58:R85)</f>
        <v>12473</v>
      </c>
      <c r="S86" s="3"/>
      <c r="T86" s="9">
        <f>SUM(T58:T85)</f>
        <v>23347.739256666668</v>
      </c>
      <c r="U86" s="9"/>
      <c r="V86" s="56"/>
      <c r="W86" s="1"/>
      <c r="X86" s="36"/>
      <c r="Y86" s="36"/>
    </row>
    <row r="87" spans="2:25" x14ac:dyDescent="0.25">
      <c r="B87" s="16" t="s">
        <v>4</v>
      </c>
      <c r="C87" s="17" t="s">
        <v>5</v>
      </c>
      <c r="D87" s="17" t="s">
        <v>6</v>
      </c>
      <c r="E87" s="18" t="s">
        <v>7</v>
      </c>
      <c r="F87" s="18"/>
      <c r="G87" s="16" t="s">
        <v>8</v>
      </c>
      <c r="H87" s="16" t="s">
        <v>9</v>
      </c>
      <c r="I87" s="17" t="s">
        <v>49</v>
      </c>
      <c r="J87" s="19" t="s">
        <v>10</v>
      </c>
      <c r="K87" s="17" t="s">
        <v>11</v>
      </c>
      <c r="L87" s="17" t="s">
        <v>12</v>
      </c>
      <c r="M87" s="17" t="s">
        <v>13</v>
      </c>
      <c r="N87" s="17" t="s">
        <v>14</v>
      </c>
      <c r="O87" s="44" t="s">
        <v>15</v>
      </c>
      <c r="P87" s="17" t="s">
        <v>16</v>
      </c>
      <c r="Q87" s="20" t="s">
        <v>181</v>
      </c>
      <c r="R87" s="17" t="s">
        <v>17</v>
      </c>
      <c r="S87" s="16" t="s">
        <v>18</v>
      </c>
      <c r="T87" s="21" t="s">
        <v>48</v>
      </c>
      <c r="U87" s="21" t="s">
        <v>47</v>
      </c>
      <c r="V87" s="54" t="s">
        <v>182</v>
      </c>
      <c r="W87" s="59">
        <f>+W13</f>
        <v>0</v>
      </c>
      <c r="X87" s="36"/>
      <c r="Y87" s="36"/>
    </row>
    <row r="88" spans="2:25" s="111" customFormat="1" x14ac:dyDescent="0.25">
      <c r="B88" s="112" t="s">
        <v>183</v>
      </c>
      <c r="C88" s="113" t="s">
        <v>130</v>
      </c>
      <c r="D88" s="113" t="s">
        <v>125</v>
      </c>
      <c r="E88" s="114">
        <v>36220</v>
      </c>
      <c r="F88" s="114">
        <v>38656</v>
      </c>
      <c r="G88" s="112" t="s">
        <v>133</v>
      </c>
      <c r="H88" s="112" t="s">
        <v>131</v>
      </c>
      <c r="I88" s="113" t="s">
        <v>132</v>
      </c>
      <c r="J88" s="116">
        <v>0.30330000000000001</v>
      </c>
      <c r="K88" s="117">
        <v>0</v>
      </c>
      <c r="L88" s="117">
        <v>2.2000000000000001E-3</v>
      </c>
      <c r="M88" s="117">
        <v>0</v>
      </c>
      <c r="N88" s="117">
        <v>0</v>
      </c>
      <c r="O88" s="118">
        <v>0</v>
      </c>
      <c r="P88" s="117">
        <f>SUM(J88:N88)</f>
        <v>0.30549999999999999</v>
      </c>
      <c r="Q88" s="122" t="s">
        <v>196</v>
      </c>
      <c r="R88" s="113">
        <v>25</v>
      </c>
      <c r="S88" s="112" t="s">
        <v>194</v>
      </c>
      <c r="T88" s="120">
        <f>J88*J$1*R88</f>
        <v>235.0575</v>
      </c>
      <c r="U88" s="120"/>
      <c r="V88" s="121">
        <v>157260</v>
      </c>
      <c r="W88" s="112"/>
      <c r="X88" s="125"/>
      <c r="Y88" s="125"/>
    </row>
    <row r="89" spans="2:25" s="111" customFormat="1" x14ac:dyDescent="0.25">
      <c r="B89" s="112" t="s">
        <v>183</v>
      </c>
      <c r="C89" s="113" t="s">
        <v>130</v>
      </c>
      <c r="D89" s="113" t="s">
        <v>125</v>
      </c>
      <c r="E89" s="114">
        <v>36220</v>
      </c>
      <c r="F89" s="114">
        <v>38656</v>
      </c>
      <c r="G89" s="112" t="s">
        <v>134</v>
      </c>
      <c r="H89" s="112" t="s">
        <v>131</v>
      </c>
      <c r="I89" s="113" t="s">
        <v>132</v>
      </c>
      <c r="J89" s="116">
        <v>0.30330000000000001</v>
      </c>
      <c r="K89" s="117">
        <v>0</v>
      </c>
      <c r="L89" s="117">
        <v>2.2000000000000001E-3</v>
      </c>
      <c r="M89" s="117">
        <v>0</v>
      </c>
      <c r="N89" s="117">
        <v>0</v>
      </c>
      <c r="O89" s="118">
        <v>0</v>
      </c>
      <c r="P89" s="117">
        <f>SUM(J89:N89)</f>
        <v>0.30549999999999999</v>
      </c>
      <c r="Q89" s="122" t="s">
        <v>196</v>
      </c>
      <c r="R89" s="113">
        <v>21</v>
      </c>
      <c r="S89" s="112" t="s">
        <v>194</v>
      </c>
      <c r="T89" s="120">
        <f>J89*J$1*R89</f>
        <v>197.44830000000002</v>
      </c>
      <c r="U89" s="120"/>
      <c r="V89" s="121">
        <v>157260</v>
      </c>
      <c r="W89" s="112"/>
      <c r="X89" s="125"/>
      <c r="Y89" s="125"/>
    </row>
    <row r="90" spans="2:25" s="111" customFormat="1" x14ac:dyDescent="0.25">
      <c r="B90" s="112" t="s">
        <v>183</v>
      </c>
      <c r="C90" s="113" t="s">
        <v>130</v>
      </c>
      <c r="D90" s="113" t="s">
        <v>195</v>
      </c>
      <c r="E90" s="114">
        <v>36647</v>
      </c>
      <c r="F90" s="114">
        <v>36677</v>
      </c>
      <c r="G90" s="112" t="s">
        <v>134</v>
      </c>
      <c r="H90" s="112" t="s">
        <v>131</v>
      </c>
      <c r="I90" s="113" t="s">
        <v>132</v>
      </c>
      <c r="J90" s="128">
        <v>0.30740000000000001</v>
      </c>
      <c r="K90" s="128">
        <v>2.7900000000000001E-2</v>
      </c>
      <c r="L90" s="128">
        <v>2.2000000000000001E-3</v>
      </c>
      <c r="M90" s="128">
        <v>7.1999999999999998E-3</v>
      </c>
      <c r="N90" s="128">
        <v>0</v>
      </c>
      <c r="O90" s="118">
        <v>0</v>
      </c>
      <c r="P90" s="117">
        <f>SUM(J90:N90)</f>
        <v>0.34469999999999995</v>
      </c>
      <c r="Q90" s="122" t="s">
        <v>425</v>
      </c>
      <c r="R90" s="122">
        <v>1405</v>
      </c>
      <c r="S90" s="113" t="s">
        <v>426</v>
      </c>
      <c r="T90" s="129">
        <f>+(0.3074*R90)*31</f>
        <v>13388.806999999999</v>
      </c>
      <c r="U90" s="129"/>
      <c r="V90" s="130">
        <v>254533</v>
      </c>
      <c r="W90" s="112"/>
      <c r="X90" s="125"/>
      <c r="Y90" s="125"/>
    </row>
    <row r="91" spans="2:25" x14ac:dyDescent="0.25">
      <c r="B91" s="1"/>
      <c r="C91" s="3"/>
      <c r="D91" s="3"/>
      <c r="E91" s="4" t="s">
        <v>3</v>
      </c>
      <c r="F91" s="4"/>
      <c r="G91" s="1"/>
      <c r="H91" s="1"/>
      <c r="I91" s="3"/>
      <c r="J91" s="8"/>
      <c r="K91" s="5"/>
      <c r="L91" s="23"/>
      <c r="M91" s="5"/>
      <c r="N91" s="5"/>
      <c r="O91" s="43"/>
      <c r="P91" s="5"/>
      <c r="Q91" s="49"/>
      <c r="R91" s="50">
        <f>SUM(R88:R90)</f>
        <v>1451</v>
      </c>
      <c r="S91" s="40"/>
      <c r="T91" s="39">
        <f>SUM(T88:T90)</f>
        <v>13821.3128</v>
      </c>
      <c r="U91" s="39"/>
      <c r="V91" s="57"/>
      <c r="W91" s="60"/>
      <c r="X91" s="35"/>
      <c r="Y91" s="35"/>
    </row>
    <row r="92" spans="2:25" x14ac:dyDescent="0.25">
      <c r="B92" s="16" t="s">
        <v>4</v>
      </c>
      <c r="C92" s="17" t="s">
        <v>5</v>
      </c>
      <c r="D92" s="17" t="s">
        <v>6</v>
      </c>
      <c r="E92" s="18" t="s">
        <v>7</v>
      </c>
      <c r="F92" s="18"/>
      <c r="G92" s="16" t="s">
        <v>8</v>
      </c>
      <c r="H92" s="16" t="s">
        <v>9</v>
      </c>
      <c r="I92" s="17" t="s">
        <v>49</v>
      </c>
      <c r="J92" s="19" t="s">
        <v>10</v>
      </c>
      <c r="K92" s="17" t="s">
        <v>11</v>
      </c>
      <c r="L92" s="17" t="s">
        <v>12</v>
      </c>
      <c r="M92" s="17" t="s">
        <v>13</v>
      </c>
      <c r="N92" s="17" t="s">
        <v>14</v>
      </c>
      <c r="O92" s="44" t="s">
        <v>15</v>
      </c>
      <c r="P92" s="17" t="s">
        <v>16</v>
      </c>
      <c r="Q92" s="20" t="s">
        <v>181</v>
      </c>
      <c r="R92" s="17" t="s">
        <v>17</v>
      </c>
      <c r="S92" s="16" t="s">
        <v>18</v>
      </c>
      <c r="T92" s="21" t="s">
        <v>48</v>
      </c>
      <c r="U92" s="21" t="s">
        <v>47</v>
      </c>
      <c r="V92" s="54" t="s">
        <v>182</v>
      </c>
      <c r="W92" s="59" t="e">
        <f>+#REF!</f>
        <v>#REF!</v>
      </c>
      <c r="X92" s="36"/>
      <c r="Y92" s="36"/>
    </row>
    <row r="93" spans="2:25" s="111" customFormat="1" x14ac:dyDescent="0.25">
      <c r="B93" s="112" t="s">
        <v>90</v>
      </c>
      <c r="C93" s="113" t="s">
        <v>1</v>
      </c>
      <c r="D93" s="113" t="s">
        <v>135</v>
      </c>
      <c r="E93" s="114">
        <v>36647</v>
      </c>
      <c r="F93" s="114">
        <v>36677</v>
      </c>
      <c r="G93" s="112" t="s">
        <v>32</v>
      </c>
      <c r="H93" s="112" t="s">
        <v>135</v>
      </c>
      <c r="I93" s="113" t="s">
        <v>136</v>
      </c>
      <c r="J93" s="116">
        <v>0</v>
      </c>
      <c r="K93" s="117">
        <v>0</v>
      </c>
      <c r="L93" s="117">
        <v>2.2000000000000001E-3</v>
      </c>
      <c r="M93" s="117">
        <v>0</v>
      </c>
      <c r="N93" s="117">
        <v>0</v>
      </c>
      <c r="O93" s="118">
        <v>0</v>
      </c>
      <c r="P93" s="117">
        <f>SUM(J93:N93)</f>
        <v>2.2000000000000001E-3</v>
      </c>
      <c r="Q93" s="122" t="s">
        <v>414</v>
      </c>
      <c r="R93" s="113">
        <v>15</v>
      </c>
      <c r="S93" s="115" t="s">
        <v>413</v>
      </c>
      <c r="T93" s="120">
        <f t="shared" ref="T93:T102" si="8">J93*J$1*R93</f>
        <v>0</v>
      </c>
      <c r="U93" s="120"/>
      <c r="V93" s="121">
        <v>229454</v>
      </c>
      <c r="W93" s="112"/>
      <c r="X93" s="125"/>
      <c r="Y93" s="125"/>
    </row>
    <row r="94" spans="2:25" s="111" customFormat="1" x14ac:dyDescent="0.25">
      <c r="B94" s="112" t="s">
        <v>90</v>
      </c>
      <c r="C94" s="113" t="s">
        <v>1</v>
      </c>
      <c r="D94" s="113" t="s">
        <v>135</v>
      </c>
      <c r="E94" s="114">
        <v>36647</v>
      </c>
      <c r="F94" s="114">
        <v>36677</v>
      </c>
      <c r="G94" s="112" t="s">
        <v>137</v>
      </c>
      <c r="H94" s="112" t="s">
        <v>135</v>
      </c>
      <c r="I94" s="113" t="s">
        <v>136</v>
      </c>
      <c r="J94" s="116">
        <v>0</v>
      </c>
      <c r="K94" s="117">
        <v>0</v>
      </c>
      <c r="L94" s="117">
        <v>2.2000000000000001E-3</v>
      </c>
      <c r="M94" s="117">
        <v>0</v>
      </c>
      <c r="N94" s="117">
        <v>0</v>
      </c>
      <c r="O94" s="118">
        <v>0</v>
      </c>
      <c r="P94" s="117">
        <f t="shared" ref="P94:P99" si="9">SUM(J94:N94)</f>
        <v>2.2000000000000001E-3</v>
      </c>
      <c r="Q94" s="122" t="s">
        <v>414</v>
      </c>
      <c r="R94" s="113">
        <v>21</v>
      </c>
      <c r="S94" s="115" t="s">
        <v>413</v>
      </c>
      <c r="T94" s="120">
        <f t="shared" si="8"/>
        <v>0</v>
      </c>
      <c r="U94" s="120"/>
      <c r="V94" s="121">
        <v>229454</v>
      </c>
      <c r="W94" s="112"/>
      <c r="X94" s="125"/>
      <c r="Y94" s="125"/>
    </row>
    <row r="95" spans="2:25" s="111" customFormat="1" x14ac:dyDescent="0.25">
      <c r="B95" s="112" t="s">
        <v>90</v>
      </c>
      <c r="C95" s="113" t="s">
        <v>1</v>
      </c>
      <c r="D95" s="113" t="s">
        <v>135</v>
      </c>
      <c r="E95" s="114">
        <v>36647</v>
      </c>
      <c r="F95" s="114">
        <v>36677</v>
      </c>
      <c r="G95" s="112" t="s">
        <v>138</v>
      </c>
      <c r="H95" s="112" t="s">
        <v>135</v>
      </c>
      <c r="I95" s="113" t="s">
        <v>136</v>
      </c>
      <c r="J95" s="116">
        <v>0</v>
      </c>
      <c r="K95" s="117">
        <v>0</v>
      </c>
      <c r="L95" s="117">
        <v>2.2000000000000001E-3</v>
      </c>
      <c r="M95" s="117">
        <v>0</v>
      </c>
      <c r="N95" s="117">
        <v>0</v>
      </c>
      <c r="O95" s="118">
        <v>0</v>
      </c>
      <c r="P95" s="117">
        <f t="shared" si="9"/>
        <v>2.2000000000000001E-3</v>
      </c>
      <c r="Q95" s="122" t="s">
        <v>414</v>
      </c>
      <c r="R95" s="113">
        <f>16+34</f>
        <v>50</v>
      </c>
      <c r="S95" s="115" t="s">
        <v>413</v>
      </c>
      <c r="T95" s="120">
        <f t="shared" si="8"/>
        <v>0</v>
      </c>
      <c r="U95" s="120"/>
      <c r="V95" s="121">
        <v>229454</v>
      </c>
      <c r="W95" s="112"/>
      <c r="X95" s="125"/>
      <c r="Y95" s="125"/>
    </row>
    <row r="96" spans="2:25" s="111" customFormat="1" x14ac:dyDescent="0.25">
      <c r="B96" s="112" t="s">
        <v>183</v>
      </c>
      <c r="C96" s="113" t="s">
        <v>1</v>
      </c>
      <c r="D96" s="113" t="s">
        <v>118</v>
      </c>
      <c r="E96" s="114">
        <v>36678</v>
      </c>
      <c r="F96" s="114">
        <v>36707</v>
      </c>
      <c r="G96" s="112" t="s">
        <v>32</v>
      </c>
      <c r="H96" s="115" t="s">
        <v>139</v>
      </c>
      <c r="I96" s="113" t="s">
        <v>136</v>
      </c>
      <c r="J96" s="116">
        <f>7.5654/J$1</f>
        <v>0.24404516129032258</v>
      </c>
      <c r="K96" s="117">
        <v>0</v>
      </c>
      <c r="L96" s="117">
        <v>2.2000000000000001E-3</v>
      </c>
      <c r="M96" s="117">
        <v>0</v>
      </c>
      <c r="N96" s="117">
        <v>0</v>
      </c>
      <c r="O96" s="118">
        <v>0</v>
      </c>
      <c r="P96" s="117">
        <f>SUM(J96:N96)</f>
        <v>0.24624516129032259</v>
      </c>
      <c r="Q96" s="122" t="s">
        <v>499</v>
      </c>
      <c r="R96" s="113">
        <v>1104</v>
      </c>
      <c r="S96" s="112" t="s">
        <v>500</v>
      </c>
      <c r="T96" s="124">
        <f t="shared" si="8"/>
        <v>8352.2016000000003</v>
      </c>
      <c r="U96" s="120"/>
      <c r="V96" s="121">
        <v>276513</v>
      </c>
      <c r="W96" s="112"/>
      <c r="X96" s="125"/>
      <c r="Y96" s="125"/>
    </row>
    <row r="97" spans="2:25" s="111" customFormat="1" x14ac:dyDescent="0.25">
      <c r="B97" s="112" t="s">
        <v>183</v>
      </c>
      <c r="C97" s="113" t="s">
        <v>1</v>
      </c>
      <c r="D97" s="113" t="s">
        <v>118</v>
      </c>
      <c r="E97" s="114">
        <v>36678</v>
      </c>
      <c r="F97" s="114">
        <v>36707</v>
      </c>
      <c r="G97" s="112" t="s">
        <v>137</v>
      </c>
      <c r="H97" s="115" t="s">
        <v>139</v>
      </c>
      <c r="I97" s="113" t="s">
        <v>136</v>
      </c>
      <c r="J97" s="116">
        <f>+J96</f>
        <v>0.24404516129032258</v>
      </c>
      <c r="K97" s="117">
        <v>0</v>
      </c>
      <c r="L97" s="117">
        <v>2.2000000000000001E-3</v>
      </c>
      <c r="M97" s="117">
        <v>0</v>
      </c>
      <c r="N97" s="117">
        <v>0</v>
      </c>
      <c r="O97" s="118">
        <v>0</v>
      </c>
      <c r="P97" s="117">
        <f>SUM(J97:N97)</f>
        <v>0.24624516129032259</v>
      </c>
      <c r="Q97" s="122" t="s">
        <v>499</v>
      </c>
      <c r="R97" s="113">
        <v>1625</v>
      </c>
      <c r="S97" s="112" t="str">
        <f>+S96</f>
        <v>#19827</v>
      </c>
      <c r="T97" s="124">
        <f t="shared" si="8"/>
        <v>12293.775000000001</v>
      </c>
      <c r="U97" s="120"/>
      <c r="V97" s="121">
        <v>276513</v>
      </c>
      <c r="W97" s="112"/>
      <c r="X97" s="125"/>
      <c r="Y97" s="125"/>
    </row>
    <row r="98" spans="2:25" s="111" customFormat="1" x14ac:dyDescent="0.25">
      <c r="B98" s="112" t="s">
        <v>183</v>
      </c>
      <c r="C98" s="113" t="s">
        <v>1</v>
      </c>
      <c r="D98" s="113" t="s">
        <v>118</v>
      </c>
      <c r="E98" s="114">
        <v>36678</v>
      </c>
      <c r="F98" s="114">
        <v>36707</v>
      </c>
      <c r="G98" s="112" t="s">
        <v>138</v>
      </c>
      <c r="H98" s="115" t="s">
        <v>139</v>
      </c>
      <c r="I98" s="113" t="s">
        <v>136</v>
      </c>
      <c r="J98" s="116">
        <f>+J97</f>
        <v>0.24404516129032258</v>
      </c>
      <c r="K98" s="117">
        <v>0</v>
      </c>
      <c r="L98" s="117">
        <v>2.2000000000000001E-3</v>
      </c>
      <c r="M98" s="117">
        <v>0</v>
      </c>
      <c r="N98" s="117">
        <v>0</v>
      </c>
      <c r="O98" s="118">
        <v>0</v>
      </c>
      <c r="P98" s="117">
        <f>SUM(J98:N98)</f>
        <v>0.24624516129032259</v>
      </c>
      <c r="Q98" s="122" t="s">
        <v>499</v>
      </c>
      <c r="R98" s="113">
        <f>1234+2534</f>
        <v>3768</v>
      </c>
      <c r="S98" s="112" t="str">
        <f>+S97</f>
        <v>#19827</v>
      </c>
      <c r="T98" s="124">
        <f t="shared" si="8"/>
        <v>28506.427200000002</v>
      </c>
      <c r="U98" s="120"/>
      <c r="V98" s="121">
        <v>276513</v>
      </c>
      <c r="W98" s="112"/>
      <c r="X98" s="125"/>
      <c r="Y98" s="125"/>
    </row>
    <row r="99" spans="2:25" s="111" customFormat="1" x14ac:dyDescent="0.25">
      <c r="B99" s="112" t="s">
        <v>183</v>
      </c>
      <c r="C99" s="113" t="s">
        <v>1</v>
      </c>
      <c r="D99" s="113" t="s">
        <v>118</v>
      </c>
      <c r="E99" s="114">
        <v>36678</v>
      </c>
      <c r="F99" s="114">
        <v>36707</v>
      </c>
      <c r="G99" s="112" t="s">
        <v>32</v>
      </c>
      <c r="H99" s="115" t="s">
        <v>139</v>
      </c>
      <c r="I99" s="113" t="s">
        <v>136</v>
      </c>
      <c r="J99" s="116">
        <f>7.5654/J$1</f>
        <v>0.24404516129032258</v>
      </c>
      <c r="K99" s="117">
        <v>0</v>
      </c>
      <c r="L99" s="117">
        <v>2.2000000000000001E-3</v>
      </c>
      <c r="M99" s="117">
        <v>0</v>
      </c>
      <c r="N99" s="117">
        <v>0</v>
      </c>
      <c r="O99" s="118">
        <v>0</v>
      </c>
      <c r="P99" s="117">
        <f t="shared" si="9"/>
        <v>0.24624516129032259</v>
      </c>
      <c r="Q99" s="122" t="s">
        <v>497</v>
      </c>
      <c r="R99" s="123">
        <v>66</v>
      </c>
      <c r="S99" s="112" t="s">
        <v>498</v>
      </c>
      <c r="T99" s="124">
        <f t="shared" si="8"/>
        <v>499.31640000000004</v>
      </c>
      <c r="U99" s="120"/>
      <c r="V99" s="121">
        <v>276525</v>
      </c>
      <c r="W99" s="112"/>
      <c r="X99" s="125"/>
      <c r="Y99" s="125"/>
    </row>
    <row r="100" spans="2:25" s="111" customFormat="1" x14ac:dyDescent="0.25">
      <c r="B100" s="112" t="s">
        <v>183</v>
      </c>
      <c r="C100" s="113" t="s">
        <v>1</v>
      </c>
      <c r="D100" s="113" t="s">
        <v>118</v>
      </c>
      <c r="E100" s="114">
        <v>36678</v>
      </c>
      <c r="F100" s="114">
        <v>36707</v>
      </c>
      <c r="G100" s="112" t="s">
        <v>137</v>
      </c>
      <c r="H100" s="115" t="s">
        <v>139</v>
      </c>
      <c r="I100" s="113" t="s">
        <v>136</v>
      </c>
      <c r="J100" s="116">
        <f>7.5654/J$1</f>
        <v>0.24404516129032258</v>
      </c>
      <c r="K100" s="117">
        <v>0</v>
      </c>
      <c r="L100" s="117">
        <v>2.2000000000000001E-3</v>
      </c>
      <c r="M100" s="117">
        <v>0</v>
      </c>
      <c r="N100" s="117">
        <v>0</v>
      </c>
      <c r="O100" s="118">
        <v>0</v>
      </c>
      <c r="P100" s="117">
        <f>SUM(J100:N100)</f>
        <v>0.24624516129032259</v>
      </c>
      <c r="Q100" s="122" t="s">
        <v>497</v>
      </c>
      <c r="R100" s="113">
        <v>99</v>
      </c>
      <c r="S100" s="112" t="s">
        <v>498</v>
      </c>
      <c r="T100" s="124">
        <f t="shared" si="8"/>
        <v>748.97460000000001</v>
      </c>
      <c r="U100" s="120"/>
      <c r="V100" s="121">
        <v>276525</v>
      </c>
      <c r="W100" s="112"/>
      <c r="X100" s="125"/>
      <c r="Y100" s="125"/>
    </row>
    <row r="101" spans="2:25" s="111" customFormat="1" x14ac:dyDescent="0.25">
      <c r="B101" s="112" t="s">
        <v>183</v>
      </c>
      <c r="C101" s="113" t="s">
        <v>1</v>
      </c>
      <c r="D101" s="113" t="s">
        <v>118</v>
      </c>
      <c r="E101" s="114">
        <v>36678</v>
      </c>
      <c r="F101" s="114">
        <v>36707</v>
      </c>
      <c r="G101" s="112" t="s">
        <v>138</v>
      </c>
      <c r="H101" s="115" t="s">
        <v>139</v>
      </c>
      <c r="I101" s="113" t="s">
        <v>136</v>
      </c>
      <c r="J101" s="116">
        <f>7.5654/J$1</f>
        <v>0.24404516129032258</v>
      </c>
      <c r="K101" s="117">
        <v>0</v>
      </c>
      <c r="L101" s="117">
        <v>2.2000000000000001E-3</v>
      </c>
      <c r="M101" s="117">
        <v>0</v>
      </c>
      <c r="N101" s="117">
        <v>0</v>
      </c>
      <c r="O101" s="118">
        <v>0</v>
      </c>
      <c r="P101" s="117">
        <f>SUM(J101:N101)</f>
        <v>0.24624516129032259</v>
      </c>
      <c r="Q101" s="122" t="s">
        <v>497</v>
      </c>
      <c r="R101" s="113">
        <f>74+152</f>
        <v>226</v>
      </c>
      <c r="S101" s="112" t="s">
        <v>498</v>
      </c>
      <c r="T101" s="124">
        <f t="shared" si="8"/>
        <v>1709.7804000000001</v>
      </c>
      <c r="U101" s="120"/>
      <c r="V101" s="121">
        <v>276525</v>
      </c>
      <c r="W101" s="112"/>
      <c r="X101" s="125"/>
      <c r="Y101" s="125"/>
    </row>
    <row r="102" spans="2:25" s="111" customFormat="1" x14ac:dyDescent="0.25">
      <c r="B102" s="112" t="s">
        <v>183</v>
      </c>
      <c r="C102" s="113" t="s">
        <v>1</v>
      </c>
      <c r="D102" s="113" t="s">
        <v>118</v>
      </c>
      <c r="E102" s="114">
        <v>36678</v>
      </c>
      <c r="F102" s="114">
        <v>36707</v>
      </c>
      <c r="G102" s="112" t="s">
        <v>140</v>
      </c>
      <c r="H102" s="115" t="s">
        <v>139</v>
      </c>
      <c r="I102" s="113" t="s">
        <v>141</v>
      </c>
      <c r="J102" s="116">
        <f>14.18/30</f>
        <v>0.47266666666666668</v>
      </c>
      <c r="K102" s="117">
        <v>0</v>
      </c>
      <c r="L102" s="117">
        <v>2.2000000000000001E-3</v>
      </c>
      <c r="M102" s="117">
        <v>0</v>
      </c>
      <c r="N102" s="117">
        <v>0</v>
      </c>
      <c r="O102" s="118">
        <v>0</v>
      </c>
      <c r="P102" s="117">
        <f>SUM(J102:N102)</f>
        <v>0.47486666666666666</v>
      </c>
      <c r="Q102" s="131" t="s">
        <v>502</v>
      </c>
      <c r="R102" s="113">
        <v>5157</v>
      </c>
      <c r="S102" s="112" t="s">
        <v>503</v>
      </c>
      <c r="T102" s="124">
        <f t="shared" si="8"/>
        <v>75563.801999999996</v>
      </c>
      <c r="U102" s="120"/>
      <c r="V102" s="121">
        <v>276509</v>
      </c>
      <c r="W102" s="112"/>
      <c r="X102" s="125"/>
      <c r="Y102" s="125"/>
    </row>
    <row r="103" spans="2:25" s="111" customFormat="1" x14ac:dyDescent="0.25">
      <c r="B103" s="112" t="s">
        <v>183</v>
      </c>
      <c r="C103" s="113" t="s">
        <v>1</v>
      </c>
      <c r="D103" s="113" t="s">
        <v>118</v>
      </c>
      <c r="E103" s="114">
        <v>36678</v>
      </c>
      <c r="F103" s="114">
        <v>36707</v>
      </c>
      <c r="G103" s="112" t="s">
        <v>154</v>
      </c>
      <c r="H103" s="115"/>
      <c r="I103" s="113" t="s">
        <v>153</v>
      </c>
      <c r="J103" s="116">
        <v>7.9000000000000008E-3</v>
      </c>
      <c r="K103" s="117">
        <v>0</v>
      </c>
      <c r="L103" s="117">
        <v>2.2000000000000001E-3</v>
      </c>
      <c r="M103" s="117">
        <v>0</v>
      </c>
      <c r="N103" s="117">
        <v>0</v>
      </c>
      <c r="O103" s="118">
        <v>0</v>
      </c>
      <c r="P103" s="117">
        <f t="shared" ref="P103:P110" si="10">SUM(J103:N103)</f>
        <v>1.0100000000000001E-2</v>
      </c>
      <c r="R103" s="113">
        <v>376727</v>
      </c>
      <c r="S103" s="112" t="s">
        <v>492</v>
      </c>
      <c r="T103" s="119">
        <f>+R103*J103</f>
        <v>2976.1433000000002</v>
      </c>
      <c r="U103" s="120"/>
      <c r="V103" s="121">
        <v>277979</v>
      </c>
      <c r="W103" s="112"/>
      <c r="X103" s="125"/>
      <c r="Y103" s="125"/>
    </row>
    <row r="104" spans="2:25" s="111" customFormat="1" x14ac:dyDescent="0.25">
      <c r="B104" s="112" t="s">
        <v>183</v>
      </c>
      <c r="C104" s="113" t="s">
        <v>1</v>
      </c>
      <c r="D104" s="113" t="s">
        <v>118</v>
      </c>
      <c r="E104" s="114">
        <v>36678</v>
      </c>
      <c r="F104" s="114">
        <v>36707</v>
      </c>
      <c r="G104" s="112" t="s">
        <v>152</v>
      </c>
      <c r="H104" s="115"/>
      <c r="I104" s="113" t="s">
        <v>153</v>
      </c>
      <c r="J104" s="116">
        <v>0.6673</v>
      </c>
      <c r="K104" s="117">
        <v>0</v>
      </c>
      <c r="L104" s="117">
        <v>2.2000000000000001E-3</v>
      </c>
      <c r="M104" s="117">
        <v>0</v>
      </c>
      <c r="N104" s="117">
        <v>0</v>
      </c>
      <c r="O104" s="118">
        <v>0</v>
      </c>
      <c r="P104" s="117">
        <f t="shared" si="10"/>
        <v>0.66949999999999998</v>
      </c>
      <c r="R104" s="113">
        <v>4432</v>
      </c>
      <c r="S104" s="112"/>
      <c r="T104" s="119">
        <f>+R104*J104</f>
        <v>2957.4735999999998</v>
      </c>
      <c r="U104" s="120"/>
      <c r="V104" s="121">
        <v>277971</v>
      </c>
      <c r="W104" s="112"/>
      <c r="X104" s="125"/>
      <c r="Y104" s="125"/>
    </row>
    <row r="105" spans="2:25" s="111" customFormat="1" x14ac:dyDescent="0.25">
      <c r="B105" s="112" t="s">
        <v>183</v>
      </c>
      <c r="C105" s="113" t="s">
        <v>1</v>
      </c>
      <c r="D105" s="113" t="s">
        <v>118</v>
      </c>
      <c r="E105" s="114">
        <v>36678</v>
      </c>
      <c r="F105" s="114">
        <v>36707</v>
      </c>
      <c r="G105" s="112" t="s">
        <v>155</v>
      </c>
      <c r="H105" s="115"/>
      <c r="I105" s="113" t="s">
        <v>157</v>
      </c>
      <c r="J105" s="116">
        <v>4.8099999999999997E-2</v>
      </c>
      <c r="K105" s="117">
        <v>0</v>
      </c>
      <c r="L105" s="117">
        <v>2.2000000000000001E-3</v>
      </c>
      <c r="M105" s="117">
        <v>0</v>
      </c>
      <c r="N105" s="117">
        <v>0</v>
      </c>
      <c r="O105" s="118">
        <v>0</v>
      </c>
      <c r="P105" s="117">
        <f t="shared" si="10"/>
        <v>5.0299999999999997E-2</v>
      </c>
      <c r="R105" s="113">
        <v>19139</v>
      </c>
      <c r="S105" s="112"/>
      <c r="T105" s="119">
        <f>+J105*R105</f>
        <v>920.58589999999992</v>
      </c>
      <c r="U105" s="120"/>
      <c r="V105" s="121">
        <v>277971</v>
      </c>
      <c r="W105" s="112"/>
      <c r="X105" s="125"/>
      <c r="Y105" s="125"/>
    </row>
    <row r="106" spans="2:25" s="111" customFormat="1" x14ac:dyDescent="0.25">
      <c r="B106" s="112" t="s">
        <v>183</v>
      </c>
      <c r="C106" s="113" t="s">
        <v>1</v>
      </c>
      <c r="D106" s="113" t="s">
        <v>118</v>
      </c>
      <c r="E106" s="114">
        <v>36678</v>
      </c>
      <c r="F106" s="114">
        <v>36707</v>
      </c>
      <c r="G106" s="112" t="s">
        <v>156</v>
      </c>
      <c r="H106" s="115"/>
      <c r="I106" s="113" t="s">
        <v>157</v>
      </c>
      <c r="J106" s="116">
        <v>0.48399999999999999</v>
      </c>
      <c r="K106" s="117">
        <v>0</v>
      </c>
      <c r="L106" s="117">
        <v>2.2000000000000001E-3</v>
      </c>
      <c r="M106" s="117">
        <v>0</v>
      </c>
      <c r="N106" s="117">
        <v>0</v>
      </c>
      <c r="O106" s="118">
        <v>0</v>
      </c>
      <c r="P106" s="117">
        <f t="shared" si="10"/>
        <v>0.48619999999999997</v>
      </c>
      <c r="R106" s="113">
        <v>1902</v>
      </c>
      <c r="S106" s="112" t="s">
        <v>422</v>
      </c>
      <c r="T106" s="119">
        <f>+J106*R106</f>
        <v>920.56799999999998</v>
      </c>
      <c r="U106" s="120"/>
      <c r="V106" s="121">
        <v>260640</v>
      </c>
      <c r="W106" s="112"/>
      <c r="X106" s="125"/>
      <c r="Y106" s="125"/>
    </row>
    <row r="107" spans="2:25" s="111" customFormat="1" x14ac:dyDescent="0.25">
      <c r="B107" s="112" t="s">
        <v>90</v>
      </c>
      <c r="C107" s="113" t="s">
        <v>1</v>
      </c>
      <c r="D107" s="113" t="s">
        <v>125</v>
      </c>
      <c r="E107" s="114">
        <v>35977</v>
      </c>
      <c r="F107" s="114">
        <v>39599</v>
      </c>
      <c r="G107" s="112" t="s">
        <v>143</v>
      </c>
      <c r="H107" s="112" t="s">
        <v>144</v>
      </c>
      <c r="I107" s="113" t="s">
        <v>146</v>
      </c>
      <c r="J107" s="116">
        <f>4.7713/J$1</f>
        <v>0.15391290322580645</v>
      </c>
      <c r="K107" s="117">
        <v>0</v>
      </c>
      <c r="L107" s="117">
        <v>2.2000000000000001E-3</v>
      </c>
      <c r="M107" s="117">
        <v>0</v>
      </c>
      <c r="N107" s="117">
        <v>0</v>
      </c>
      <c r="O107" s="118">
        <v>0</v>
      </c>
      <c r="P107" s="117">
        <f>SUM(J107:N107)</f>
        <v>0.15611290322580645</v>
      </c>
      <c r="Q107" s="145" t="s">
        <v>145</v>
      </c>
      <c r="R107" s="113">
        <v>15</v>
      </c>
      <c r="S107" s="112" t="s">
        <v>147</v>
      </c>
      <c r="T107" s="124">
        <f>J107*J$1*R107</f>
        <v>71.569500000000005</v>
      </c>
      <c r="U107" s="120"/>
      <c r="V107" s="143" t="s">
        <v>158</v>
      </c>
      <c r="W107" s="112"/>
      <c r="X107" s="125"/>
      <c r="Y107" s="125"/>
    </row>
    <row r="108" spans="2:25" s="111" customFormat="1" x14ac:dyDescent="0.25">
      <c r="B108" s="112" t="s">
        <v>90</v>
      </c>
      <c r="C108" s="113" t="s">
        <v>1</v>
      </c>
      <c r="D108" s="113" t="s">
        <v>125</v>
      </c>
      <c r="E108" s="114">
        <v>36678</v>
      </c>
      <c r="F108" s="114">
        <v>39599</v>
      </c>
      <c r="G108" s="112" t="s">
        <v>143</v>
      </c>
      <c r="H108" s="112" t="s">
        <v>144</v>
      </c>
      <c r="I108" s="113" t="s">
        <v>146</v>
      </c>
      <c r="J108" s="116">
        <f>4.7713/J$1</f>
        <v>0.15391290322580645</v>
      </c>
      <c r="K108" s="117">
        <v>0</v>
      </c>
      <c r="L108" s="117">
        <v>2.2000000000000001E-3</v>
      </c>
      <c r="M108" s="117">
        <v>0</v>
      </c>
      <c r="N108" s="117">
        <v>0</v>
      </c>
      <c r="O108" s="118">
        <v>0</v>
      </c>
      <c r="P108" s="117">
        <f t="shared" si="10"/>
        <v>0.15611290322580645</v>
      </c>
      <c r="Q108" s="145" t="s">
        <v>509</v>
      </c>
      <c r="R108" s="113">
        <v>-15</v>
      </c>
      <c r="S108" s="112" t="s">
        <v>510</v>
      </c>
      <c r="T108" s="124">
        <f>J108*J$1*R108</f>
        <v>-71.569500000000005</v>
      </c>
      <c r="U108" s="120"/>
      <c r="V108" s="143">
        <v>282820</v>
      </c>
      <c r="W108" s="112"/>
      <c r="X108" s="125"/>
      <c r="Y108" s="125"/>
    </row>
    <row r="109" spans="2:25" s="111" customFormat="1" x14ac:dyDescent="0.25">
      <c r="B109" s="112" t="s">
        <v>90</v>
      </c>
      <c r="C109" s="113" t="s">
        <v>1</v>
      </c>
      <c r="D109" s="113" t="s">
        <v>125</v>
      </c>
      <c r="E109" s="114">
        <v>36220</v>
      </c>
      <c r="F109" s="114">
        <v>39599</v>
      </c>
      <c r="G109" s="112" t="s">
        <v>143</v>
      </c>
      <c r="H109" s="112" t="s">
        <v>144</v>
      </c>
      <c r="I109" s="113" t="s">
        <v>146</v>
      </c>
      <c r="J109" s="116">
        <f>4.7713/J$1</f>
        <v>0.15391290322580645</v>
      </c>
      <c r="K109" s="117">
        <v>0</v>
      </c>
      <c r="L109" s="117">
        <v>2.2000000000000001E-3</v>
      </c>
      <c r="M109" s="117">
        <v>0</v>
      </c>
      <c r="N109" s="117">
        <v>0</v>
      </c>
      <c r="O109" s="118">
        <v>0</v>
      </c>
      <c r="P109" s="117">
        <f>SUM(J109:N109)</f>
        <v>0.15611290322580645</v>
      </c>
      <c r="Q109" s="145" t="s">
        <v>151</v>
      </c>
      <c r="R109" s="113">
        <v>5</v>
      </c>
      <c r="S109" s="112" t="s">
        <v>150</v>
      </c>
      <c r="T109" s="124">
        <f>J109*J$1*R109</f>
        <v>23.8565</v>
      </c>
      <c r="U109" s="120"/>
      <c r="V109" s="143" t="s">
        <v>160</v>
      </c>
      <c r="W109" s="112"/>
      <c r="X109" s="125"/>
      <c r="Y109" s="125"/>
    </row>
    <row r="110" spans="2:25" s="111" customFormat="1" x14ac:dyDescent="0.25">
      <c r="B110" s="112" t="s">
        <v>90</v>
      </c>
      <c r="C110" s="113" t="s">
        <v>1</v>
      </c>
      <c r="D110" s="113" t="s">
        <v>125</v>
      </c>
      <c r="E110" s="114">
        <v>36678</v>
      </c>
      <c r="F110" s="114">
        <v>39599</v>
      </c>
      <c r="G110" s="112" t="s">
        <v>143</v>
      </c>
      <c r="H110" s="112" t="s">
        <v>144</v>
      </c>
      <c r="I110" s="113" t="s">
        <v>146</v>
      </c>
      <c r="J110" s="116">
        <f>4.7713/J$1</f>
        <v>0.15391290322580645</v>
      </c>
      <c r="K110" s="117">
        <v>0</v>
      </c>
      <c r="L110" s="117">
        <v>2.2000000000000001E-3</v>
      </c>
      <c r="M110" s="117">
        <v>0</v>
      </c>
      <c r="N110" s="117">
        <v>0</v>
      </c>
      <c r="O110" s="118">
        <v>0</v>
      </c>
      <c r="P110" s="117">
        <f t="shared" si="10"/>
        <v>0.15611290322580645</v>
      </c>
      <c r="Q110" s="145" t="s">
        <v>511</v>
      </c>
      <c r="R110" s="113">
        <v>-5</v>
      </c>
      <c r="S110" s="112" t="s">
        <v>512</v>
      </c>
      <c r="T110" s="124">
        <f>J110*J$1*R110</f>
        <v>-23.8565</v>
      </c>
      <c r="U110" s="120"/>
      <c r="V110" s="143">
        <v>282832</v>
      </c>
      <c r="W110" s="112"/>
      <c r="X110" s="125"/>
      <c r="Y110" s="125"/>
    </row>
    <row r="111" spans="2:25" x14ac:dyDescent="0.25">
      <c r="B111" s="27"/>
      <c r="C111" s="3"/>
      <c r="D111" s="3"/>
      <c r="E111" s="4"/>
      <c r="F111" s="4"/>
      <c r="G111" s="1"/>
      <c r="H111" s="1"/>
      <c r="I111" s="3"/>
      <c r="J111" s="8"/>
      <c r="K111" s="5"/>
      <c r="L111" s="5"/>
      <c r="M111" s="5"/>
      <c r="N111" s="5"/>
      <c r="O111" s="43"/>
      <c r="P111" s="5"/>
      <c r="Q111" s="49"/>
      <c r="R111" s="50"/>
      <c r="S111" s="28"/>
      <c r="T111" s="28">
        <f>SUM(T93:T110)</f>
        <v>135449.04800000001</v>
      </c>
      <c r="U111" s="28"/>
      <c r="V111" s="52"/>
      <c r="W111" s="58"/>
      <c r="X111" s="35"/>
      <c r="Y111" s="35"/>
    </row>
    <row r="112" spans="2:25" x14ac:dyDescent="0.25">
      <c r="B112" s="27"/>
      <c r="C112" s="3"/>
      <c r="D112" s="3"/>
      <c r="E112" s="4"/>
      <c r="F112" s="4"/>
      <c r="G112" s="1"/>
      <c r="H112" s="1"/>
      <c r="I112" s="3"/>
      <c r="J112" s="5"/>
      <c r="K112" s="5"/>
      <c r="L112" s="5"/>
      <c r="M112" s="5"/>
      <c r="N112" s="5"/>
      <c r="O112" s="43"/>
      <c r="P112" s="5"/>
      <c r="Q112" s="49"/>
      <c r="R112" s="50"/>
      <c r="S112" s="28"/>
      <c r="T112" s="28"/>
      <c r="U112" s="28"/>
      <c r="V112" s="52"/>
      <c r="W112" s="58"/>
      <c r="X112" s="35"/>
      <c r="Y112" s="35"/>
    </row>
    <row r="113" spans="2:25" x14ac:dyDescent="0.25">
      <c r="B113" s="27"/>
      <c r="C113" s="3"/>
      <c r="D113" s="3"/>
      <c r="E113" s="4"/>
      <c r="F113" s="4"/>
      <c r="G113" s="1"/>
      <c r="H113" s="1"/>
      <c r="I113" s="3"/>
      <c r="J113" s="8"/>
      <c r="K113" s="5"/>
      <c r="L113" s="5"/>
      <c r="M113" s="5"/>
      <c r="N113" s="5"/>
      <c r="O113" s="43"/>
      <c r="P113" s="5"/>
      <c r="Q113" s="49"/>
      <c r="R113" s="50"/>
      <c r="S113" s="28"/>
      <c r="T113" s="28"/>
      <c r="U113" s="28"/>
      <c r="V113" s="52"/>
      <c r="W113" s="58"/>
      <c r="X113" s="35"/>
      <c r="Y113" s="35"/>
    </row>
    <row r="114" spans="2:25" ht="13.8" thickBot="1" x14ac:dyDescent="0.3">
      <c r="B114" s="27"/>
      <c r="C114" s="3"/>
      <c r="D114" s="3"/>
      <c r="E114" s="4"/>
      <c r="F114" s="4"/>
      <c r="G114" s="1"/>
      <c r="H114" s="1"/>
      <c r="I114" s="3"/>
      <c r="J114" s="5"/>
      <c r="K114" s="5"/>
      <c r="L114" s="5"/>
      <c r="M114" s="5"/>
      <c r="N114" s="5"/>
      <c r="O114" s="43"/>
      <c r="P114" s="5"/>
      <c r="Q114" s="49"/>
      <c r="R114" s="50"/>
      <c r="S114" s="28"/>
      <c r="T114" s="94">
        <f>SUM(T111,T91,T86,T56,T45,T34)</f>
        <v>756023.30569548393</v>
      </c>
      <c r="U114" s="28" t="s">
        <v>213</v>
      </c>
      <c r="V114" s="52"/>
      <c r="W114" s="58"/>
      <c r="X114" s="35"/>
      <c r="Y114" s="35"/>
    </row>
    <row r="115" spans="2:25" ht="13.8" thickTop="1" x14ac:dyDescent="0.25">
      <c r="B115" s="27"/>
      <c r="C115" s="3"/>
      <c r="D115" s="3"/>
      <c r="E115" s="4"/>
      <c r="F115" s="4"/>
      <c r="G115" s="1"/>
      <c r="H115" s="1"/>
      <c r="I115" s="3"/>
      <c r="J115" s="5"/>
      <c r="K115" s="5"/>
      <c r="L115" s="5"/>
      <c r="M115" s="5"/>
      <c r="N115" s="5"/>
      <c r="O115" s="43"/>
      <c r="P115" s="5"/>
      <c r="Q115" s="49"/>
      <c r="R115" s="50"/>
      <c r="S115" s="28"/>
      <c r="T115" s="28"/>
      <c r="U115" s="58" t="s">
        <v>270</v>
      </c>
      <c r="V115" s="52"/>
      <c r="W115" s="58"/>
      <c r="X115" s="40"/>
      <c r="Y115" s="35"/>
    </row>
    <row r="116" spans="2:25" x14ac:dyDescent="0.25">
      <c r="B116" s="27"/>
      <c r="C116" s="3"/>
      <c r="D116" s="3"/>
      <c r="E116" s="4"/>
      <c r="F116" s="4"/>
      <c r="G116" s="1"/>
      <c r="H116" s="1"/>
      <c r="I116" s="3"/>
      <c r="J116" s="5"/>
      <c r="K116" s="5"/>
      <c r="L116" s="5"/>
      <c r="M116" s="5"/>
      <c r="N116" s="5"/>
      <c r="O116" s="43"/>
      <c r="P116" s="5"/>
      <c r="Q116" s="49"/>
      <c r="R116" s="50"/>
      <c r="S116" s="28"/>
      <c r="T116" s="28"/>
      <c r="U116" s="28"/>
      <c r="V116" s="52"/>
      <c r="W116" s="58"/>
      <c r="X116" s="35"/>
      <c r="Y116" s="35"/>
    </row>
    <row r="117" spans="2:25" x14ac:dyDescent="0.25">
      <c r="B117" s="27"/>
      <c r="C117" s="3"/>
      <c r="D117" s="3"/>
      <c r="E117" s="4"/>
      <c r="F117" s="4"/>
      <c r="G117" s="1"/>
      <c r="H117" s="1"/>
      <c r="I117" s="3"/>
      <c r="J117" s="5"/>
      <c r="K117" s="5"/>
      <c r="L117" s="5"/>
      <c r="M117" s="5"/>
      <c r="N117" s="5"/>
      <c r="O117" s="43"/>
      <c r="P117" s="5"/>
      <c r="Q117" s="49"/>
      <c r="R117" s="50"/>
      <c r="S117" s="28"/>
      <c r="T117" s="28"/>
      <c r="U117" s="28"/>
      <c r="V117" s="52"/>
      <c r="W117" s="58"/>
      <c r="X117" s="35"/>
      <c r="Y117" s="35"/>
    </row>
    <row r="118" spans="2:25" x14ac:dyDescent="0.25">
      <c r="B118" s="27"/>
      <c r="C118" s="3"/>
      <c r="D118" s="3"/>
      <c r="E118" s="4"/>
      <c r="F118" s="4"/>
      <c r="G118" s="1"/>
      <c r="H118" s="1"/>
      <c r="I118" s="3"/>
      <c r="J118" s="8"/>
      <c r="K118" s="5"/>
      <c r="L118" s="5"/>
      <c r="M118" s="5"/>
      <c r="N118" s="5"/>
      <c r="O118" s="43"/>
      <c r="P118" s="5"/>
      <c r="Q118" s="49"/>
      <c r="R118" s="50"/>
      <c r="S118" s="40"/>
      <c r="T118" s="28"/>
      <c r="U118" s="28"/>
      <c r="V118" s="52"/>
      <c r="W118" s="58"/>
      <c r="X118" s="35"/>
      <c r="Y118" s="35"/>
    </row>
    <row r="119" spans="2:25" x14ac:dyDescent="0.25">
      <c r="B119" s="27"/>
      <c r="C119" s="3"/>
      <c r="D119" s="3"/>
      <c r="E119" s="4"/>
      <c r="F119" s="4"/>
      <c r="G119" s="1"/>
      <c r="H119" s="1"/>
      <c r="I119" s="3"/>
      <c r="J119" s="8"/>
      <c r="K119" s="5"/>
      <c r="L119" s="5"/>
      <c r="M119" s="5"/>
      <c r="N119" s="5"/>
      <c r="O119" s="43"/>
      <c r="P119" s="5"/>
      <c r="Q119" s="49"/>
      <c r="R119" s="50"/>
      <c r="S119" s="40"/>
      <c r="T119" s="28"/>
      <c r="U119" s="28"/>
      <c r="V119" s="52"/>
      <c r="W119" s="58"/>
      <c r="X119" s="35"/>
      <c r="Y119" s="35"/>
    </row>
    <row r="120" spans="2:25" x14ac:dyDescent="0.25">
      <c r="Q120" s="34"/>
      <c r="R120" s="34"/>
      <c r="S120" s="34"/>
      <c r="T120" s="34"/>
      <c r="U120" s="34"/>
      <c r="V120" s="51"/>
      <c r="W120" s="61"/>
      <c r="X120" s="51"/>
    </row>
    <row r="121" spans="2:25" x14ac:dyDescent="0.25">
      <c r="Q121" s="34"/>
      <c r="R121" s="34"/>
      <c r="S121" s="34"/>
      <c r="T121" s="34"/>
      <c r="U121" s="34"/>
      <c r="V121" s="51"/>
      <c r="W121" s="61"/>
      <c r="X121" s="51"/>
    </row>
  </sheetData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104"/>
  <sheetViews>
    <sheetView topLeftCell="D20" workbookViewId="0">
      <selection activeCell="R27" sqref="R27:R29"/>
    </sheetView>
  </sheetViews>
  <sheetFormatPr defaultColWidth="9.109375" defaultRowHeight="13.2" x14ac:dyDescent="0.25"/>
  <cols>
    <col min="1" max="1" width="9.109375" style="25"/>
    <col min="2" max="2" width="10" style="25" customWidth="1"/>
    <col min="3" max="3" width="9.109375" style="25"/>
    <col min="4" max="4" width="10.5546875" style="25" customWidth="1"/>
    <col min="5" max="5" width="9.33203125" style="25" customWidth="1"/>
    <col min="6" max="6" width="9.5546875" style="25" customWidth="1"/>
    <col min="7" max="7" width="12.44140625" style="27" customWidth="1"/>
    <col min="8" max="8" width="16.44140625" style="27" customWidth="1"/>
    <col min="9" max="9" width="13" style="25" customWidth="1"/>
    <col min="10" max="10" width="7.6640625" style="25" customWidth="1"/>
    <col min="11" max="14" width="0" style="25" hidden="1" customWidth="1"/>
    <col min="15" max="15" width="0" style="47" hidden="1" customWidth="1"/>
    <col min="16" max="16" width="0" style="25" hidden="1" customWidth="1"/>
    <col min="17" max="17" width="14.33203125" style="25" customWidth="1"/>
    <col min="18" max="18" width="10.88671875" style="25" customWidth="1"/>
    <col min="19" max="19" width="12.33203125" style="25" customWidth="1"/>
    <col min="20" max="20" width="10.6640625" style="25" customWidth="1"/>
    <col min="21" max="21" width="11.88671875" style="25" customWidth="1"/>
    <col min="22" max="22" width="14.88671875" style="38" customWidth="1"/>
    <col min="23" max="23" width="42.33203125" style="27" customWidth="1"/>
    <col min="24" max="25" width="9.109375" style="38"/>
    <col min="26" max="26" width="12.44140625" style="25" customWidth="1"/>
    <col min="27" max="16384" width="9.109375" style="25"/>
  </cols>
  <sheetData>
    <row r="1" spans="2:25" x14ac:dyDescent="0.25">
      <c r="B1" s="41" t="s">
        <v>403</v>
      </c>
      <c r="C1" s="3"/>
      <c r="D1" s="3"/>
      <c r="E1" s="4"/>
      <c r="F1" s="4"/>
      <c r="G1" s="1"/>
      <c r="H1" s="1"/>
      <c r="I1" s="3" t="s">
        <v>19</v>
      </c>
      <c r="J1" s="7">
        <v>31</v>
      </c>
      <c r="K1" s="48" t="s">
        <v>38</v>
      </c>
      <c r="L1" s="5"/>
      <c r="M1" s="5"/>
      <c r="N1" s="5"/>
      <c r="O1" s="43"/>
      <c r="P1" s="5"/>
      <c r="Q1" s="24"/>
      <c r="R1" s="2"/>
      <c r="S1" s="28"/>
      <c r="T1" s="28"/>
      <c r="U1" s="28"/>
      <c r="V1" s="52"/>
      <c r="W1" s="58"/>
      <c r="X1" s="35"/>
      <c r="Y1" s="35"/>
    </row>
    <row r="2" spans="2:25" x14ac:dyDescent="0.25">
      <c r="B2" s="1" t="s">
        <v>33</v>
      </c>
      <c r="C2" s="1"/>
      <c r="D2" s="1"/>
      <c r="E2" s="4"/>
      <c r="F2" s="4"/>
      <c r="G2" s="1"/>
      <c r="H2" s="1"/>
      <c r="I2" s="3"/>
      <c r="J2" s="7"/>
      <c r="K2" s="48" t="s">
        <v>39</v>
      </c>
      <c r="L2" s="5"/>
      <c r="M2" s="5"/>
      <c r="N2" s="5"/>
      <c r="O2" s="43"/>
      <c r="P2" s="5"/>
      <c r="Q2" s="24"/>
      <c r="R2" s="2"/>
      <c r="S2" s="28"/>
      <c r="T2" s="28"/>
      <c r="U2" s="28"/>
      <c r="V2" s="52"/>
      <c r="W2" s="58"/>
      <c r="X2" s="35"/>
      <c r="Y2" s="35"/>
    </row>
    <row r="3" spans="2:25" x14ac:dyDescent="0.25">
      <c r="B3" s="1" t="s">
        <v>34</v>
      </c>
      <c r="C3" s="1"/>
      <c r="D3" s="1"/>
      <c r="E3" s="4"/>
      <c r="F3" s="4"/>
      <c r="G3" s="6" t="s">
        <v>3</v>
      </c>
      <c r="H3" s="1" t="s">
        <v>3</v>
      </c>
      <c r="I3" s="2" t="s">
        <v>3</v>
      </c>
      <c r="J3" s="8"/>
      <c r="K3" s="31" t="s">
        <v>3</v>
      </c>
      <c r="L3" s="5"/>
      <c r="M3" s="31" t="s">
        <v>3</v>
      </c>
      <c r="N3" s="5"/>
      <c r="O3" s="43"/>
      <c r="P3" s="31" t="s">
        <v>3</v>
      </c>
      <c r="Q3" s="24"/>
      <c r="R3" s="2"/>
      <c r="S3" s="28"/>
      <c r="T3" s="28"/>
      <c r="U3" s="28"/>
      <c r="V3" s="52"/>
      <c r="W3" s="58"/>
      <c r="X3" s="35"/>
      <c r="Y3" s="35"/>
    </row>
    <row r="4" spans="2:25" x14ac:dyDescent="0.25">
      <c r="B4" s="1"/>
      <c r="C4" s="3"/>
      <c r="D4" s="3"/>
      <c r="E4" s="4"/>
      <c r="F4" s="4"/>
      <c r="G4" s="32"/>
      <c r="H4" s="1"/>
      <c r="I4" s="32"/>
      <c r="J4" s="8"/>
      <c r="K4" s="32"/>
      <c r="L4" s="5"/>
      <c r="M4" s="32"/>
      <c r="N4" s="2"/>
      <c r="O4" s="43"/>
      <c r="P4" s="2"/>
      <c r="Q4" s="24"/>
      <c r="R4" s="2"/>
      <c r="S4" s="28"/>
      <c r="T4" s="33"/>
      <c r="U4" s="33"/>
      <c r="V4" s="53"/>
      <c r="W4" s="58"/>
      <c r="X4" s="35"/>
      <c r="Y4" s="35"/>
    </row>
    <row r="5" spans="2:25" x14ac:dyDescent="0.25">
      <c r="B5" s="1" t="s">
        <v>40</v>
      </c>
      <c r="C5" s="3"/>
      <c r="D5" s="1"/>
      <c r="E5" s="4"/>
      <c r="F5" s="4"/>
      <c r="G5" s="32"/>
      <c r="H5" s="1"/>
      <c r="I5" s="32"/>
      <c r="J5" s="8"/>
      <c r="K5" s="32"/>
      <c r="L5" s="5"/>
      <c r="M5" s="32"/>
      <c r="N5" s="2"/>
      <c r="O5" s="43"/>
      <c r="P5" s="2"/>
      <c r="Q5" s="24"/>
      <c r="R5" s="2"/>
      <c r="S5" s="28"/>
      <c r="T5" s="33"/>
      <c r="U5" s="33"/>
      <c r="V5" s="53"/>
      <c r="W5" s="58"/>
      <c r="X5" s="35"/>
      <c r="Y5" s="35"/>
    </row>
    <row r="6" spans="2:25" x14ac:dyDescent="0.25">
      <c r="B6" s="1"/>
      <c r="C6" s="3" t="s">
        <v>184</v>
      </c>
      <c r="D6" s="3"/>
      <c r="E6" s="4"/>
      <c r="F6" s="4"/>
      <c r="G6" s="32"/>
      <c r="H6" s="1"/>
      <c r="I6" s="32"/>
      <c r="J6" s="8"/>
      <c r="K6" s="32"/>
      <c r="L6" s="5"/>
      <c r="M6" s="32"/>
      <c r="N6" s="2"/>
      <c r="O6" s="43"/>
      <c r="P6" s="2"/>
      <c r="Q6" s="24"/>
      <c r="R6" s="2"/>
      <c r="S6" s="28"/>
      <c r="T6" s="33"/>
      <c r="U6" s="33"/>
      <c r="V6" s="53"/>
      <c r="W6" s="58"/>
      <c r="X6" s="35"/>
      <c r="Y6" s="35"/>
    </row>
    <row r="7" spans="2:25" x14ac:dyDescent="0.25">
      <c r="B7" s="1"/>
      <c r="C7" s="3"/>
      <c r="D7" s="3"/>
      <c r="E7" s="4"/>
      <c r="F7" s="4"/>
      <c r="G7" s="32"/>
      <c r="H7" s="1"/>
      <c r="I7" s="32"/>
      <c r="J7" s="8"/>
      <c r="K7" s="32"/>
      <c r="L7" s="5"/>
      <c r="M7" s="32"/>
      <c r="N7" s="2"/>
      <c r="O7" s="43"/>
      <c r="P7" s="2"/>
      <c r="Q7" s="24"/>
      <c r="R7" s="2"/>
      <c r="S7" s="28"/>
      <c r="T7" s="33"/>
      <c r="U7" s="33"/>
      <c r="V7" s="53"/>
      <c r="W7" s="58"/>
      <c r="X7" s="35"/>
      <c r="Y7" s="35"/>
    </row>
    <row r="8" spans="2:25" x14ac:dyDescent="0.25">
      <c r="B8" s="1"/>
      <c r="C8" s="3"/>
      <c r="D8" s="3"/>
      <c r="E8" s="4"/>
      <c r="F8" s="4"/>
      <c r="G8" s="32"/>
      <c r="H8" s="1"/>
      <c r="I8" s="32"/>
      <c r="J8" s="8"/>
      <c r="K8" s="32"/>
      <c r="L8" s="5"/>
      <c r="M8" s="32"/>
      <c r="N8" s="2"/>
      <c r="O8" s="43"/>
      <c r="P8" s="2"/>
      <c r="Q8" s="24"/>
      <c r="R8" s="2"/>
      <c r="S8" s="28"/>
      <c r="T8" s="33"/>
      <c r="U8" s="33"/>
      <c r="V8" s="53"/>
      <c r="W8" s="58"/>
      <c r="X8" s="35"/>
      <c r="Y8" s="35"/>
    </row>
    <row r="9" spans="2:25" x14ac:dyDescent="0.25">
      <c r="B9" s="1"/>
      <c r="C9" s="3"/>
      <c r="D9" s="3"/>
      <c r="E9" s="4"/>
      <c r="F9" s="4"/>
      <c r="G9" s="32"/>
      <c r="H9" s="1"/>
      <c r="I9" s="32"/>
      <c r="J9" s="8"/>
      <c r="K9" s="32"/>
      <c r="L9" s="5"/>
      <c r="M9" s="32"/>
      <c r="N9" s="2"/>
      <c r="O9" s="43"/>
      <c r="P9" s="2"/>
      <c r="Q9" s="24"/>
      <c r="R9" s="2"/>
      <c r="S9" s="28"/>
      <c r="T9" s="33"/>
      <c r="U9" s="33"/>
      <c r="V9" s="53"/>
      <c r="W9" s="58"/>
      <c r="X9" s="35"/>
      <c r="Y9" s="35"/>
    </row>
    <row r="10" spans="2:25" x14ac:dyDescent="0.25">
      <c r="B10" s="1"/>
      <c r="C10" s="3"/>
      <c r="D10" s="3"/>
      <c r="E10" s="4"/>
      <c r="F10" s="4"/>
      <c r="G10" s="32"/>
      <c r="H10" s="1"/>
      <c r="I10" s="32"/>
      <c r="J10" s="8"/>
      <c r="K10" s="32"/>
      <c r="L10" s="5"/>
      <c r="M10" s="32"/>
      <c r="N10" s="2"/>
      <c r="O10" s="43"/>
      <c r="P10" s="2"/>
      <c r="Q10" s="24"/>
      <c r="R10" s="2"/>
      <c r="S10" s="28"/>
      <c r="T10" s="33"/>
      <c r="U10" s="33"/>
      <c r="V10" s="53"/>
      <c r="W10" s="58"/>
      <c r="X10" s="35"/>
      <c r="Y10" s="35"/>
    </row>
    <row r="11" spans="2:25" x14ac:dyDescent="0.25">
      <c r="B11" s="16" t="s">
        <v>4</v>
      </c>
      <c r="C11" s="17" t="s">
        <v>5</v>
      </c>
      <c r="D11" s="17" t="s">
        <v>84</v>
      </c>
      <c r="E11" s="18" t="s">
        <v>7</v>
      </c>
      <c r="F11" s="18"/>
      <c r="G11" s="16" t="s">
        <v>8</v>
      </c>
      <c r="H11" s="16" t="s">
        <v>9</v>
      </c>
      <c r="I11" s="17" t="s">
        <v>49</v>
      </c>
      <c r="J11" s="19" t="s">
        <v>10</v>
      </c>
      <c r="K11" s="17" t="s">
        <v>11</v>
      </c>
      <c r="L11" s="17" t="s">
        <v>12</v>
      </c>
      <c r="M11" s="17" t="s">
        <v>13</v>
      </c>
      <c r="N11" s="17" t="s">
        <v>14</v>
      </c>
      <c r="O11" s="44" t="s">
        <v>15</v>
      </c>
      <c r="P11" s="17" t="s">
        <v>16</v>
      </c>
      <c r="Q11" s="20" t="s">
        <v>181</v>
      </c>
      <c r="R11" s="17" t="s">
        <v>17</v>
      </c>
      <c r="S11" s="16" t="s">
        <v>18</v>
      </c>
      <c r="T11" s="21" t="s">
        <v>48</v>
      </c>
      <c r="U11" s="21" t="s">
        <v>47</v>
      </c>
      <c r="V11" s="54" t="s">
        <v>182</v>
      </c>
      <c r="W11" s="59" t="s">
        <v>41</v>
      </c>
      <c r="X11" s="36"/>
      <c r="Y11" s="36"/>
    </row>
    <row r="12" spans="2:25" s="62" customFormat="1" x14ac:dyDescent="0.25">
      <c r="B12" s="1" t="s">
        <v>183</v>
      </c>
      <c r="C12" s="3" t="s">
        <v>31</v>
      </c>
      <c r="D12" s="3" t="s">
        <v>20</v>
      </c>
      <c r="E12" s="4">
        <v>36617</v>
      </c>
      <c r="F12" s="4">
        <v>41213</v>
      </c>
      <c r="G12" s="1" t="s">
        <v>366</v>
      </c>
      <c r="H12" s="1" t="s">
        <v>367</v>
      </c>
      <c r="I12" s="3" t="s">
        <v>368</v>
      </c>
      <c r="J12" s="8">
        <f>(6.138+0.2)/J1</f>
        <v>0.2044516129032258</v>
      </c>
      <c r="K12" s="5"/>
      <c r="L12" s="5"/>
      <c r="M12" s="5"/>
      <c r="N12" s="5"/>
      <c r="O12" s="43"/>
      <c r="P12" s="5"/>
      <c r="Q12" s="24">
        <v>771151</v>
      </c>
      <c r="R12" s="3">
        <v>62</v>
      </c>
      <c r="S12" s="1"/>
      <c r="T12" s="9">
        <f t="shared" ref="T12:T19" si="0">J12*J$1*R12</f>
        <v>392.95600000000002</v>
      </c>
      <c r="U12" s="9"/>
      <c r="V12" s="56">
        <v>232609</v>
      </c>
      <c r="W12" s="105"/>
      <c r="X12" s="36"/>
      <c r="Y12" s="36"/>
    </row>
    <row r="13" spans="2:25" s="62" customFormat="1" x14ac:dyDescent="0.25">
      <c r="B13" s="1" t="s">
        <v>183</v>
      </c>
      <c r="C13" s="3" t="s">
        <v>31</v>
      </c>
      <c r="D13" s="3" t="s">
        <v>20</v>
      </c>
      <c r="E13" s="4">
        <v>36617</v>
      </c>
      <c r="F13" s="4">
        <v>38656</v>
      </c>
      <c r="G13" s="1" t="s">
        <v>369</v>
      </c>
      <c r="H13" s="1" t="s">
        <v>370</v>
      </c>
      <c r="I13" s="3" t="s">
        <v>371</v>
      </c>
      <c r="J13" s="8">
        <f>(6.5854+0.2)/+J1</f>
        <v>0.21888387096774195</v>
      </c>
      <c r="K13" s="5"/>
      <c r="L13" s="5"/>
      <c r="M13" s="5"/>
      <c r="N13" s="5"/>
      <c r="O13" s="43"/>
      <c r="P13" s="5"/>
      <c r="Q13" s="24">
        <v>771156</v>
      </c>
      <c r="R13" s="3">
        <v>120</v>
      </c>
      <c r="S13" s="1"/>
      <c r="T13" s="9">
        <f t="shared" si="0"/>
        <v>814.24800000000005</v>
      </c>
      <c r="U13" s="9"/>
      <c r="V13" s="56">
        <v>232622</v>
      </c>
      <c r="W13" s="105" t="s">
        <v>372</v>
      </c>
      <c r="X13" s="36"/>
      <c r="Y13" s="36"/>
    </row>
    <row r="14" spans="2:25" s="62" customFormat="1" x14ac:dyDescent="0.25">
      <c r="B14" s="1" t="s">
        <v>183</v>
      </c>
      <c r="C14" s="3" t="s">
        <v>31</v>
      </c>
      <c r="D14" s="3" t="s">
        <v>20</v>
      </c>
      <c r="E14" s="4">
        <v>36617</v>
      </c>
      <c r="F14" s="4">
        <v>38656</v>
      </c>
      <c r="G14" s="1" t="s">
        <v>373</v>
      </c>
      <c r="H14" s="1" t="s">
        <v>374</v>
      </c>
      <c r="I14" s="3" t="s">
        <v>376</v>
      </c>
      <c r="J14" s="8">
        <f>+(6.5854+0.2)/+J1</f>
        <v>0.21888387096774195</v>
      </c>
      <c r="K14" s="5"/>
      <c r="L14" s="5"/>
      <c r="M14" s="5"/>
      <c r="N14" s="5"/>
      <c r="O14" s="43"/>
      <c r="P14" s="5"/>
      <c r="Q14" s="24">
        <v>771157</v>
      </c>
      <c r="R14" s="3">
        <v>160</v>
      </c>
      <c r="S14" s="1"/>
      <c r="T14" s="9">
        <f t="shared" si="0"/>
        <v>1085.664</v>
      </c>
      <c r="U14" s="9"/>
      <c r="V14" s="56">
        <v>232646</v>
      </c>
      <c r="W14" s="105" t="s">
        <v>375</v>
      </c>
      <c r="X14" s="36"/>
      <c r="Y14" s="36"/>
    </row>
    <row r="15" spans="2:25" s="62" customFormat="1" x14ac:dyDescent="0.25">
      <c r="B15" s="1" t="s">
        <v>183</v>
      </c>
      <c r="C15" s="3" t="s">
        <v>31</v>
      </c>
      <c r="D15" s="3" t="s">
        <v>20</v>
      </c>
      <c r="E15" s="4">
        <v>36617</v>
      </c>
      <c r="F15" s="4">
        <v>40117</v>
      </c>
      <c r="G15" s="1" t="s">
        <v>374</v>
      </c>
      <c r="H15" s="1" t="s">
        <v>367</v>
      </c>
      <c r="I15" s="3" t="s">
        <v>27</v>
      </c>
      <c r="J15" s="8">
        <f>+(6.5854+0.2)/+J1</f>
        <v>0.21888387096774195</v>
      </c>
      <c r="K15" s="5"/>
      <c r="L15" s="5"/>
      <c r="M15" s="5"/>
      <c r="N15" s="5"/>
      <c r="O15" s="43"/>
      <c r="P15" s="5"/>
      <c r="Q15" s="24">
        <v>771152</v>
      </c>
      <c r="R15" s="3">
        <v>86</v>
      </c>
      <c r="S15" s="1"/>
      <c r="T15" s="9">
        <f t="shared" si="0"/>
        <v>583.5444</v>
      </c>
      <c r="U15" s="9"/>
      <c r="V15" s="56">
        <v>232657</v>
      </c>
      <c r="W15" s="105"/>
      <c r="X15" s="36"/>
      <c r="Y15" s="36"/>
    </row>
    <row r="16" spans="2:25" s="62" customFormat="1" x14ac:dyDescent="0.25">
      <c r="B16" s="1" t="s">
        <v>183</v>
      </c>
      <c r="C16" s="3" t="s">
        <v>31</v>
      </c>
      <c r="D16" s="3" t="s">
        <v>20</v>
      </c>
      <c r="E16" s="4">
        <v>36617</v>
      </c>
      <c r="F16" s="4">
        <v>39021</v>
      </c>
      <c r="G16" s="1" t="s">
        <v>374</v>
      </c>
      <c r="H16" s="1" t="s">
        <v>377</v>
      </c>
      <c r="I16" s="3" t="s">
        <v>378</v>
      </c>
      <c r="J16" s="8">
        <f>+(11.8368+0.2)/+J1</f>
        <v>0.38828387096774192</v>
      </c>
      <c r="K16" s="5"/>
      <c r="L16" s="5"/>
      <c r="M16" s="5"/>
      <c r="N16" s="5"/>
      <c r="O16" s="43"/>
      <c r="P16" s="5"/>
      <c r="Q16" s="24">
        <v>771153</v>
      </c>
      <c r="R16" s="3">
        <v>65</v>
      </c>
      <c r="S16" s="1"/>
      <c r="T16" s="9">
        <f t="shared" si="0"/>
        <v>782.39199999999994</v>
      </c>
      <c r="U16" s="9"/>
      <c r="V16" s="56">
        <v>232680</v>
      </c>
      <c r="W16" s="105"/>
      <c r="X16" s="36"/>
      <c r="Y16" s="36"/>
    </row>
    <row r="17" spans="1:25" s="62" customFormat="1" x14ac:dyDescent="0.25">
      <c r="B17" s="1" t="s">
        <v>183</v>
      </c>
      <c r="C17" s="3" t="s">
        <v>31</v>
      </c>
      <c r="D17" s="3" t="s">
        <v>20</v>
      </c>
      <c r="E17" s="4">
        <v>36617</v>
      </c>
      <c r="F17" s="4">
        <v>36830</v>
      </c>
      <c r="G17" s="1" t="s">
        <v>374</v>
      </c>
      <c r="H17" s="1" t="s">
        <v>379</v>
      </c>
      <c r="I17" s="3" t="s">
        <v>85</v>
      </c>
      <c r="J17" s="8">
        <f>(6.5854+0.2)/+J1</f>
        <v>0.21888387096774195</v>
      </c>
      <c r="K17" s="5"/>
      <c r="L17" s="5"/>
      <c r="M17" s="5"/>
      <c r="N17" s="5"/>
      <c r="O17" s="43"/>
      <c r="P17" s="5"/>
      <c r="Q17" s="24">
        <v>771154</v>
      </c>
      <c r="R17" s="3">
        <v>10</v>
      </c>
      <c r="S17" s="1"/>
      <c r="T17" s="9">
        <f t="shared" si="0"/>
        <v>67.853999999999999</v>
      </c>
      <c r="U17" s="9"/>
      <c r="V17" s="56">
        <v>232686</v>
      </c>
      <c r="W17" s="105"/>
      <c r="X17" s="36"/>
      <c r="Y17" s="36"/>
    </row>
    <row r="18" spans="1:25" s="62" customFormat="1" x14ac:dyDescent="0.25">
      <c r="B18" s="1" t="s">
        <v>183</v>
      </c>
      <c r="C18" s="3" t="s">
        <v>31</v>
      </c>
      <c r="D18" s="3" t="s">
        <v>20</v>
      </c>
      <c r="E18" s="4">
        <v>36617</v>
      </c>
      <c r="F18" s="4">
        <v>36830</v>
      </c>
      <c r="G18" s="1" t="s">
        <v>374</v>
      </c>
      <c r="H18" s="1" t="s">
        <v>373</v>
      </c>
      <c r="I18" s="3" t="s">
        <v>85</v>
      </c>
      <c r="J18" s="8">
        <f>+(6.5854+0.2)/J1</f>
        <v>0.21888387096774195</v>
      </c>
      <c r="K18" s="5"/>
      <c r="L18" s="5"/>
      <c r="M18" s="5"/>
      <c r="N18" s="5"/>
      <c r="O18" s="43"/>
      <c r="P18" s="5"/>
      <c r="Q18" s="24">
        <v>771155</v>
      </c>
      <c r="R18" s="3">
        <v>62</v>
      </c>
      <c r="S18" s="1"/>
      <c r="T18" s="9">
        <f t="shared" si="0"/>
        <v>420.69479999999999</v>
      </c>
      <c r="U18" s="9"/>
      <c r="V18" s="56">
        <v>233314</v>
      </c>
      <c r="W18" s="105" t="s">
        <v>380</v>
      </c>
      <c r="X18" s="36"/>
      <c r="Y18" s="36"/>
    </row>
    <row r="19" spans="1:25" s="62" customFormat="1" x14ac:dyDescent="0.25">
      <c r="A19" s="71"/>
      <c r="B19" s="1" t="s">
        <v>90</v>
      </c>
      <c r="C19" s="3" t="s">
        <v>31</v>
      </c>
      <c r="D19" s="3" t="s">
        <v>86</v>
      </c>
      <c r="E19" s="4">
        <v>36479</v>
      </c>
      <c r="F19" s="4" t="s">
        <v>365</v>
      </c>
      <c r="G19" s="29" t="s">
        <v>87</v>
      </c>
      <c r="H19" s="29" t="s">
        <v>88</v>
      </c>
      <c r="I19" s="3" t="s">
        <v>89</v>
      </c>
      <c r="J19" s="8">
        <f>6.7854/J$1</f>
        <v>0.21888387096774195</v>
      </c>
      <c r="K19" s="5">
        <v>1.12E-2</v>
      </c>
      <c r="L19" s="5">
        <v>2.2000000000000001E-3</v>
      </c>
      <c r="M19" s="5">
        <v>7.1999999999999998E-3</v>
      </c>
      <c r="N19" s="5">
        <v>0</v>
      </c>
      <c r="O19" s="43">
        <v>1.11E-2</v>
      </c>
      <c r="P19" s="5">
        <f>SUM(J19:N19)</f>
        <v>0.23948387096774196</v>
      </c>
      <c r="Q19" s="24">
        <v>771013</v>
      </c>
      <c r="R19" s="3">
        <v>69</v>
      </c>
      <c r="S19" s="1"/>
      <c r="T19" s="9">
        <f t="shared" si="0"/>
        <v>468.19260000000003</v>
      </c>
      <c r="U19" s="9"/>
      <c r="V19" s="56">
        <v>142030</v>
      </c>
      <c r="W19" s="105">
        <v>771013</v>
      </c>
      <c r="X19" s="36"/>
      <c r="Y19" s="36"/>
    </row>
    <row r="20" spans="1:25" x14ac:dyDescent="0.25">
      <c r="B20" s="10" t="s">
        <v>3</v>
      </c>
      <c r="C20" s="11" t="s">
        <v>3</v>
      </c>
      <c r="D20" s="12" t="s">
        <v>3</v>
      </c>
      <c r="E20" s="13" t="s">
        <v>3</v>
      </c>
      <c r="F20" s="13"/>
      <c r="G20" s="10" t="s">
        <v>3</v>
      </c>
      <c r="H20" s="30" t="s">
        <v>3</v>
      </c>
      <c r="I20" s="11" t="s">
        <v>3</v>
      </c>
      <c r="J20" s="14"/>
      <c r="K20" s="15"/>
      <c r="L20" s="15"/>
      <c r="M20" s="15"/>
      <c r="N20" s="15"/>
      <c r="O20" s="45"/>
      <c r="P20" s="15"/>
      <c r="Q20" s="26" t="s">
        <v>3</v>
      </c>
      <c r="R20" s="11">
        <f>SUM(R12:R19)</f>
        <v>634</v>
      </c>
      <c r="S20" s="10" t="s">
        <v>3</v>
      </c>
      <c r="T20" s="22">
        <f>SUM(T12:T19)</f>
        <v>4615.5457999999999</v>
      </c>
      <c r="U20" s="22">
        <f>SUM(U12:U19)</f>
        <v>0</v>
      </c>
      <c r="V20" s="55"/>
      <c r="W20" s="10"/>
      <c r="X20" s="36"/>
      <c r="Y20" s="36"/>
    </row>
    <row r="21" spans="1:25" x14ac:dyDescent="0.25">
      <c r="B21" s="16" t="s">
        <v>4</v>
      </c>
      <c r="C21" s="17" t="s">
        <v>5</v>
      </c>
      <c r="D21" s="17" t="s">
        <v>84</v>
      </c>
      <c r="E21" s="18" t="s">
        <v>7</v>
      </c>
      <c r="F21" s="18"/>
      <c r="G21" s="16" t="s">
        <v>8</v>
      </c>
      <c r="H21" s="16" t="s">
        <v>9</v>
      </c>
      <c r="I21" s="17" t="s">
        <v>49</v>
      </c>
      <c r="J21" s="19" t="s">
        <v>10</v>
      </c>
      <c r="K21" s="17" t="s">
        <v>11</v>
      </c>
      <c r="L21" s="17" t="s">
        <v>12</v>
      </c>
      <c r="M21" s="17" t="s">
        <v>13</v>
      </c>
      <c r="N21" s="17" t="s">
        <v>14</v>
      </c>
      <c r="O21" s="44" t="s">
        <v>15</v>
      </c>
      <c r="P21" s="17" t="s">
        <v>16</v>
      </c>
      <c r="Q21" s="20" t="s">
        <v>181</v>
      </c>
      <c r="R21" s="17" t="s">
        <v>17</v>
      </c>
      <c r="S21" s="16" t="s">
        <v>18</v>
      </c>
      <c r="T21" s="21" t="s">
        <v>48</v>
      </c>
      <c r="U21" s="21" t="s">
        <v>47</v>
      </c>
      <c r="V21" s="54" t="s">
        <v>182</v>
      </c>
      <c r="W21" s="59" t="s">
        <v>41</v>
      </c>
      <c r="X21" s="36"/>
      <c r="Y21" s="36"/>
    </row>
    <row r="22" spans="1:25" s="80" customFormat="1" x14ac:dyDescent="0.25">
      <c r="B22" s="42" t="s">
        <v>183</v>
      </c>
      <c r="C22" s="72" t="s">
        <v>26</v>
      </c>
      <c r="D22" s="72" t="s">
        <v>100</v>
      </c>
      <c r="E22" s="73">
        <v>36647</v>
      </c>
      <c r="F22" s="73">
        <v>36677</v>
      </c>
      <c r="G22" s="42" t="s">
        <v>95</v>
      </c>
      <c r="H22" s="42" t="s">
        <v>359</v>
      </c>
      <c r="I22" s="72" t="s">
        <v>93</v>
      </c>
      <c r="J22" s="74">
        <f>5.7114/J$1</f>
        <v>0.18423870967741937</v>
      </c>
      <c r="K22" s="75">
        <v>4.3400000000000001E-2</v>
      </c>
      <c r="L22" s="75">
        <v>2.2000000000000001E-3</v>
      </c>
      <c r="M22" s="75">
        <v>0</v>
      </c>
      <c r="N22" s="75">
        <v>0</v>
      </c>
      <c r="O22" s="76">
        <v>2.2800000000000001E-2</v>
      </c>
      <c r="P22" s="75">
        <f t="shared" ref="P22:P30" si="1">SUM(J22:N22)</f>
        <v>0.22983870967741937</v>
      </c>
      <c r="Q22" s="77" t="s">
        <v>406</v>
      </c>
      <c r="R22" s="72">
        <v>645</v>
      </c>
      <c r="S22" s="42" t="s">
        <v>407</v>
      </c>
      <c r="T22" s="78">
        <f>J22*J$1*R22</f>
        <v>3683.8530000000001</v>
      </c>
      <c r="U22" s="78"/>
      <c r="V22" s="110">
        <v>251967</v>
      </c>
      <c r="W22" s="42"/>
      <c r="X22" s="79"/>
      <c r="Y22" s="79"/>
    </row>
    <row r="23" spans="1:25" s="80" customFormat="1" x14ac:dyDescent="0.25">
      <c r="B23" s="42" t="s">
        <v>183</v>
      </c>
      <c r="C23" s="72" t="s">
        <v>26</v>
      </c>
      <c r="D23" s="72" t="s">
        <v>20</v>
      </c>
      <c r="E23" s="73">
        <v>36220</v>
      </c>
      <c r="F23" s="73">
        <v>38807</v>
      </c>
      <c r="G23" s="42" t="s">
        <v>98</v>
      </c>
      <c r="H23" s="126"/>
      <c r="I23" s="72" t="s">
        <v>97</v>
      </c>
      <c r="J23" s="74">
        <f>1.8533/J$1</f>
        <v>5.9783870967741931E-2</v>
      </c>
      <c r="K23" s="75">
        <v>0</v>
      </c>
      <c r="L23" s="75">
        <v>0</v>
      </c>
      <c r="M23" s="75">
        <v>0</v>
      </c>
      <c r="N23" s="75">
        <v>0</v>
      </c>
      <c r="O23" s="76">
        <v>0</v>
      </c>
      <c r="P23" s="75">
        <f t="shared" si="1"/>
        <v>5.9783870967741931E-2</v>
      </c>
      <c r="Q23" s="77">
        <v>560092</v>
      </c>
      <c r="R23" s="72">
        <v>147</v>
      </c>
      <c r="S23" s="42" t="s">
        <v>193</v>
      </c>
      <c r="T23" s="144">
        <f>J23*J$1*R23</f>
        <v>272.43509999999998</v>
      </c>
      <c r="U23" s="78"/>
      <c r="V23" s="110">
        <v>157045</v>
      </c>
      <c r="W23" s="42"/>
      <c r="X23" s="79"/>
      <c r="Y23" s="79"/>
    </row>
    <row r="24" spans="1:25" s="80" customFormat="1" x14ac:dyDescent="0.25">
      <c r="B24" s="42" t="s">
        <v>183</v>
      </c>
      <c r="C24" s="72" t="s">
        <v>26</v>
      </c>
      <c r="D24" s="72" t="s">
        <v>20</v>
      </c>
      <c r="E24" s="73">
        <v>36220</v>
      </c>
      <c r="F24" s="73">
        <v>38807</v>
      </c>
      <c r="G24" s="42" t="s">
        <v>99</v>
      </c>
      <c r="H24" s="126"/>
      <c r="I24" s="72" t="s">
        <v>97</v>
      </c>
      <c r="J24" s="74">
        <v>1.37E-2</v>
      </c>
      <c r="K24" s="75">
        <v>0</v>
      </c>
      <c r="L24" s="75">
        <v>0</v>
      </c>
      <c r="M24" s="75">
        <v>0</v>
      </c>
      <c r="N24" s="75">
        <v>0</v>
      </c>
      <c r="O24" s="76">
        <v>0</v>
      </c>
      <c r="P24" s="75">
        <f t="shared" si="1"/>
        <v>1.37E-2</v>
      </c>
      <c r="Q24" s="77">
        <v>560092</v>
      </c>
      <c r="R24" s="72">
        <v>16275</v>
      </c>
      <c r="S24" s="42" t="s">
        <v>193</v>
      </c>
      <c r="T24" s="144">
        <f>+R24*J24</f>
        <v>222.9675</v>
      </c>
      <c r="U24" s="78"/>
      <c r="V24" s="110">
        <v>157045</v>
      </c>
      <c r="W24" s="42"/>
      <c r="X24" s="79"/>
      <c r="Y24" s="79"/>
    </row>
    <row r="25" spans="1:25" s="80" customFormat="1" ht="13.5" customHeight="1" x14ac:dyDescent="0.25">
      <c r="B25" s="42" t="s">
        <v>183</v>
      </c>
      <c r="C25" s="72" t="s">
        <v>26</v>
      </c>
      <c r="D25" s="72" t="s">
        <v>20</v>
      </c>
      <c r="E25" s="73">
        <v>36617</v>
      </c>
      <c r="F25" s="73">
        <v>38807</v>
      </c>
      <c r="G25" s="42" t="s">
        <v>98</v>
      </c>
      <c r="H25" s="126"/>
      <c r="I25" s="72" t="s">
        <v>97</v>
      </c>
      <c r="J25" s="74">
        <v>1.8372999999999999</v>
      </c>
      <c r="K25" s="75">
        <v>0</v>
      </c>
      <c r="L25" s="75">
        <v>0</v>
      </c>
      <c r="M25" s="75">
        <v>0</v>
      </c>
      <c r="N25" s="75">
        <v>0</v>
      </c>
      <c r="O25" s="76">
        <v>0</v>
      </c>
      <c r="P25" s="75">
        <f>SUM(J25:N25)</f>
        <v>1.8372999999999999</v>
      </c>
      <c r="Q25" s="77">
        <v>560104</v>
      </c>
      <c r="R25" s="72">
        <v>132</v>
      </c>
      <c r="S25" s="42" t="s">
        <v>353</v>
      </c>
      <c r="T25" s="144">
        <f>J25*R25</f>
        <v>242.52359999999999</v>
      </c>
      <c r="U25" s="78"/>
      <c r="V25" s="110">
        <v>231301</v>
      </c>
      <c r="W25" s="42"/>
      <c r="X25" s="79"/>
      <c r="Y25" s="79"/>
    </row>
    <row r="26" spans="1:25" s="80" customFormat="1" ht="13.5" customHeight="1" x14ac:dyDescent="0.25">
      <c r="B26" s="42" t="s">
        <v>183</v>
      </c>
      <c r="C26" s="72" t="s">
        <v>26</v>
      </c>
      <c r="D26" s="72" t="s">
        <v>20</v>
      </c>
      <c r="E26" s="73">
        <v>36617</v>
      </c>
      <c r="F26" s="73">
        <v>38807</v>
      </c>
      <c r="G26" s="42" t="s">
        <v>99</v>
      </c>
      <c r="H26" s="126"/>
      <c r="I26" s="72" t="s">
        <v>97</v>
      </c>
      <c r="J26" s="74">
        <v>1.37E-2</v>
      </c>
      <c r="K26" s="75">
        <v>0</v>
      </c>
      <c r="L26" s="75">
        <v>0</v>
      </c>
      <c r="M26" s="75">
        <v>0</v>
      </c>
      <c r="N26" s="75">
        <v>0</v>
      </c>
      <c r="O26" s="76">
        <v>0</v>
      </c>
      <c r="P26" s="75">
        <f>SUM(J26:N26)</f>
        <v>1.37E-2</v>
      </c>
      <c r="Q26" s="77">
        <v>560104</v>
      </c>
      <c r="R26" s="72">
        <v>14661</v>
      </c>
      <c r="S26" s="42" t="s">
        <v>353</v>
      </c>
      <c r="T26" s="144">
        <f>+R26*J26</f>
        <v>200.85570000000001</v>
      </c>
      <c r="U26" s="78"/>
      <c r="V26" s="110">
        <v>231301</v>
      </c>
      <c r="W26" s="42"/>
      <c r="X26" s="79"/>
      <c r="Y26" s="79"/>
    </row>
    <row r="27" spans="1:25" s="80" customFormat="1" x14ac:dyDescent="0.25">
      <c r="B27" s="42" t="s">
        <v>183</v>
      </c>
      <c r="C27" s="72" t="s">
        <v>26</v>
      </c>
      <c r="D27" s="72" t="s">
        <v>20</v>
      </c>
      <c r="E27" s="73">
        <v>36617</v>
      </c>
      <c r="F27" s="73">
        <v>37711</v>
      </c>
      <c r="G27" s="42" t="s">
        <v>354</v>
      </c>
      <c r="H27" s="126"/>
      <c r="I27" s="72" t="s">
        <v>93</v>
      </c>
      <c r="J27" s="74">
        <f>5.5884/$J$1</f>
        <v>0.18027096774193549</v>
      </c>
      <c r="K27" s="75"/>
      <c r="L27" s="75"/>
      <c r="M27" s="75"/>
      <c r="N27" s="75"/>
      <c r="O27" s="76"/>
      <c r="P27" s="75"/>
      <c r="Q27" s="77" t="s">
        <v>357</v>
      </c>
      <c r="R27" s="72">
        <v>15</v>
      </c>
      <c r="S27" s="42" t="s">
        <v>358</v>
      </c>
      <c r="T27" s="144">
        <f>+R27*J27*$J$1</f>
        <v>83.825999999999993</v>
      </c>
      <c r="U27" s="78"/>
      <c r="V27" s="110">
        <v>231285</v>
      </c>
      <c r="W27" s="42"/>
      <c r="X27" s="79"/>
      <c r="Y27" s="79"/>
    </row>
    <row r="28" spans="1:25" s="80" customFormat="1" x14ac:dyDescent="0.25">
      <c r="B28" s="42" t="s">
        <v>183</v>
      </c>
      <c r="C28" s="72" t="s">
        <v>26</v>
      </c>
      <c r="D28" s="72" t="s">
        <v>20</v>
      </c>
      <c r="E28" s="73">
        <v>36617</v>
      </c>
      <c r="F28" s="73">
        <v>37711</v>
      </c>
      <c r="G28" s="42" t="s">
        <v>355</v>
      </c>
      <c r="H28" s="126"/>
      <c r="I28" s="72" t="s">
        <v>93</v>
      </c>
      <c r="J28" s="74">
        <f>5.5884/$J$1</f>
        <v>0.18027096774193549</v>
      </c>
      <c r="K28" s="75"/>
      <c r="L28" s="75"/>
      <c r="M28" s="75"/>
      <c r="N28" s="75"/>
      <c r="O28" s="76"/>
      <c r="P28" s="75"/>
      <c r="Q28" s="77" t="s">
        <v>357</v>
      </c>
      <c r="R28" s="72">
        <v>41</v>
      </c>
      <c r="S28" s="42" t="s">
        <v>358</v>
      </c>
      <c r="T28" s="144">
        <f>+R28*J28*$J$1</f>
        <v>229.12440000000001</v>
      </c>
      <c r="U28" s="78"/>
      <c r="V28" s="110">
        <v>231285</v>
      </c>
      <c r="W28" s="42"/>
      <c r="X28" s="79"/>
      <c r="Y28" s="79"/>
    </row>
    <row r="29" spans="1:25" s="80" customFormat="1" x14ac:dyDescent="0.25">
      <c r="B29" s="42" t="s">
        <v>183</v>
      </c>
      <c r="C29" s="72" t="s">
        <v>26</v>
      </c>
      <c r="D29" s="72" t="s">
        <v>20</v>
      </c>
      <c r="E29" s="73">
        <v>36617</v>
      </c>
      <c r="F29" s="73">
        <v>37711</v>
      </c>
      <c r="G29" s="42" t="s">
        <v>356</v>
      </c>
      <c r="H29" s="126"/>
      <c r="I29" s="72" t="s">
        <v>93</v>
      </c>
      <c r="J29" s="74">
        <f>5.5884/$J$1</f>
        <v>0.18027096774193549</v>
      </c>
      <c r="K29" s="75"/>
      <c r="L29" s="75"/>
      <c r="M29" s="75"/>
      <c r="N29" s="75"/>
      <c r="O29" s="76"/>
      <c r="P29" s="75"/>
      <c r="Q29" s="77" t="s">
        <v>357</v>
      </c>
      <c r="R29" s="72">
        <v>11</v>
      </c>
      <c r="S29" s="42" t="s">
        <v>358</v>
      </c>
      <c r="T29" s="144">
        <f>+R29*J29*$J$1</f>
        <v>61.4724</v>
      </c>
      <c r="U29" s="78"/>
      <c r="V29" s="110">
        <v>231285</v>
      </c>
      <c r="W29" s="42"/>
      <c r="X29" s="79"/>
      <c r="Y29" s="79"/>
    </row>
    <row r="30" spans="1:25" s="80" customFormat="1" x14ac:dyDescent="0.25">
      <c r="B30" s="42" t="s">
        <v>183</v>
      </c>
      <c r="C30" s="72" t="s">
        <v>26</v>
      </c>
      <c r="D30" s="72" t="s">
        <v>86</v>
      </c>
      <c r="E30" s="73">
        <v>36557</v>
      </c>
      <c r="F30" s="73">
        <v>36677</v>
      </c>
      <c r="G30" s="126" t="s">
        <v>95</v>
      </c>
      <c r="H30" s="126" t="s">
        <v>96</v>
      </c>
      <c r="I30" s="72" t="s">
        <v>93</v>
      </c>
      <c r="J30" s="74">
        <f>5.75/J$1</f>
        <v>0.18548387096774194</v>
      </c>
      <c r="K30" s="75">
        <v>4.3400000000000001E-2</v>
      </c>
      <c r="L30" s="75">
        <v>2.2000000000000001E-3</v>
      </c>
      <c r="M30" s="75">
        <v>0</v>
      </c>
      <c r="N30" s="75">
        <v>0</v>
      </c>
      <c r="O30" s="76">
        <v>2.2800000000000001E-2</v>
      </c>
      <c r="P30" s="75">
        <f t="shared" si="1"/>
        <v>0.23108387096774194</v>
      </c>
      <c r="Q30" s="77" t="s">
        <v>185</v>
      </c>
      <c r="R30" s="72">
        <v>186</v>
      </c>
      <c r="S30" s="42" t="s">
        <v>186</v>
      </c>
      <c r="T30" s="78">
        <f>J30*J$1*R30</f>
        <v>1069.5</v>
      </c>
      <c r="U30" s="78"/>
      <c r="V30" s="110">
        <v>156559</v>
      </c>
      <c r="W30" s="42"/>
      <c r="X30" s="79"/>
      <c r="Y30" s="79"/>
    </row>
    <row r="31" spans="1:25" s="80" customFormat="1" x14ac:dyDescent="0.25">
      <c r="B31" s="42" t="s">
        <v>183</v>
      </c>
      <c r="C31" s="72" t="s">
        <v>26</v>
      </c>
      <c r="D31" s="72" t="s">
        <v>118</v>
      </c>
      <c r="E31" s="73">
        <v>36678</v>
      </c>
      <c r="F31" s="73">
        <v>36707</v>
      </c>
      <c r="G31" s="109">
        <v>10001</v>
      </c>
      <c r="H31" s="109">
        <v>10001</v>
      </c>
      <c r="I31" s="72" t="s">
        <v>97</v>
      </c>
      <c r="J31" s="74">
        <v>1.37E-2</v>
      </c>
      <c r="K31" s="75"/>
      <c r="L31" s="75"/>
      <c r="M31" s="75"/>
      <c r="N31" s="75"/>
      <c r="O31" s="76"/>
      <c r="P31" s="75"/>
      <c r="Q31" s="77">
        <v>530669</v>
      </c>
      <c r="R31" s="72">
        <v>13471</v>
      </c>
      <c r="S31" s="42" t="s">
        <v>501</v>
      </c>
      <c r="T31" s="78">
        <f>J31*1*R31</f>
        <v>184.55270000000002</v>
      </c>
      <c r="U31" s="78"/>
      <c r="V31" s="110">
        <v>276543</v>
      </c>
      <c r="W31" s="42"/>
      <c r="X31" s="79"/>
      <c r="Y31" s="79"/>
    </row>
    <row r="32" spans="1:25" s="80" customFormat="1" x14ac:dyDescent="0.25">
      <c r="B32" s="42" t="s">
        <v>183</v>
      </c>
      <c r="C32" s="72" t="s">
        <v>26</v>
      </c>
      <c r="D32" s="72" t="s">
        <v>118</v>
      </c>
      <c r="E32" s="73">
        <v>36678</v>
      </c>
      <c r="F32" s="73">
        <v>36707</v>
      </c>
      <c r="G32" s="109">
        <v>10001</v>
      </c>
      <c r="H32" s="109">
        <v>10001</v>
      </c>
      <c r="I32" s="72" t="s">
        <v>97</v>
      </c>
      <c r="J32" s="74">
        <v>1.8372999999999999</v>
      </c>
      <c r="K32" s="75"/>
      <c r="L32" s="75"/>
      <c r="M32" s="75"/>
      <c r="N32" s="75"/>
      <c r="O32" s="76"/>
      <c r="P32" s="75"/>
      <c r="Q32" s="77">
        <v>530669</v>
      </c>
      <c r="R32" s="72">
        <v>220</v>
      </c>
      <c r="S32" s="42" t="s">
        <v>501</v>
      </c>
      <c r="T32" s="78">
        <f>J32*1*R32</f>
        <v>404.20599999999996</v>
      </c>
      <c r="U32" s="78"/>
      <c r="V32" s="110">
        <v>276543</v>
      </c>
      <c r="W32" s="42"/>
      <c r="X32" s="79"/>
      <c r="Y32" s="79"/>
    </row>
    <row r="33" spans="2:25" x14ac:dyDescent="0.25">
      <c r="B33" s="10" t="s">
        <v>3</v>
      </c>
      <c r="C33" s="11" t="s">
        <v>3</v>
      </c>
      <c r="D33" s="12" t="s">
        <v>3</v>
      </c>
      <c r="E33" s="13" t="s">
        <v>3</v>
      </c>
      <c r="F33" s="13"/>
      <c r="G33" s="10" t="s">
        <v>3</v>
      </c>
      <c r="H33" s="30" t="s">
        <v>3</v>
      </c>
      <c r="I33" s="11" t="s">
        <v>3</v>
      </c>
      <c r="J33" s="14"/>
      <c r="K33" s="15"/>
      <c r="L33" s="15"/>
      <c r="M33" s="15"/>
      <c r="N33" s="15"/>
      <c r="O33" s="45"/>
      <c r="P33" s="15"/>
      <c r="Q33" s="26" t="s">
        <v>3</v>
      </c>
      <c r="R33" s="11">
        <f>SUM(R22:R30)</f>
        <v>32113</v>
      </c>
      <c r="S33" s="10" t="s">
        <v>3</v>
      </c>
      <c r="T33" s="22">
        <f>SUM(T22:T32)</f>
        <v>6655.3164000000006</v>
      </c>
      <c r="U33" s="22">
        <f>SUM(U22:U30)</f>
        <v>0</v>
      </c>
      <c r="V33" s="55"/>
      <c r="W33" s="10"/>
      <c r="X33" s="36"/>
      <c r="Y33" s="36"/>
    </row>
    <row r="34" spans="2:25" x14ac:dyDescent="0.25">
      <c r="B34" s="16" t="s">
        <v>4</v>
      </c>
      <c r="C34" s="17" t="s">
        <v>5</v>
      </c>
      <c r="D34" s="17" t="s">
        <v>6</v>
      </c>
      <c r="E34" s="18" t="s">
        <v>7</v>
      </c>
      <c r="F34" s="18"/>
      <c r="G34" s="16" t="s">
        <v>8</v>
      </c>
      <c r="H34" s="16" t="s">
        <v>9</v>
      </c>
      <c r="I34" s="17" t="s">
        <v>49</v>
      </c>
      <c r="J34" s="19" t="s">
        <v>10</v>
      </c>
      <c r="K34" s="17" t="s">
        <v>11</v>
      </c>
      <c r="L34" s="17" t="s">
        <v>12</v>
      </c>
      <c r="M34" s="17" t="s">
        <v>13</v>
      </c>
      <c r="N34" s="17" t="s">
        <v>14</v>
      </c>
      <c r="O34" s="44" t="s">
        <v>15</v>
      </c>
      <c r="P34" s="17" t="s">
        <v>16</v>
      </c>
      <c r="Q34" s="20" t="s">
        <v>181</v>
      </c>
      <c r="R34" s="17" t="s">
        <v>17</v>
      </c>
      <c r="S34" s="16" t="s">
        <v>18</v>
      </c>
      <c r="T34" s="21" t="s">
        <v>48</v>
      </c>
      <c r="U34" s="21" t="s">
        <v>47</v>
      </c>
      <c r="V34" s="54" t="s">
        <v>182</v>
      </c>
      <c r="W34" s="59" t="str">
        <f>+W21</f>
        <v>Questions</v>
      </c>
      <c r="X34" s="36"/>
      <c r="Y34" s="36"/>
    </row>
    <row r="35" spans="2:25" s="142" customFormat="1" x14ac:dyDescent="0.25">
      <c r="B35" s="132" t="s">
        <v>183</v>
      </c>
      <c r="C35" s="133" t="s">
        <v>44</v>
      </c>
      <c r="D35" s="133" t="s">
        <v>57</v>
      </c>
      <c r="E35" s="134">
        <v>36617</v>
      </c>
      <c r="F35" s="134">
        <v>36830</v>
      </c>
      <c r="G35" s="132" t="s">
        <v>58</v>
      </c>
      <c r="H35" s="132" t="s">
        <v>60</v>
      </c>
      <c r="I35" s="133" t="s">
        <v>59</v>
      </c>
      <c r="J35" s="135">
        <f>6.238/J1</f>
        <v>0.20122580645161292</v>
      </c>
      <c r="K35" s="136">
        <v>0</v>
      </c>
      <c r="L35" s="136">
        <v>0</v>
      </c>
      <c r="M35" s="136">
        <v>0</v>
      </c>
      <c r="N35" s="136">
        <v>0</v>
      </c>
      <c r="O35" s="137">
        <v>0</v>
      </c>
      <c r="P35" s="136">
        <f t="shared" ref="P35:P69" si="2">SUM(J35:N35)</f>
        <v>0.20122580645161292</v>
      </c>
      <c r="Q35" s="138">
        <v>51407</v>
      </c>
      <c r="R35" s="133">
        <v>73754</v>
      </c>
      <c r="S35" s="132" t="s">
        <v>438</v>
      </c>
      <c r="T35" s="139"/>
      <c r="U35" s="139"/>
      <c r="V35" s="140">
        <v>156569</v>
      </c>
      <c r="W35" s="132"/>
      <c r="X35" s="141"/>
      <c r="Y35" s="141"/>
    </row>
    <row r="36" spans="2:25" s="142" customFormat="1" x14ac:dyDescent="0.25">
      <c r="B36" s="132" t="s">
        <v>183</v>
      </c>
      <c r="C36" s="133" t="s">
        <v>44</v>
      </c>
      <c r="D36" s="133" t="s">
        <v>57</v>
      </c>
      <c r="E36" s="134">
        <v>36617</v>
      </c>
      <c r="F36" s="134">
        <v>36830</v>
      </c>
      <c r="G36" s="132" t="s">
        <v>58</v>
      </c>
      <c r="H36" s="132" t="s">
        <v>61</v>
      </c>
      <c r="I36" s="133" t="s">
        <v>59</v>
      </c>
      <c r="J36" s="135">
        <f>1.512/J1</f>
        <v>4.87741935483871E-2</v>
      </c>
      <c r="K36" s="136">
        <v>0</v>
      </c>
      <c r="L36" s="136">
        <v>0</v>
      </c>
      <c r="M36" s="136">
        <v>0</v>
      </c>
      <c r="N36" s="136">
        <v>0</v>
      </c>
      <c r="O36" s="137">
        <v>0</v>
      </c>
      <c r="P36" s="136">
        <f t="shared" si="2"/>
        <v>4.87741935483871E-2</v>
      </c>
      <c r="Q36" s="138">
        <v>51407</v>
      </c>
      <c r="R36" s="133">
        <v>73754</v>
      </c>
      <c r="S36" s="132" t="s">
        <v>438</v>
      </c>
      <c r="T36" s="139"/>
      <c r="U36" s="139"/>
      <c r="V36" s="140">
        <v>156569</v>
      </c>
      <c r="W36" s="132"/>
      <c r="X36" s="141"/>
      <c r="Y36" s="141"/>
    </row>
    <row r="37" spans="2:25" s="111" customFormat="1" x14ac:dyDescent="0.25">
      <c r="B37" s="112" t="s">
        <v>183</v>
      </c>
      <c r="C37" s="113" t="s">
        <v>44</v>
      </c>
      <c r="D37" s="113"/>
      <c r="E37" s="114">
        <v>36100</v>
      </c>
      <c r="F37" s="114">
        <v>36830</v>
      </c>
      <c r="G37" s="115" t="s">
        <v>101</v>
      </c>
      <c r="H37" s="112" t="s">
        <v>102</v>
      </c>
      <c r="I37" s="113" t="s">
        <v>53</v>
      </c>
      <c r="J37" s="116">
        <f t="shared" ref="J37:J42" si="3">4.56/J$1</f>
        <v>0.14709677419354839</v>
      </c>
      <c r="K37" s="117">
        <v>1.32E-2</v>
      </c>
      <c r="L37" s="117">
        <v>2.2000000000000001E-3</v>
      </c>
      <c r="M37" s="117">
        <v>7.1999999999999998E-3</v>
      </c>
      <c r="N37" s="117">
        <v>0</v>
      </c>
      <c r="O37" s="118">
        <v>2.1160000000000002E-2</v>
      </c>
      <c r="P37" s="117">
        <f t="shared" si="2"/>
        <v>0.16969677419354839</v>
      </c>
      <c r="Q37" s="122">
        <v>61822</v>
      </c>
      <c r="R37" s="113">
        <v>4000</v>
      </c>
      <c r="S37" s="112" t="s">
        <v>103</v>
      </c>
      <c r="T37" s="120">
        <f t="shared" ref="T37:T43" si="4">J37*J$1*R37</f>
        <v>18240</v>
      </c>
      <c r="U37" s="120"/>
      <c r="V37" s="121">
        <v>162284</v>
      </c>
      <c r="W37" s="112"/>
      <c r="X37" s="125"/>
      <c r="Y37" s="125"/>
    </row>
    <row r="38" spans="2:25" s="111" customFormat="1" x14ac:dyDescent="0.25">
      <c r="B38" s="112" t="s">
        <v>183</v>
      </c>
      <c r="C38" s="113" t="s">
        <v>44</v>
      </c>
      <c r="D38" s="113" t="s">
        <v>35</v>
      </c>
      <c r="E38" s="114">
        <v>36526</v>
      </c>
      <c r="F38" s="114">
        <v>36830</v>
      </c>
      <c r="G38" s="112" t="s">
        <v>104</v>
      </c>
      <c r="H38" s="112" t="s">
        <v>167</v>
      </c>
      <c r="I38" s="113" t="s">
        <v>53</v>
      </c>
      <c r="J38" s="116">
        <f t="shared" si="3"/>
        <v>0.14709677419354839</v>
      </c>
      <c r="K38" s="117">
        <v>1.32E-2</v>
      </c>
      <c r="L38" s="117">
        <v>2.2000000000000001E-3</v>
      </c>
      <c r="M38" s="117">
        <v>7.4999999999999997E-3</v>
      </c>
      <c r="N38" s="117">
        <v>0</v>
      </c>
      <c r="O38" s="118">
        <v>2.1160000000000002E-2</v>
      </c>
      <c r="P38" s="117">
        <f>SUM(J38:N38)</f>
        <v>0.16999677419354839</v>
      </c>
      <c r="Q38" s="122">
        <v>61825</v>
      </c>
      <c r="R38" s="113">
        <v>2000</v>
      </c>
      <c r="S38" s="115" t="s">
        <v>165</v>
      </c>
      <c r="T38" s="120">
        <f t="shared" si="4"/>
        <v>9120</v>
      </c>
      <c r="U38" s="120"/>
      <c r="V38" s="121">
        <v>156570</v>
      </c>
      <c r="W38" s="120"/>
      <c r="X38" s="125"/>
      <c r="Y38" s="125"/>
    </row>
    <row r="39" spans="2:25" s="111" customFormat="1" x14ac:dyDescent="0.25">
      <c r="B39" s="112" t="s">
        <v>183</v>
      </c>
      <c r="C39" s="113" t="s">
        <v>44</v>
      </c>
      <c r="D39" s="113" t="s">
        <v>35</v>
      </c>
      <c r="E39" s="114">
        <v>36526</v>
      </c>
      <c r="F39" s="114">
        <v>36830</v>
      </c>
      <c r="G39" s="112" t="s">
        <v>110</v>
      </c>
      <c r="H39" s="112" t="s">
        <v>167</v>
      </c>
      <c r="I39" s="113" t="s">
        <v>53</v>
      </c>
      <c r="J39" s="116">
        <f t="shared" si="3"/>
        <v>0.14709677419354839</v>
      </c>
      <c r="K39" s="117">
        <v>1.32E-2</v>
      </c>
      <c r="L39" s="117">
        <v>2.2000000000000001E-3</v>
      </c>
      <c r="M39" s="117">
        <v>7.4999999999999997E-3</v>
      </c>
      <c r="N39" s="117">
        <v>0</v>
      </c>
      <c r="O39" s="118">
        <v>2.1160000000000002E-2</v>
      </c>
      <c r="P39" s="117">
        <f>SUM(J39:N39)</f>
        <v>0.16999677419354839</v>
      </c>
      <c r="Q39" s="122">
        <v>61825</v>
      </c>
      <c r="R39" s="113">
        <v>5000</v>
      </c>
      <c r="S39" s="115" t="s">
        <v>165</v>
      </c>
      <c r="T39" s="120">
        <f t="shared" si="4"/>
        <v>22799.999999999996</v>
      </c>
      <c r="U39" s="120"/>
      <c r="V39" s="121">
        <v>156570</v>
      </c>
      <c r="W39" s="120"/>
      <c r="X39" s="125"/>
      <c r="Y39" s="125"/>
    </row>
    <row r="40" spans="2:25" s="111" customFormat="1" x14ac:dyDescent="0.25">
      <c r="B40" s="112" t="s">
        <v>183</v>
      </c>
      <c r="C40" s="113" t="s">
        <v>44</v>
      </c>
      <c r="D40" s="113" t="s">
        <v>35</v>
      </c>
      <c r="E40" s="114">
        <v>36526</v>
      </c>
      <c r="F40" s="114">
        <v>36830</v>
      </c>
      <c r="G40" s="112" t="s">
        <v>166</v>
      </c>
      <c r="H40" s="112" t="s">
        <v>167</v>
      </c>
      <c r="I40" s="113" t="s">
        <v>53</v>
      </c>
      <c r="J40" s="116">
        <f t="shared" si="3"/>
        <v>0.14709677419354839</v>
      </c>
      <c r="K40" s="117">
        <v>1.32E-2</v>
      </c>
      <c r="L40" s="117">
        <v>2.2000000000000001E-3</v>
      </c>
      <c r="M40" s="117">
        <v>7.4999999999999997E-3</v>
      </c>
      <c r="N40" s="117">
        <v>0</v>
      </c>
      <c r="O40" s="118">
        <v>2.1160000000000002E-2</v>
      </c>
      <c r="P40" s="117">
        <f>SUM(J40:N40)</f>
        <v>0.16999677419354839</v>
      </c>
      <c r="Q40" s="122">
        <v>61825</v>
      </c>
      <c r="R40" s="113">
        <v>1000</v>
      </c>
      <c r="S40" s="115" t="s">
        <v>165</v>
      </c>
      <c r="T40" s="120">
        <f t="shared" si="4"/>
        <v>4560</v>
      </c>
      <c r="U40" s="120"/>
      <c r="V40" s="121">
        <v>156570</v>
      </c>
      <c r="W40" s="120"/>
      <c r="X40" s="125"/>
      <c r="Y40" s="125"/>
    </row>
    <row r="41" spans="2:25" s="111" customFormat="1" x14ac:dyDescent="0.25">
      <c r="B41" s="112" t="s">
        <v>183</v>
      </c>
      <c r="C41" s="113" t="s">
        <v>44</v>
      </c>
      <c r="D41" s="113"/>
      <c r="E41" s="114">
        <v>36100</v>
      </c>
      <c r="F41" s="114">
        <v>36830</v>
      </c>
      <c r="G41" s="112" t="s">
        <v>104</v>
      </c>
      <c r="H41" s="115" t="s">
        <v>105</v>
      </c>
      <c r="I41" s="113" t="s">
        <v>53</v>
      </c>
      <c r="J41" s="116">
        <f t="shared" si="3"/>
        <v>0.14709677419354839</v>
      </c>
      <c r="K41" s="117">
        <v>1.32E-2</v>
      </c>
      <c r="L41" s="117">
        <v>2.2000000000000001E-3</v>
      </c>
      <c r="M41" s="117">
        <v>7.1999999999999998E-3</v>
      </c>
      <c r="N41" s="117">
        <v>0</v>
      </c>
      <c r="O41" s="118">
        <v>2.1160000000000002E-2</v>
      </c>
      <c r="P41" s="117">
        <f t="shared" si="2"/>
        <v>0.16969677419354839</v>
      </c>
      <c r="Q41" s="122">
        <v>61838</v>
      </c>
      <c r="R41" s="113">
        <v>1000</v>
      </c>
      <c r="S41" s="112" t="s">
        <v>106</v>
      </c>
      <c r="T41" s="120">
        <f t="shared" si="4"/>
        <v>4560</v>
      </c>
      <c r="U41" s="120"/>
      <c r="V41" s="121">
        <v>156571</v>
      </c>
      <c r="W41" s="112"/>
      <c r="X41" s="125"/>
      <c r="Y41" s="125"/>
    </row>
    <row r="42" spans="2:25" s="111" customFormat="1" x14ac:dyDescent="0.25">
      <c r="B42" s="112" t="s">
        <v>183</v>
      </c>
      <c r="C42" s="113" t="s">
        <v>44</v>
      </c>
      <c r="D42" s="113" t="s">
        <v>35</v>
      </c>
      <c r="E42" s="114">
        <v>36526</v>
      </c>
      <c r="F42" s="114">
        <v>36830</v>
      </c>
      <c r="G42" s="112" t="s">
        <v>104</v>
      </c>
      <c r="H42" s="112" t="s">
        <v>169</v>
      </c>
      <c r="I42" s="113" t="s">
        <v>53</v>
      </c>
      <c r="J42" s="116">
        <f t="shared" si="3"/>
        <v>0.14709677419354839</v>
      </c>
      <c r="K42" s="117">
        <v>1.32E-2</v>
      </c>
      <c r="L42" s="117">
        <v>2.2000000000000001E-3</v>
      </c>
      <c r="M42" s="117">
        <v>7.4999999999999997E-3</v>
      </c>
      <c r="N42" s="117">
        <v>0</v>
      </c>
      <c r="O42" s="118">
        <v>2.1160000000000002E-2</v>
      </c>
      <c r="P42" s="117">
        <f>SUM(J42:N42)</f>
        <v>0.16999677419354839</v>
      </c>
      <c r="Q42" s="122">
        <v>61990</v>
      </c>
      <c r="R42" s="113">
        <v>2000</v>
      </c>
      <c r="S42" s="115" t="s">
        <v>168</v>
      </c>
      <c r="T42" s="120">
        <f t="shared" si="4"/>
        <v>9120</v>
      </c>
      <c r="U42" s="120"/>
      <c r="V42" s="121">
        <v>156573</v>
      </c>
      <c r="W42" s="120"/>
      <c r="X42" s="125"/>
      <c r="Y42" s="125"/>
    </row>
    <row r="43" spans="2:25" s="111" customFormat="1" x14ac:dyDescent="0.25">
      <c r="B43" s="112" t="s">
        <v>183</v>
      </c>
      <c r="C43" s="113" t="s">
        <v>44</v>
      </c>
      <c r="D43" s="113" t="s">
        <v>35</v>
      </c>
      <c r="E43" s="114">
        <v>36465</v>
      </c>
      <c r="F43" s="114">
        <v>36891</v>
      </c>
      <c r="G43" s="112"/>
      <c r="H43" s="112"/>
      <c r="I43" s="113" t="s">
        <v>53</v>
      </c>
      <c r="J43" s="116">
        <f>3.0417/30.417</f>
        <v>9.9999999999999992E-2</v>
      </c>
      <c r="K43" s="117">
        <v>1.32E-2</v>
      </c>
      <c r="L43" s="117">
        <v>2.2000000000000001E-3</v>
      </c>
      <c r="M43" s="117">
        <v>7.4999999999999997E-3</v>
      </c>
      <c r="N43" s="117">
        <v>0</v>
      </c>
      <c r="O43" s="118">
        <v>2.1160000000000002E-2</v>
      </c>
      <c r="P43" s="117">
        <f>SUM(J43:N43)</f>
        <v>0.12289999999999998</v>
      </c>
      <c r="Q43" s="122">
        <v>62164</v>
      </c>
      <c r="R43" s="127">
        <v>2000</v>
      </c>
      <c r="S43" s="115" t="s">
        <v>298</v>
      </c>
      <c r="T43" s="120">
        <f t="shared" si="4"/>
        <v>6199.9999999999991</v>
      </c>
      <c r="U43" s="121"/>
      <c r="V43" s="125" t="s">
        <v>299</v>
      </c>
      <c r="W43" s="125"/>
    </row>
    <row r="44" spans="2:25" s="80" customFormat="1" x14ac:dyDescent="0.25">
      <c r="B44" s="42" t="s">
        <v>183</v>
      </c>
      <c r="C44" s="72" t="s">
        <v>44</v>
      </c>
      <c r="D44" s="72" t="s">
        <v>57</v>
      </c>
      <c r="E44" s="73">
        <v>36617</v>
      </c>
      <c r="F44" s="73">
        <v>36799</v>
      </c>
      <c r="G44" s="42" t="s">
        <v>58</v>
      </c>
      <c r="H44" s="42" t="s">
        <v>83</v>
      </c>
      <c r="I44" s="72" t="s">
        <v>82</v>
      </c>
      <c r="J44" s="74">
        <f>6.029/J$1</f>
        <v>0.19448387096774195</v>
      </c>
      <c r="K44" s="75">
        <v>1.2999999999999999E-2</v>
      </c>
      <c r="L44" s="75">
        <v>2.2000000000000001E-3</v>
      </c>
      <c r="M44" s="75">
        <v>7.1999999999999998E-3</v>
      </c>
      <c r="N44" s="75">
        <v>0</v>
      </c>
      <c r="O44" s="76">
        <v>2.1160000000000002E-2</v>
      </c>
      <c r="P44" s="75">
        <f t="shared" si="2"/>
        <v>0.21688387096774198</v>
      </c>
      <c r="Q44" s="77">
        <v>67693</v>
      </c>
      <c r="R44" s="72">
        <v>54327</v>
      </c>
      <c r="S44" s="42" t="s">
        <v>418</v>
      </c>
      <c r="T44" s="78">
        <f>J44*J$1*R44</f>
        <v>327537.48300000001</v>
      </c>
      <c r="U44" s="78"/>
      <c r="V44" s="110">
        <v>231378</v>
      </c>
      <c r="W44" s="42"/>
      <c r="X44" s="79"/>
      <c r="Y44" s="79"/>
    </row>
    <row r="45" spans="2:25" s="80" customFormat="1" x14ac:dyDescent="0.25">
      <c r="B45" s="42" t="s">
        <v>183</v>
      </c>
      <c r="C45" s="72" t="s">
        <v>44</v>
      </c>
      <c r="D45" s="72" t="s">
        <v>57</v>
      </c>
      <c r="E45" s="73">
        <v>36678</v>
      </c>
      <c r="F45" s="73">
        <v>36707</v>
      </c>
      <c r="G45" s="42" t="s">
        <v>58</v>
      </c>
      <c r="H45" s="42" t="s">
        <v>508</v>
      </c>
      <c r="I45" s="72" t="s">
        <v>82</v>
      </c>
      <c r="J45" s="74"/>
      <c r="K45" s="75">
        <v>1.2999999999999999E-2</v>
      </c>
      <c r="L45" s="75">
        <v>2.2000000000000001E-3</v>
      </c>
      <c r="M45" s="75">
        <v>7.1999999999999998E-3</v>
      </c>
      <c r="N45" s="75">
        <v>0</v>
      </c>
      <c r="O45" s="76">
        <v>2.1160000000000002E-2</v>
      </c>
      <c r="P45" s="75">
        <f>SUM(J45:N45)</f>
        <v>2.24E-2</v>
      </c>
      <c r="Q45" s="77">
        <v>67693</v>
      </c>
      <c r="R45" s="72">
        <v>-15000</v>
      </c>
      <c r="S45" s="42" t="s">
        <v>418</v>
      </c>
      <c r="T45" s="78">
        <f>J45*J$1*R45</f>
        <v>0</v>
      </c>
      <c r="U45" s="78"/>
      <c r="V45" s="110">
        <v>231378</v>
      </c>
      <c r="W45" s="42"/>
      <c r="X45" s="79"/>
      <c r="Y45" s="79"/>
    </row>
    <row r="46" spans="2:25" s="80" customFormat="1" x14ac:dyDescent="0.25">
      <c r="B46" s="42" t="s">
        <v>183</v>
      </c>
      <c r="C46" s="72" t="s">
        <v>44</v>
      </c>
      <c r="D46" s="72" t="s">
        <v>57</v>
      </c>
      <c r="E46" s="73">
        <v>36617</v>
      </c>
      <c r="F46" s="73">
        <v>36981</v>
      </c>
      <c r="G46" s="42" t="s">
        <v>58</v>
      </c>
      <c r="H46" s="42" t="s">
        <v>60</v>
      </c>
      <c r="I46" s="72" t="s">
        <v>59</v>
      </c>
      <c r="J46" s="74">
        <v>2.9100000000000001E-2</v>
      </c>
      <c r="K46" s="75">
        <v>0</v>
      </c>
      <c r="L46" s="75">
        <v>0</v>
      </c>
      <c r="M46" s="75">
        <v>0</v>
      </c>
      <c r="N46" s="75">
        <v>0</v>
      </c>
      <c r="O46" s="76">
        <v>0</v>
      </c>
      <c r="P46" s="75">
        <f t="shared" si="2"/>
        <v>2.9100000000000001E-2</v>
      </c>
      <c r="Q46" s="77">
        <v>67713</v>
      </c>
      <c r="R46" s="72">
        <v>6050607</v>
      </c>
      <c r="S46" s="42" t="s">
        <v>419</v>
      </c>
      <c r="T46" s="78">
        <f>J46*R46</f>
        <v>176072.6637</v>
      </c>
      <c r="U46" s="78"/>
      <c r="V46" s="110">
        <v>235876</v>
      </c>
      <c r="W46" s="42"/>
      <c r="X46" s="79"/>
      <c r="Y46" s="79"/>
    </row>
    <row r="47" spans="2:25" s="80" customFormat="1" x14ac:dyDescent="0.25">
      <c r="B47" s="42" t="s">
        <v>183</v>
      </c>
      <c r="C47" s="72" t="s">
        <v>44</v>
      </c>
      <c r="D47" s="72" t="s">
        <v>57</v>
      </c>
      <c r="E47" s="73">
        <v>36617</v>
      </c>
      <c r="F47" s="73">
        <v>36981</v>
      </c>
      <c r="G47" s="42" t="s">
        <v>58</v>
      </c>
      <c r="H47" s="42" t="s">
        <v>61</v>
      </c>
      <c r="I47" s="72" t="s">
        <v>59</v>
      </c>
      <c r="J47" s="74">
        <v>1.524</v>
      </c>
      <c r="K47" s="75">
        <v>0</v>
      </c>
      <c r="L47" s="75">
        <v>0</v>
      </c>
      <c r="M47" s="75">
        <v>0</v>
      </c>
      <c r="N47" s="75">
        <v>0</v>
      </c>
      <c r="O47" s="76">
        <v>0</v>
      </c>
      <c r="P47" s="75">
        <f t="shared" si="2"/>
        <v>1.524</v>
      </c>
      <c r="Q47" s="77">
        <v>67713</v>
      </c>
      <c r="R47" s="72">
        <v>108648</v>
      </c>
      <c r="S47" s="42" t="s">
        <v>419</v>
      </c>
      <c r="T47" s="78">
        <f>J47*R47</f>
        <v>165579.552</v>
      </c>
      <c r="U47" s="78"/>
      <c r="V47" s="110">
        <v>235876</v>
      </c>
      <c r="W47" s="42"/>
      <c r="X47" s="79"/>
      <c r="Y47" s="79"/>
    </row>
    <row r="48" spans="2:25" s="62" customFormat="1" x14ac:dyDescent="0.25">
      <c r="B48" s="1" t="s">
        <v>183</v>
      </c>
      <c r="C48" s="3" t="s">
        <v>44</v>
      </c>
      <c r="D48" s="3" t="s">
        <v>51</v>
      </c>
      <c r="E48" s="4">
        <v>36281</v>
      </c>
      <c r="F48" s="4">
        <v>36646</v>
      </c>
      <c r="G48" s="1" t="s">
        <v>52</v>
      </c>
      <c r="H48" s="1" t="s">
        <v>55</v>
      </c>
      <c r="I48" s="3" t="s">
        <v>53</v>
      </c>
      <c r="J48" s="8">
        <f>6.449/J$1</f>
        <v>0.20803225806451611</v>
      </c>
      <c r="K48" s="5">
        <v>1.32E-2</v>
      </c>
      <c r="L48" s="5">
        <v>2.2000000000000001E-3</v>
      </c>
      <c r="M48" s="5">
        <v>7.1999999999999998E-3</v>
      </c>
      <c r="N48" s="5">
        <v>0</v>
      </c>
      <c r="O48" s="43">
        <v>2.1160000000000002E-2</v>
      </c>
      <c r="P48" s="5">
        <f t="shared" si="2"/>
        <v>0.23063225806451612</v>
      </c>
      <c r="Q48" s="24">
        <v>63557</v>
      </c>
      <c r="R48" s="3">
        <v>33</v>
      </c>
      <c r="S48" s="1" t="s">
        <v>62</v>
      </c>
      <c r="T48" s="9">
        <f t="shared" ref="T48:T71" si="5">J48*J$1*R48</f>
        <v>212.81700000000001</v>
      </c>
      <c r="U48" s="9"/>
      <c r="V48" s="56">
        <v>156581</v>
      </c>
      <c r="W48" s="1"/>
      <c r="X48" s="36"/>
      <c r="Y48" s="36"/>
    </row>
    <row r="49" spans="2:25" s="111" customFormat="1" x14ac:dyDescent="0.25">
      <c r="B49" s="112" t="s">
        <v>183</v>
      </c>
      <c r="C49" s="113" t="s">
        <v>44</v>
      </c>
      <c r="D49" s="113" t="s">
        <v>51</v>
      </c>
      <c r="E49" s="114">
        <v>36678</v>
      </c>
      <c r="F49" s="114">
        <v>37042</v>
      </c>
      <c r="G49" s="112" t="s">
        <v>52</v>
      </c>
      <c r="H49" s="112" t="s">
        <v>55</v>
      </c>
      <c r="I49" s="113" t="s">
        <v>53</v>
      </c>
      <c r="J49" s="116">
        <f>6.401/J$1</f>
        <v>0.20648387096774193</v>
      </c>
      <c r="K49" s="117">
        <v>1.32E-2</v>
      </c>
      <c r="L49" s="117">
        <v>2.2000000000000001E-3</v>
      </c>
      <c r="M49" s="117">
        <v>7.1999999999999998E-3</v>
      </c>
      <c r="N49" s="117">
        <v>0</v>
      </c>
      <c r="O49" s="118">
        <v>2.1160000000000002E-2</v>
      </c>
      <c r="P49" s="117">
        <f t="shared" si="2"/>
        <v>0.22908387096774194</v>
      </c>
      <c r="Q49" s="122">
        <v>68359</v>
      </c>
      <c r="R49" s="113">
        <v>303</v>
      </c>
      <c r="S49" s="112" t="s">
        <v>505</v>
      </c>
      <c r="T49" s="120">
        <f t="shared" si="5"/>
        <v>1939.5029999999999</v>
      </c>
      <c r="U49" s="120"/>
      <c r="V49" s="121">
        <v>271307</v>
      </c>
      <c r="W49" s="112"/>
      <c r="X49" s="125"/>
      <c r="Y49" s="125"/>
    </row>
    <row r="50" spans="2:25" s="111" customFormat="1" x14ac:dyDescent="0.25">
      <c r="B50" s="112" t="s">
        <v>183</v>
      </c>
      <c r="C50" s="113" t="s">
        <v>44</v>
      </c>
      <c r="D50" s="113" t="s">
        <v>50</v>
      </c>
      <c r="E50" s="114">
        <v>36678</v>
      </c>
      <c r="F50" s="114">
        <v>37042</v>
      </c>
      <c r="G50" s="112" t="s">
        <v>52</v>
      </c>
      <c r="H50" s="112" t="s">
        <v>56</v>
      </c>
      <c r="I50" s="113" t="s">
        <v>53</v>
      </c>
      <c r="J50" s="116">
        <f>6.401/J$1</f>
        <v>0.20648387096774193</v>
      </c>
      <c r="K50" s="117">
        <v>1.32E-2</v>
      </c>
      <c r="L50" s="117">
        <v>2.2000000000000001E-3</v>
      </c>
      <c r="M50" s="117">
        <v>7.1999999999999998E-3</v>
      </c>
      <c r="N50" s="117">
        <v>0</v>
      </c>
      <c r="O50" s="118">
        <v>2.1160000000000002E-2</v>
      </c>
      <c r="P50" s="117">
        <f t="shared" si="2"/>
        <v>0.22908387096774194</v>
      </c>
      <c r="Q50" s="122">
        <v>68384</v>
      </c>
      <c r="R50" s="113">
        <v>218</v>
      </c>
      <c r="S50" s="112" t="s">
        <v>504</v>
      </c>
      <c r="T50" s="120">
        <f t="shared" si="5"/>
        <v>1395.4179999999999</v>
      </c>
      <c r="U50" s="120"/>
      <c r="V50" s="121">
        <v>280570</v>
      </c>
      <c r="W50" s="112"/>
      <c r="X50" s="125"/>
      <c r="Y50" s="125"/>
    </row>
    <row r="51" spans="2:25" s="111" customFormat="1" x14ac:dyDescent="0.25">
      <c r="B51" s="112" t="s">
        <v>183</v>
      </c>
      <c r="C51" s="113" t="s">
        <v>44</v>
      </c>
      <c r="D51" s="113" t="s">
        <v>51</v>
      </c>
      <c r="E51" s="114">
        <v>36342</v>
      </c>
      <c r="F51" s="114">
        <v>36707</v>
      </c>
      <c r="G51" s="112" t="s">
        <v>52</v>
      </c>
      <c r="H51" s="112" t="s">
        <v>55</v>
      </c>
      <c r="I51" s="113" t="s">
        <v>53</v>
      </c>
      <c r="J51" s="116">
        <f t="shared" ref="J51:J56" si="6">6.449/J$1</f>
        <v>0.20803225806451611</v>
      </c>
      <c r="K51" s="117">
        <v>1.32E-2</v>
      </c>
      <c r="L51" s="117">
        <v>2.2000000000000001E-3</v>
      </c>
      <c r="M51" s="117">
        <v>7.1999999999999998E-3</v>
      </c>
      <c r="N51" s="117">
        <v>0</v>
      </c>
      <c r="O51" s="118">
        <v>2.1160000000000002E-2</v>
      </c>
      <c r="P51" s="117">
        <f t="shared" si="2"/>
        <v>0.23063225806451612</v>
      </c>
      <c r="Q51" s="122">
        <v>64034</v>
      </c>
      <c r="R51" s="113">
        <v>911</v>
      </c>
      <c r="S51" s="112" t="s">
        <v>65</v>
      </c>
      <c r="T51" s="120">
        <f t="shared" si="5"/>
        <v>5875.0389999999998</v>
      </c>
      <c r="U51" s="120"/>
      <c r="V51" s="121">
        <v>156585</v>
      </c>
      <c r="W51" s="112"/>
      <c r="X51" s="125"/>
      <c r="Y51" s="125"/>
    </row>
    <row r="52" spans="2:25" s="111" customFormat="1" x14ac:dyDescent="0.25">
      <c r="B52" s="112" t="s">
        <v>183</v>
      </c>
      <c r="C52" s="113" t="s">
        <v>44</v>
      </c>
      <c r="D52" s="113" t="s">
        <v>50</v>
      </c>
      <c r="E52" s="114">
        <v>36342</v>
      </c>
      <c r="F52" s="114">
        <v>36707</v>
      </c>
      <c r="G52" s="112" t="s">
        <v>52</v>
      </c>
      <c r="H52" s="112" t="s">
        <v>54</v>
      </c>
      <c r="I52" s="113" t="s">
        <v>53</v>
      </c>
      <c r="J52" s="116">
        <f t="shared" si="6"/>
        <v>0.20803225806451611</v>
      </c>
      <c r="K52" s="117">
        <v>1.32E-2</v>
      </c>
      <c r="L52" s="117">
        <v>2.2000000000000001E-3</v>
      </c>
      <c r="M52" s="117">
        <v>7.1999999999999998E-3</v>
      </c>
      <c r="N52" s="117">
        <v>0</v>
      </c>
      <c r="O52" s="118">
        <v>2.1160000000000002E-2</v>
      </c>
      <c r="P52" s="117">
        <f t="shared" si="2"/>
        <v>0.23063225806451612</v>
      </c>
      <c r="Q52" s="122">
        <v>64036</v>
      </c>
      <c r="R52" s="113">
        <v>1</v>
      </c>
      <c r="S52" s="112" t="s">
        <v>66</v>
      </c>
      <c r="T52" s="120">
        <f t="shared" si="5"/>
        <v>6.4489999999999998</v>
      </c>
      <c r="U52" s="120"/>
      <c r="V52" s="121">
        <v>156586</v>
      </c>
      <c r="W52" s="112"/>
      <c r="X52" s="125"/>
      <c r="Y52" s="125"/>
    </row>
    <row r="53" spans="2:25" s="111" customFormat="1" x14ac:dyDescent="0.25">
      <c r="B53" s="112" t="s">
        <v>183</v>
      </c>
      <c r="C53" s="113" t="s">
        <v>44</v>
      </c>
      <c r="D53" s="113" t="s">
        <v>51</v>
      </c>
      <c r="E53" s="114">
        <v>36373</v>
      </c>
      <c r="F53" s="114">
        <v>36738</v>
      </c>
      <c r="G53" s="112" t="s">
        <v>52</v>
      </c>
      <c r="H53" s="112" t="s">
        <v>55</v>
      </c>
      <c r="I53" s="113" t="s">
        <v>53</v>
      </c>
      <c r="J53" s="116">
        <f t="shared" si="6"/>
        <v>0.20803225806451611</v>
      </c>
      <c r="K53" s="117">
        <v>1.32E-2</v>
      </c>
      <c r="L53" s="117">
        <v>2.2000000000000001E-3</v>
      </c>
      <c r="M53" s="117">
        <v>7.1999999999999998E-3</v>
      </c>
      <c r="N53" s="117">
        <v>0</v>
      </c>
      <c r="O53" s="118">
        <v>2.1160000000000002E-2</v>
      </c>
      <c r="P53" s="117">
        <f t="shared" si="2"/>
        <v>0.23063225806451612</v>
      </c>
      <c r="Q53" s="122">
        <v>64328</v>
      </c>
      <c r="R53" s="113">
        <v>51</v>
      </c>
      <c r="S53" s="112" t="s">
        <v>67</v>
      </c>
      <c r="T53" s="120">
        <f t="shared" si="5"/>
        <v>328.899</v>
      </c>
      <c r="U53" s="120"/>
      <c r="V53" s="121">
        <v>156588</v>
      </c>
      <c r="W53" s="112"/>
      <c r="X53" s="125"/>
      <c r="Y53" s="125"/>
    </row>
    <row r="54" spans="2:25" s="111" customFormat="1" x14ac:dyDescent="0.25">
      <c r="B54" s="112" t="s">
        <v>183</v>
      </c>
      <c r="C54" s="113" t="s">
        <v>44</v>
      </c>
      <c r="D54" s="113" t="s">
        <v>50</v>
      </c>
      <c r="E54" s="114">
        <v>36373</v>
      </c>
      <c r="F54" s="114">
        <v>36738</v>
      </c>
      <c r="G54" s="112" t="s">
        <v>52</v>
      </c>
      <c r="H54" s="112" t="s">
        <v>56</v>
      </c>
      <c r="I54" s="113" t="s">
        <v>53</v>
      </c>
      <c r="J54" s="116">
        <f t="shared" si="6"/>
        <v>0.20803225806451611</v>
      </c>
      <c r="K54" s="117">
        <v>1.32E-2</v>
      </c>
      <c r="L54" s="117">
        <v>2.2000000000000001E-3</v>
      </c>
      <c r="M54" s="117">
        <v>7.1999999999999998E-3</v>
      </c>
      <c r="N54" s="117">
        <v>0</v>
      </c>
      <c r="O54" s="118">
        <v>2.1160000000000002E-2</v>
      </c>
      <c r="P54" s="117">
        <f t="shared" si="2"/>
        <v>0.23063225806451612</v>
      </c>
      <c r="Q54" s="122">
        <v>64329</v>
      </c>
      <c r="R54" s="113">
        <v>12</v>
      </c>
      <c r="S54" s="112" t="s">
        <v>68</v>
      </c>
      <c r="T54" s="120">
        <f t="shared" si="5"/>
        <v>77.388000000000005</v>
      </c>
      <c r="U54" s="120"/>
      <c r="V54" s="121">
        <v>156590</v>
      </c>
      <c r="W54" s="112"/>
      <c r="X54" s="125"/>
      <c r="Y54" s="125"/>
    </row>
    <row r="55" spans="2:25" s="62" customFormat="1" x14ac:dyDescent="0.25">
      <c r="B55" s="1" t="s">
        <v>183</v>
      </c>
      <c r="C55" s="3" t="s">
        <v>44</v>
      </c>
      <c r="D55" s="3" t="s">
        <v>50</v>
      </c>
      <c r="E55" s="4">
        <v>36404</v>
      </c>
      <c r="F55" s="4">
        <v>36769</v>
      </c>
      <c r="G55" s="1" t="s">
        <v>52</v>
      </c>
      <c r="H55" s="1" t="s">
        <v>56</v>
      </c>
      <c r="I55" s="3" t="s">
        <v>53</v>
      </c>
      <c r="J55" s="8">
        <f t="shared" si="6"/>
        <v>0.20803225806451611</v>
      </c>
      <c r="K55" s="5">
        <v>1.32E-2</v>
      </c>
      <c r="L55" s="5">
        <v>2.2000000000000001E-3</v>
      </c>
      <c r="M55" s="5">
        <v>7.1999999999999998E-3</v>
      </c>
      <c r="N55" s="5">
        <v>0</v>
      </c>
      <c r="O55" s="43">
        <v>2.1160000000000002E-2</v>
      </c>
      <c r="P55" s="5">
        <f t="shared" si="2"/>
        <v>0.23063225806451612</v>
      </c>
      <c r="Q55" s="24">
        <v>64651</v>
      </c>
      <c r="R55" s="3">
        <v>64</v>
      </c>
      <c r="S55" s="1" t="s">
        <v>69</v>
      </c>
      <c r="T55" s="9">
        <f t="shared" si="5"/>
        <v>412.73599999999999</v>
      </c>
      <c r="U55" s="9"/>
      <c r="V55" s="56">
        <v>156591</v>
      </c>
      <c r="W55" s="1"/>
      <c r="X55" s="36"/>
      <c r="Y55" s="36"/>
    </row>
    <row r="56" spans="2:25" s="62" customFormat="1" x14ac:dyDescent="0.25">
      <c r="B56" s="1" t="s">
        <v>183</v>
      </c>
      <c r="C56" s="3" t="s">
        <v>44</v>
      </c>
      <c r="D56" s="3" t="s">
        <v>50</v>
      </c>
      <c r="E56" s="4">
        <v>36434</v>
      </c>
      <c r="F56" s="4">
        <v>36799</v>
      </c>
      <c r="G56" s="1" t="s">
        <v>52</v>
      </c>
      <c r="H56" s="1" t="s">
        <v>54</v>
      </c>
      <c r="I56" s="3" t="s">
        <v>53</v>
      </c>
      <c r="J56" s="8">
        <f t="shared" si="6"/>
        <v>0.20803225806451611</v>
      </c>
      <c r="K56" s="5">
        <v>1.32E-2</v>
      </c>
      <c r="L56" s="5">
        <v>2.2000000000000001E-3</v>
      </c>
      <c r="M56" s="5">
        <v>7.1999999999999998E-3</v>
      </c>
      <c r="N56" s="5">
        <v>0</v>
      </c>
      <c r="O56" s="43">
        <v>2.1160000000000002E-2</v>
      </c>
      <c r="P56" s="5">
        <f t="shared" si="2"/>
        <v>0.23063225806451612</v>
      </c>
      <c r="Q56" s="24">
        <v>64862</v>
      </c>
      <c r="R56" s="3">
        <v>13</v>
      </c>
      <c r="S56" s="1" t="s">
        <v>70</v>
      </c>
      <c r="T56" s="9">
        <f t="shared" si="5"/>
        <v>83.837000000000003</v>
      </c>
      <c r="U56" s="9"/>
      <c r="V56" s="56">
        <v>156592</v>
      </c>
      <c r="W56" s="1"/>
      <c r="X56" s="36"/>
      <c r="Y56" s="36"/>
    </row>
    <row r="57" spans="2:25" s="62" customFormat="1" x14ac:dyDescent="0.25">
      <c r="B57" s="1" t="s">
        <v>183</v>
      </c>
      <c r="C57" s="3" t="s">
        <v>44</v>
      </c>
      <c r="D57" s="3" t="s">
        <v>57</v>
      </c>
      <c r="E57" s="4">
        <v>36434</v>
      </c>
      <c r="F57" s="4">
        <v>36799</v>
      </c>
      <c r="G57" s="1" t="s">
        <v>52</v>
      </c>
      <c r="H57" s="1" t="s">
        <v>71</v>
      </c>
      <c r="I57" s="3" t="s">
        <v>53</v>
      </c>
      <c r="J57" s="8">
        <f>6.372/J$1</f>
        <v>0.2055483870967742</v>
      </c>
      <c r="K57" s="5">
        <v>1.32E-2</v>
      </c>
      <c r="L57" s="5">
        <v>2.2000000000000001E-3</v>
      </c>
      <c r="M57" s="5">
        <v>7.1999999999999998E-3</v>
      </c>
      <c r="N57" s="5">
        <v>0</v>
      </c>
      <c r="O57" s="43">
        <v>2.1160000000000002E-2</v>
      </c>
      <c r="P57" s="5">
        <f t="shared" si="2"/>
        <v>0.22814838709677421</v>
      </c>
      <c r="Q57" s="24">
        <v>64939</v>
      </c>
      <c r="R57" s="3">
        <v>2300</v>
      </c>
      <c r="S57" s="1" t="s">
        <v>72</v>
      </c>
      <c r="T57" s="9">
        <f t="shared" si="5"/>
        <v>14655.6</v>
      </c>
      <c r="U57" s="9"/>
      <c r="V57" s="56">
        <v>156593</v>
      </c>
      <c r="W57" s="1"/>
      <c r="X57" s="36"/>
      <c r="Y57" s="36"/>
    </row>
    <row r="58" spans="2:25" s="62" customFormat="1" x14ac:dyDescent="0.25">
      <c r="B58" s="1" t="s">
        <v>183</v>
      </c>
      <c r="C58" s="3" t="s">
        <v>44</v>
      </c>
      <c r="D58" s="3" t="s">
        <v>50</v>
      </c>
      <c r="E58" s="4">
        <v>36465</v>
      </c>
      <c r="F58" s="4">
        <v>36830</v>
      </c>
      <c r="G58" s="1" t="s">
        <v>52</v>
      </c>
      <c r="H58" s="1" t="s">
        <v>56</v>
      </c>
      <c r="I58" s="3" t="s">
        <v>53</v>
      </c>
      <c r="J58" s="8">
        <f>6.449/J$1</f>
        <v>0.20803225806451611</v>
      </c>
      <c r="K58" s="5">
        <v>1.32E-2</v>
      </c>
      <c r="L58" s="5">
        <v>2.2000000000000001E-3</v>
      </c>
      <c r="M58" s="5">
        <v>7.1999999999999998E-3</v>
      </c>
      <c r="N58" s="5">
        <v>0</v>
      </c>
      <c r="O58" s="43">
        <v>2.1160000000000002E-2</v>
      </c>
      <c r="P58" s="5">
        <f t="shared" si="2"/>
        <v>0.23063225806451612</v>
      </c>
      <c r="Q58" s="24">
        <v>65026</v>
      </c>
      <c r="R58" s="3">
        <v>128</v>
      </c>
      <c r="S58" s="1" t="s">
        <v>73</v>
      </c>
      <c r="T58" s="9">
        <f t="shared" si="5"/>
        <v>825.47199999999998</v>
      </c>
      <c r="U58" s="9"/>
      <c r="V58" s="56">
        <v>162286</v>
      </c>
      <c r="W58" s="1"/>
      <c r="X58" s="36"/>
      <c r="Y58" s="36"/>
    </row>
    <row r="59" spans="2:25" s="62" customFormat="1" x14ac:dyDescent="0.25">
      <c r="B59" s="1" t="s">
        <v>183</v>
      </c>
      <c r="C59" s="3" t="s">
        <v>44</v>
      </c>
      <c r="D59" s="3" t="s">
        <v>74</v>
      </c>
      <c r="E59" s="4">
        <v>36465</v>
      </c>
      <c r="F59" s="4">
        <v>36830</v>
      </c>
      <c r="G59" s="1" t="s">
        <v>52</v>
      </c>
      <c r="H59" s="1" t="s">
        <v>75</v>
      </c>
      <c r="I59" s="3" t="s">
        <v>53</v>
      </c>
      <c r="J59" s="8">
        <f>6.449/J$1</f>
        <v>0.20803225806451611</v>
      </c>
      <c r="K59" s="5">
        <v>1.32E-2</v>
      </c>
      <c r="L59" s="5">
        <v>2.2000000000000001E-3</v>
      </c>
      <c r="M59" s="5">
        <v>7.1999999999999998E-3</v>
      </c>
      <c r="N59" s="5">
        <v>0</v>
      </c>
      <c r="O59" s="43">
        <v>2.1160000000000002E-2</v>
      </c>
      <c r="P59" s="5">
        <f t="shared" si="2"/>
        <v>0.23063225806451612</v>
      </c>
      <c r="Q59" s="24">
        <v>65041</v>
      </c>
      <c r="R59" s="3">
        <v>9619</v>
      </c>
      <c r="S59" s="1" t="s">
        <v>76</v>
      </c>
      <c r="T59" s="9">
        <f t="shared" si="5"/>
        <v>62032.930999999997</v>
      </c>
      <c r="U59" s="9"/>
      <c r="V59" s="56">
        <v>162285</v>
      </c>
      <c r="W59" s="1"/>
      <c r="X59" s="36"/>
      <c r="Y59" s="36"/>
    </row>
    <row r="60" spans="2:25" s="62" customFormat="1" x14ac:dyDescent="0.25">
      <c r="B60" s="1" t="s">
        <v>183</v>
      </c>
      <c r="C60" s="3" t="s">
        <v>44</v>
      </c>
      <c r="D60" s="3" t="s">
        <v>74</v>
      </c>
      <c r="E60" s="4">
        <v>36465</v>
      </c>
      <c r="F60" s="4">
        <v>36830</v>
      </c>
      <c r="G60" s="1" t="s">
        <v>52</v>
      </c>
      <c r="H60" s="1" t="s">
        <v>78</v>
      </c>
      <c r="I60" s="3" t="s">
        <v>53</v>
      </c>
      <c r="J60" s="8">
        <f>6.449/J$1</f>
        <v>0.20803225806451611</v>
      </c>
      <c r="K60" s="5">
        <v>1.32E-2</v>
      </c>
      <c r="L60" s="5">
        <v>2.2000000000000001E-3</v>
      </c>
      <c r="M60" s="5">
        <v>7.1999999999999998E-3</v>
      </c>
      <c r="N60" s="5">
        <v>0</v>
      </c>
      <c r="O60" s="43">
        <v>2.1160000000000002E-2</v>
      </c>
      <c r="P60" s="5">
        <f t="shared" si="2"/>
        <v>0.23063225806451612</v>
      </c>
      <c r="Q60" s="24">
        <v>65042</v>
      </c>
      <c r="R60" s="3">
        <v>4427</v>
      </c>
      <c r="S60" s="1" t="s">
        <v>77</v>
      </c>
      <c r="T60" s="9">
        <f t="shared" si="5"/>
        <v>28549.722999999998</v>
      </c>
      <c r="U60" s="9"/>
      <c r="V60" s="56">
        <v>162287</v>
      </c>
      <c r="W60" s="1"/>
      <c r="X60" s="36"/>
      <c r="Y60" s="36"/>
    </row>
    <row r="61" spans="2:25" s="62" customFormat="1" x14ac:dyDescent="0.25">
      <c r="B61" s="1" t="s">
        <v>183</v>
      </c>
      <c r="C61" s="3" t="s">
        <v>44</v>
      </c>
      <c r="D61" s="3" t="s">
        <v>79</v>
      </c>
      <c r="E61" s="4">
        <v>36465</v>
      </c>
      <c r="F61" s="4">
        <v>37011</v>
      </c>
      <c r="G61" s="1" t="s">
        <v>52</v>
      </c>
      <c r="H61" s="1" t="s">
        <v>80</v>
      </c>
      <c r="I61" s="3" t="s">
        <v>53</v>
      </c>
      <c r="J61" s="8">
        <f>6.449/J$1</f>
        <v>0.20803225806451611</v>
      </c>
      <c r="K61" s="5">
        <v>1.32E-2</v>
      </c>
      <c r="L61" s="5">
        <v>2.2000000000000001E-3</v>
      </c>
      <c r="M61" s="5">
        <v>7.1999999999999998E-3</v>
      </c>
      <c r="N61" s="5">
        <v>0</v>
      </c>
      <c r="O61" s="43">
        <v>2.1160000000000002E-2</v>
      </c>
      <c r="P61" s="5">
        <f t="shared" si="2"/>
        <v>0.23063225806451612</v>
      </c>
      <c r="Q61" s="24">
        <v>65108</v>
      </c>
      <c r="R61" s="3">
        <v>5000</v>
      </c>
      <c r="S61" s="1" t="s">
        <v>268</v>
      </c>
      <c r="T61" s="9">
        <f t="shared" si="5"/>
        <v>32245</v>
      </c>
      <c r="U61" s="9"/>
      <c r="V61" s="56">
        <v>163001</v>
      </c>
      <c r="W61" s="1"/>
      <c r="X61" s="36"/>
      <c r="Y61" s="36"/>
    </row>
    <row r="62" spans="2:25" s="111" customFormat="1" x14ac:dyDescent="0.25">
      <c r="B62" s="112" t="s">
        <v>183</v>
      </c>
      <c r="C62" s="113" t="s">
        <v>44</v>
      </c>
      <c r="D62" s="113" t="s">
        <v>180</v>
      </c>
      <c r="E62" s="114">
        <v>36465</v>
      </c>
      <c r="F62" s="114">
        <v>36830</v>
      </c>
      <c r="G62" s="112" t="s">
        <v>104</v>
      </c>
      <c r="H62" s="115" t="s">
        <v>265</v>
      </c>
      <c r="I62" s="113" t="s">
        <v>53</v>
      </c>
      <c r="J62" s="116">
        <f>3.65/J$1</f>
        <v>0.11774193548387096</v>
      </c>
      <c r="K62" s="117">
        <v>1.32E-2</v>
      </c>
      <c r="L62" s="117">
        <v>2.2000000000000001E-3</v>
      </c>
      <c r="M62" s="117">
        <v>7.4999999999999997E-3</v>
      </c>
      <c r="N62" s="117">
        <v>0</v>
      </c>
      <c r="O62" s="118">
        <v>2.1160000000000002E-2</v>
      </c>
      <c r="P62" s="117">
        <f>SUM(J62:N62)</f>
        <v>0.14064193548387097</v>
      </c>
      <c r="Q62" s="122">
        <v>65402</v>
      </c>
      <c r="R62" s="113">
        <v>20000</v>
      </c>
      <c r="S62" s="115" t="s">
        <v>266</v>
      </c>
      <c r="T62" s="120">
        <f t="shared" si="5"/>
        <v>73000</v>
      </c>
      <c r="U62" s="120"/>
      <c r="V62" s="121">
        <v>156596</v>
      </c>
      <c r="W62" s="112"/>
      <c r="X62" s="125"/>
      <c r="Y62" s="125"/>
    </row>
    <row r="63" spans="2:25" s="111" customFormat="1" x14ac:dyDescent="0.25">
      <c r="B63" s="112" t="s">
        <v>183</v>
      </c>
      <c r="C63" s="113" t="s">
        <v>44</v>
      </c>
      <c r="D63" s="113" t="s">
        <v>180</v>
      </c>
      <c r="E63" s="114">
        <v>36678</v>
      </c>
      <c r="F63" s="114">
        <v>36830</v>
      </c>
      <c r="G63" s="112" t="s">
        <v>104</v>
      </c>
      <c r="H63" s="115" t="s">
        <v>265</v>
      </c>
      <c r="I63" s="113" t="s">
        <v>53</v>
      </c>
      <c r="J63" s="116">
        <v>-0.03</v>
      </c>
      <c r="K63" s="117">
        <v>1.32E-2</v>
      </c>
      <c r="L63" s="117">
        <v>2.2000000000000001E-3</v>
      </c>
      <c r="M63" s="117">
        <v>7.4999999999999997E-3</v>
      </c>
      <c r="N63" s="117">
        <v>0</v>
      </c>
      <c r="O63" s="118">
        <v>2.1160000000000002E-2</v>
      </c>
      <c r="P63" s="117">
        <f>SUM(J63:N63)</f>
        <v>-7.0999999999999987E-3</v>
      </c>
      <c r="Q63" s="122">
        <v>65402</v>
      </c>
      <c r="R63" s="113">
        <v>20000</v>
      </c>
      <c r="S63" s="112" t="s">
        <v>506</v>
      </c>
      <c r="T63" s="120">
        <f>J63*J$1*R63</f>
        <v>-18600</v>
      </c>
      <c r="U63" s="120"/>
      <c r="V63" s="121">
        <v>280583</v>
      </c>
      <c r="W63" s="112" t="s">
        <v>507</v>
      </c>
      <c r="X63" s="125"/>
      <c r="Y63" s="125"/>
    </row>
    <row r="64" spans="2:25" s="80" customFormat="1" x14ac:dyDescent="0.25">
      <c r="B64" s="42" t="s">
        <v>183</v>
      </c>
      <c r="C64" s="72" t="s">
        <v>44</v>
      </c>
      <c r="D64" s="72" t="s">
        <v>180</v>
      </c>
      <c r="E64" s="73">
        <v>36465</v>
      </c>
      <c r="F64" s="73">
        <v>37011</v>
      </c>
      <c r="G64" s="126" t="s">
        <v>52</v>
      </c>
      <c r="H64" s="126" t="s">
        <v>465</v>
      </c>
      <c r="I64" s="72" t="s">
        <v>53</v>
      </c>
      <c r="J64" s="74">
        <f>4.8621/+J$1</f>
        <v>0.15684193548387096</v>
      </c>
      <c r="K64" s="75"/>
      <c r="L64" s="75"/>
      <c r="M64" s="75"/>
      <c r="N64" s="75"/>
      <c r="O64" s="76"/>
      <c r="P64" s="75"/>
      <c r="Q64" s="77">
        <v>65403</v>
      </c>
      <c r="R64" s="72">
        <v>19293</v>
      </c>
      <c r="S64" s="126" t="s">
        <v>267</v>
      </c>
      <c r="T64" s="78">
        <f t="shared" si="5"/>
        <v>93804.495299999995</v>
      </c>
      <c r="U64" s="78"/>
      <c r="V64" s="110" t="s">
        <v>297</v>
      </c>
      <c r="W64" s="42"/>
      <c r="X64" s="79"/>
      <c r="Y64" s="79"/>
    </row>
    <row r="65" spans="2:25" s="80" customFormat="1" x14ac:dyDescent="0.25">
      <c r="B65" s="42" t="s">
        <v>183</v>
      </c>
      <c r="C65" s="72" t="s">
        <v>44</v>
      </c>
      <c r="D65" s="72" t="s">
        <v>180</v>
      </c>
      <c r="E65" s="73">
        <v>36312</v>
      </c>
      <c r="F65" s="73">
        <v>37011</v>
      </c>
      <c r="G65" s="126" t="s">
        <v>52</v>
      </c>
      <c r="H65" s="126" t="s">
        <v>465</v>
      </c>
      <c r="I65" s="72" t="s">
        <v>53</v>
      </c>
      <c r="J65" s="74">
        <v>0.18</v>
      </c>
      <c r="K65" s="75"/>
      <c r="L65" s="75"/>
      <c r="M65" s="75"/>
      <c r="N65" s="75"/>
      <c r="O65" s="76"/>
      <c r="P65" s="75"/>
      <c r="Q65" s="77">
        <v>65403</v>
      </c>
      <c r="R65" s="72">
        <v>-19293</v>
      </c>
      <c r="S65" s="42" t="s">
        <v>491</v>
      </c>
      <c r="T65" s="78">
        <f>J65*J$1*R65</f>
        <v>-107654.94</v>
      </c>
      <c r="U65" s="78"/>
      <c r="V65" s="110"/>
      <c r="W65" s="42"/>
      <c r="X65" s="79"/>
      <c r="Y65" s="79"/>
    </row>
    <row r="66" spans="2:25" s="62" customFormat="1" x14ac:dyDescent="0.25">
      <c r="B66" s="1" t="s">
        <v>183</v>
      </c>
      <c r="C66" s="3" t="s">
        <v>44</v>
      </c>
      <c r="D66" s="3" t="s">
        <v>86</v>
      </c>
      <c r="E66" s="4">
        <v>36557</v>
      </c>
      <c r="F66" s="4">
        <v>36677</v>
      </c>
      <c r="G66" s="1" t="s">
        <v>107</v>
      </c>
      <c r="H66" s="1" t="s">
        <v>108</v>
      </c>
      <c r="I66" s="3" t="s">
        <v>53</v>
      </c>
      <c r="J66" s="8">
        <f>6.423/J$1</f>
        <v>0.20719354838709678</v>
      </c>
      <c r="K66" s="5">
        <v>1.32E-2</v>
      </c>
      <c r="L66" s="5">
        <v>2.2000000000000001E-3</v>
      </c>
      <c r="M66" s="5">
        <v>7.1999999999999998E-3</v>
      </c>
      <c r="N66" s="5">
        <v>0</v>
      </c>
      <c r="O66" s="43">
        <v>2.1160000000000002E-2</v>
      </c>
      <c r="P66" s="5">
        <f t="shared" si="2"/>
        <v>0.22979354838709679</v>
      </c>
      <c r="Q66" s="24">
        <v>65404</v>
      </c>
      <c r="R66" s="3">
        <v>34</v>
      </c>
      <c r="S66" s="1" t="s">
        <v>109</v>
      </c>
      <c r="T66" s="9">
        <f t="shared" si="5"/>
        <v>218.38200000000001</v>
      </c>
      <c r="U66" s="9"/>
      <c r="V66" s="56">
        <v>156597</v>
      </c>
      <c r="W66" s="1"/>
      <c r="X66" s="36"/>
      <c r="Y66" s="36"/>
    </row>
    <row r="67" spans="2:25" s="62" customFormat="1" x14ac:dyDescent="0.25">
      <c r="B67" s="1" t="s">
        <v>183</v>
      </c>
      <c r="C67" s="3" t="s">
        <v>44</v>
      </c>
      <c r="D67" s="3"/>
      <c r="E67" s="4">
        <v>36557</v>
      </c>
      <c r="F67" s="4">
        <v>36830</v>
      </c>
      <c r="G67" s="1" t="s">
        <v>110</v>
      </c>
      <c r="H67" s="1" t="s">
        <v>102</v>
      </c>
      <c r="I67" s="3" t="s">
        <v>53</v>
      </c>
      <c r="J67" s="8">
        <f>4.563/J$1</f>
        <v>0.14719354838709678</v>
      </c>
      <c r="K67" s="5">
        <v>1.32E-2</v>
      </c>
      <c r="L67" s="5">
        <v>2.2000000000000001E-3</v>
      </c>
      <c r="M67" s="5">
        <v>7.1999999999999998E-3</v>
      </c>
      <c r="N67" s="5">
        <v>0</v>
      </c>
      <c r="O67" s="43">
        <v>2.1160000000000002E-2</v>
      </c>
      <c r="P67" s="5">
        <f t="shared" si="2"/>
        <v>0.16979354838709679</v>
      </c>
      <c r="Q67" s="24">
        <v>65418</v>
      </c>
      <c r="R67" s="3">
        <v>500</v>
      </c>
      <c r="S67" s="1" t="s">
        <v>111</v>
      </c>
      <c r="T67" s="9">
        <f t="shared" si="5"/>
        <v>2281.5</v>
      </c>
      <c r="U67" s="9"/>
      <c r="V67" s="56">
        <v>156599</v>
      </c>
      <c r="W67" s="1"/>
      <c r="X67" s="36"/>
      <c r="Y67" s="36"/>
    </row>
    <row r="68" spans="2:25" s="62" customFormat="1" x14ac:dyDescent="0.25">
      <c r="B68" s="1" t="s">
        <v>183</v>
      </c>
      <c r="C68" s="3" t="s">
        <v>44</v>
      </c>
      <c r="D68" s="3"/>
      <c r="E68" s="4">
        <v>36557</v>
      </c>
      <c r="F68" s="4">
        <v>36677</v>
      </c>
      <c r="G68" s="1" t="s">
        <v>107</v>
      </c>
      <c r="H68" s="1" t="s">
        <v>108</v>
      </c>
      <c r="I68" s="3" t="s">
        <v>53</v>
      </c>
      <c r="J68" s="8">
        <f>6.372/J$1</f>
        <v>0.2055483870967742</v>
      </c>
      <c r="K68" s="5"/>
      <c r="L68" s="5"/>
      <c r="M68" s="5"/>
      <c r="N68" s="5"/>
      <c r="O68" s="43"/>
      <c r="P68" s="5"/>
      <c r="Q68" s="24">
        <v>65534</v>
      </c>
      <c r="R68" s="3">
        <v>3</v>
      </c>
      <c r="S68" s="1" t="s">
        <v>269</v>
      </c>
      <c r="T68" s="9">
        <f t="shared" si="5"/>
        <v>19.116</v>
      </c>
      <c r="U68" s="9"/>
      <c r="V68" s="56">
        <v>149349</v>
      </c>
      <c r="W68" s="1"/>
      <c r="X68" s="36"/>
      <c r="Y68" s="36"/>
    </row>
    <row r="69" spans="2:25" s="62" customFormat="1" x14ac:dyDescent="0.25">
      <c r="B69" s="1" t="s">
        <v>183</v>
      </c>
      <c r="C69" s="3" t="s">
        <v>44</v>
      </c>
      <c r="D69" s="3" t="s">
        <v>50</v>
      </c>
      <c r="E69" s="4">
        <v>36557</v>
      </c>
      <c r="F69" s="4">
        <v>36860</v>
      </c>
      <c r="G69" s="1" t="s">
        <v>52</v>
      </c>
      <c r="H69" s="1" t="s">
        <v>56</v>
      </c>
      <c r="I69" s="3" t="s">
        <v>53</v>
      </c>
      <c r="J69" s="8">
        <f>6.449/J$1</f>
        <v>0.20803225806451611</v>
      </c>
      <c r="K69" s="5">
        <v>1.32E-2</v>
      </c>
      <c r="L69" s="5">
        <v>2.2000000000000001E-3</v>
      </c>
      <c r="M69" s="5">
        <v>7.1999999999999998E-3</v>
      </c>
      <c r="N69" s="5">
        <v>0</v>
      </c>
      <c r="O69" s="43">
        <v>2.1160000000000002E-2</v>
      </c>
      <c r="P69" s="5">
        <f t="shared" si="2"/>
        <v>0.23063225806451612</v>
      </c>
      <c r="Q69" s="24">
        <v>65556</v>
      </c>
      <c r="R69" s="3">
        <v>3</v>
      </c>
      <c r="S69" s="1" t="s">
        <v>81</v>
      </c>
      <c r="T69" s="9">
        <f t="shared" si="5"/>
        <v>19.347000000000001</v>
      </c>
      <c r="U69" s="9"/>
      <c r="V69" s="56">
        <v>156602</v>
      </c>
      <c r="W69" s="1"/>
      <c r="X69" s="36"/>
      <c r="Y69" s="36"/>
    </row>
    <row r="70" spans="2:25" s="62" customFormat="1" x14ac:dyDescent="0.25">
      <c r="B70" s="1" t="s">
        <v>183</v>
      </c>
      <c r="C70" s="3" t="s">
        <v>44</v>
      </c>
      <c r="D70" s="3" t="s">
        <v>46</v>
      </c>
      <c r="E70" s="4">
        <v>36557</v>
      </c>
      <c r="F70" s="4">
        <v>36922</v>
      </c>
      <c r="G70" s="1" t="s">
        <v>187</v>
      </c>
      <c r="H70" s="1" t="s">
        <v>188</v>
      </c>
      <c r="I70" s="3" t="s">
        <v>53</v>
      </c>
      <c r="J70" s="8">
        <f>6.449/J$1</f>
        <v>0.20803225806451611</v>
      </c>
      <c r="K70" s="5"/>
      <c r="L70" s="5"/>
      <c r="M70" s="5"/>
      <c r="N70" s="5"/>
      <c r="O70" s="43"/>
      <c r="P70" s="5"/>
      <c r="Q70" s="24">
        <v>66280</v>
      </c>
      <c r="R70" s="3">
        <v>1</v>
      </c>
      <c r="S70" s="1" t="s">
        <v>190</v>
      </c>
      <c r="T70" s="9">
        <f t="shared" si="5"/>
        <v>6.4489999999999998</v>
      </c>
      <c r="U70" s="9"/>
      <c r="V70" s="56">
        <v>156606</v>
      </c>
      <c r="W70" s="1"/>
      <c r="X70" s="36"/>
      <c r="Y70" s="36"/>
    </row>
    <row r="71" spans="2:25" s="62" customFormat="1" x14ac:dyDescent="0.25">
      <c r="B71" s="1" t="s">
        <v>183</v>
      </c>
      <c r="C71" s="3" t="s">
        <v>44</v>
      </c>
      <c r="D71" s="3" t="s">
        <v>46</v>
      </c>
      <c r="E71" s="4">
        <v>36557</v>
      </c>
      <c r="F71" s="4">
        <v>36922</v>
      </c>
      <c r="G71" s="1" t="s">
        <v>187</v>
      </c>
      <c r="H71" s="1" t="s">
        <v>189</v>
      </c>
      <c r="I71" s="3" t="s">
        <v>53</v>
      </c>
      <c r="J71" s="8">
        <f>6.449/J$1</f>
        <v>0.20803225806451611</v>
      </c>
      <c r="K71" s="5"/>
      <c r="L71" s="5"/>
      <c r="M71" s="5"/>
      <c r="N71" s="5"/>
      <c r="O71" s="43"/>
      <c r="P71" s="5"/>
      <c r="Q71" s="24">
        <v>66280</v>
      </c>
      <c r="R71" s="3">
        <v>4</v>
      </c>
      <c r="S71" s="1" t="s">
        <v>190</v>
      </c>
      <c r="T71" s="9">
        <f t="shared" si="5"/>
        <v>25.795999999999999</v>
      </c>
      <c r="U71" s="9"/>
      <c r="V71" s="56">
        <v>156606</v>
      </c>
      <c r="W71" s="1"/>
      <c r="X71" s="36"/>
      <c r="Y71" s="36"/>
    </row>
    <row r="72" spans="2:25" s="80" customFormat="1" x14ac:dyDescent="0.25">
      <c r="B72" s="42" t="s">
        <v>183</v>
      </c>
      <c r="C72" s="72" t="s">
        <v>44</v>
      </c>
      <c r="D72" s="72" t="s">
        <v>46</v>
      </c>
      <c r="E72" s="73">
        <v>36656</v>
      </c>
      <c r="F72" s="73">
        <v>36950</v>
      </c>
      <c r="G72" s="42" t="s">
        <v>187</v>
      </c>
      <c r="H72" s="126" t="s">
        <v>188</v>
      </c>
      <c r="I72" s="72" t="s">
        <v>53</v>
      </c>
      <c r="J72" s="74">
        <v>6.4489999999999998</v>
      </c>
      <c r="K72" s="75"/>
      <c r="L72" s="75"/>
      <c r="M72" s="75"/>
      <c r="N72" s="75"/>
      <c r="O72" s="76"/>
      <c r="P72" s="75"/>
      <c r="Q72" s="77">
        <v>68308</v>
      </c>
      <c r="R72" s="72">
        <v>5</v>
      </c>
      <c r="S72" s="42" t="s">
        <v>449</v>
      </c>
      <c r="T72" s="78">
        <f>+R72*J72</f>
        <v>32.244999999999997</v>
      </c>
      <c r="U72" s="78"/>
      <c r="V72" s="110">
        <v>262094</v>
      </c>
      <c r="W72" s="42"/>
      <c r="X72" s="79"/>
      <c r="Y72" s="79"/>
    </row>
    <row r="73" spans="2:25" s="80" customFormat="1" x14ac:dyDescent="0.25">
      <c r="B73" s="42" t="s">
        <v>183</v>
      </c>
      <c r="C73" s="72" t="s">
        <v>44</v>
      </c>
      <c r="D73" s="72" t="s">
        <v>46</v>
      </c>
      <c r="E73" s="73">
        <v>36656</v>
      </c>
      <c r="F73" s="73">
        <v>36950</v>
      </c>
      <c r="G73" s="42" t="s">
        <v>187</v>
      </c>
      <c r="H73" s="126" t="s">
        <v>189</v>
      </c>
      <c r="I73" s="72" t="s">
        <v>53</v>
      </c>
      <c r="J73" s="74">
        <v>6.4489999999999998</v>
      </c>
      <c r="K73" s="75"/>
      <c r="L73" s="75"/>
      <c r="M73" s="75"/>
      <c r="N73" s="75"/>
      <c r="O73" s="76"/>
      <c r="P73" s="75"/>
      <c r="Q73" s="77">
        <v>68308</v>
      </c>
      <c r="R73" s="72">
        <v>4</v>
      </c>
      <c r="S73" s="42" t="s">
        <v>449</v>
      </c>
      <c r="T73" s="78">
        <f>+R73*J73</f>
        <v>25.795999999999999</v>
      </c>
      <c r="U73" s="78"/>
      <c r="V73" s="110">
        <v>262094</v>
      </c>
      <c r="W73" s="42"/>
      <c r="X73" s="79"/>
      <c r="Y73" s="79"/>
    </row>
    <row r="74" spans="2:25" s="80" customFormat="1" x14ac:dyDescent="0.25">
      <c r="B74" s="42" t="s">
        <v>90</v>
      </c>
      <c r="C74" s="72" t="s">
        <v>44</v>
      </c>
      <c r="D74" s="72" t="s">
        <v>46</v>
      </c>
      <c r="E74" s="73">
        <v>36617</v>
      </c>
      <c r="F74" s="73">
        <v>36655</v>
      </c>
      <c r="G74" s="42" t="s">
        <v>187</v>
      </c>
      <c r="H74" s="126" t="s">
        <v>188</v>
      </c>
      <c r="I74" s="72" t="s">
        <v>53</v>
      </c>
      <c r="J74" s="74">
        <v>6.4489999999999998</v>
      </c>
      <c r="K74" s="75"/>
      <c r="L74" s="75"/>
      <c r="M74" s="75"/>
      <c r="N74" s="75"/>
      <c r="O74" s="76"/>
      <c r="P74" s="75"/>
      <c r="Q74" s="77">
        <v>66679</v>
      </c>
      <c r="R74" s="72">
        <v>5</v>
      </c>
      <c r="S74" s="42"/>
      <c r="T74" s="78">
        <f>+R74*J74</f>
        <v>32.244999999999997</v>
      </c>
      <c r="U74" s="78"/>
      <c r="V74" s="110">
        <v>262093</v>
      </c>
      <c r="W74" s="42"/>
      <c r="X74" s="79"/>
      <c r="Y74" s="79"/>
    </row>
    <row r="75" spans="2:25" s="80" customFormat="1" x14ac:dyDescent="0.25">
      <c r="B75" s="42" t="s">
        <v>90</v>
      </c>
      <c r="C75" s="72" t="s">
        <v>44</v>
      </c>
      <c r="D75" s="72" t="s">
        <v>46</v>
      </c>
      <c r="E75" s="73">
        <v>36617</v>
      </c>
      <c r="F75" s="73">
        <v>36655</v>
      </c>
      <c r="G75" s="42" t="s">
        <v>187</v>
      </c>
      <c r="H75" s="126" t="s">
        <v>189</v>
      </c>
      <c r="I75" s="72" t="s">
        <v>53</v>
      </c>
      <c r="J75" s="74">
        <v>6.4489999999999998</v>
      </c>
      <c r="K75" s="75"/>
      <c r="L75" s="75"/>
      <c r="M75" s="75"/>
      <c r="N75" s="75"/>
      <c r="O75" s="76"/>
      <c r="P75" s="75"/>
      <c r="Q75" s="77">
        <v>66679</v>
      </c>
      <c r="R75" s="72">
        <v>4</v>
      </c>
      <c r="S75" s="42"/>
      <c r="T75" s="78">
        <f>+R75*J75</f>
        <v>25.795999999999999</v>
      </c>
      <c r="U75" s="78"/>
      <c r="V75" s="110">
        <v>262093</v>
      </c>
      <c r="W75" s="42"/>
      <c r="X75" s="79"/>
      <c r="Y75" s="79"/>
    </row>
    <row r="76" spans="2:25" s="62" customFormat="1" x14ac:dyDescent="0.25">
      <c r="B76" s="1" t="s">
        <v>183</v>
      </c>
      <c r="C76" s="3" t="s">
        <v>44</v>
      </c>
      <c r="D76" s="3" t="s">
        <v>302</v>
      </c>
      <c r="E76" s="4">
        <v>36617</v>
      </c>
      <c r="F76" s="4" t="s">
        <v>303</v>
      </c>
      <c r="G76" s="1" t="s">
        <v>304</v>
      </c>
      <c r="H76" s="1"/>
      <c r="I76" s="3" t="s">
        <v>305</v>
      </c>
      <c r="J76" s="8"/>
      <c r="K76" s="5"/>
      <c r="L76" s="5"/>
      <c r="M76" s="5"/>
      <c r="N76" s="5"/>
      <c r="O76" s="43"/>
      <c r="P76" s="5"/>
      <c r="Q76" s="24">
        <v>66917</v>
      </c>
      <c r="R76" s="3"/>
      <c r="S76" s="1"/>
      <c r="T76" s="9"/>
      <c r="U76" s="9"/>
      <c r="V76" s="56">
        <v>228085</v>
      </c>
      <c r="W76" s="1"/>
      <c r="X76" s="36"/>
      <c r="Y76" s="36"/>
    </row>
    <row r="77" spans="2:25" s="62" customFormat="1" x14ac:dyDescent="0.25">
      <c r="B77" s="1" t="s">
        <v>183</v>
      </c>
      <c r="C77" s="3" t="s">
        <v>44</v>
      </c>
      <c r="D77" s="3" t="s">
        <v>46</v>
      </c>
      <c r="E77" s="4">
        <v>36617</v>
      </c>
      <c r="F77" s="4">
        <v>36981</v>
      </c>
      <c r="G77" s="1" t="s">
        <v>187</v>
      </c>
      <c r="H77" s="1" t="s">
        <v>188</v>
      </c>
      <c r="I77" s="3" t="s">
        <v>53</v>
      </c>
      <c r="J77" s="8">
        <v>6.4009999999999998</v>
      </c>
      <c r="K77" s="5"/>
      <c r="L77" s="5"/>
      <c r="M77" s="5"/>
      <c r="N77" s="5"/>
      <c r="O77" s="43"/>
      <c r="P77" s="5"/>
      <c r="Q77" s="24">
        <v>66939</v>
      </c>
      <c r="R77" s="3">
        <v>5</v>
      </c>
      <c r="S77" s="1" t="s">
        <v>362</v>
      </c>
      <c r="T77" s="9">
        <f t="shared" ref="T77:T90" si="7">+R77*J77</f>
        <v>32.004999999999995</v>
      </c>
      <c r="U77" s="9"/>
      <c r="V77" s="56"/>
      <c r="W77" s="1"/>
      <c r="X77" s="36"/>
      <c r="Y77" s="36"/>
    </row>
    <row r="78" spans="2:25" s="62" customFormat="1" x14ac:dyDescent="0.25">
      <c r="B78" s="1" t="s">
        <v>183</v>
      </c>
      <c r="C78" s="3" t="s">
        <v>44</v>
      </c>
      <c r="D78" s="3" t="s">
        <v>46</v>
      </c>
      <c r="E78" s="4">
        <v>36617</v>
      </c>
      <c r="F78" s="4">
        <v>36981</v>
      </c>
      <c r="G78" s="1" t="s">
        <v>187</v>
      </c>
      <c r="H78" s="1" t="s">
        <v>189</v>
      </c>
      <c r="I78" s="3" t="s">
        <v>53</v>
      </c>
      <c r="J78" s="8">
        <v>6.4009999999999998</v>
      </c>
      <c r="K78" s="5"/>
      <c r="L78" s="5"/>
      <c r="M78" s="5"/>
      <c r="N78" s="5"/>
      <c r="O78" s="43"/>
      <c r="P78" s="5"/>
      <c r="Q78" s="24">
        <v>66939</v>
      </c>
      <c r="R78" s="3">
        <v>27</v>
      </c>
      <c r="S78" s="1" t="s">
        <v>362</v>
      </c>
      <c r="T78" s="9">
        <f t="shared" si="7"/>
        <v>172.827</v>
      </c>
      <c r="U78" s="9"/>
      <c r="V78" s="56"/>
      <c r="W78" s="1"/>
      <c r="X78" s="36"/>
      <c r="Y78" s="36"/>
    </row>
    <row r="79" spans="2:25" s="62" customFormat="1" x14ac:dyDescent="0.25">
      <c r="B79" s="1" t="s">
        <v>183</v>
      </c>
      <c r="C79" s="3" t="s">
        <v>44</v>
      </c>
      <c r="D79" s="3" t="s">
        <v>46</v>
      </c>
      <c r="E79" s="4">
        <v>36617</v>
      </c>
      <c r="F79" s="4">
        <v>36981</v>
      </c>
      <c r="G79" s="1" t="s">
        <v>187</v>
      </c>
      <c r="H79" s="1" t="s">
        <v>360</v>
      </c>
      <c r="I79" s="3" t="s">
        <v>53</v>
      </c>
      <c r="J79" s="8">
        <v>6.4009999999999998</v>
      </c>
      <c r="K79" s="5"/>
      <c r="L79" s="5"/>
      <c r="M79" s="5"/>
      <c r="N79" s="5"/>
      <c r="O79" s="43"/>
      <c r="P79" s="5"/>
      <c r="Q79" s="24">
        <v>66939</v>
      </c>
      <c r="R79" s="3">
        <v>3</v>
      </c>
      <c r="S79" s="1" t="s">
        <v>362</v>
      </c>
      <c r="T79" s="9">
        <f t="shared" si="7"/>
        <v>19.202999999999999</v>
      </c>
      <c r="U79" s="9"/>
      <c r="V79" s="56"/>
      <c r="W79" s="1"/>
      <c r="X79" s="36"/>
      <c r="Y79" s="36"/>
    </row>
    <row r="80" spans="2:25" s="62" customFormat="1" x14ac:dyDescent="0.25">
      <c r="B80" s="1" t="s">
        <v>183</v>
      </c>
      <c r="C80" s="3" t="s">
        <v>44</v>
      </c>
      <c r="D80" s="3" t="s">
        <v>46</v>
      </c>
      <c r="E80" s="4">
        <v>36617</v>
      </c>
      <c r="F80" s="4">
        <v>36981</v>
      </c>
      <c r="G80" s="1" t="s">
        <v>187</v>
      </c>
      <c r="H80" s="1" t="s">
        <v>361</v>
      </c>
      <c r="I80" s="3" t="s">
        <v>53</v>
      </c>
      <c r="J80" s="8">
        <v>6.4009999999999998</v>
      </c>
      <c r="K80" s="5"/>
      <c r="L80" s="5"/>
      <c r="M80" s="5"/>
      <c r="N80" s="5"/>
      <c r="O80" s="43"/>
      <c r="P80" s="5"/>
      <c r="Q80" s="24">
        <v>66939</v>
      </c>
      <c r="R80" s="3">
        <v>17</v>
      </c>
      <c r="S80" s="1" t="s">
        <v>362</v>
      </c>
      <c r="T80" s="9">
        <f t="shared" si="7"/>
        <v>108.81699999999999</v>
      </c>
      <c r="U80" s="9"/>
      <c r="V80" s="56"/>
      <c r="W80" s="1"/>
      <c r="X80" s="36"/>
      <c r="Y80" s="36"/>
    </row>
    <row r="81" spans="2:25" s="62" customFormat="1" x14ac:dyDescent="0.25">
      <c r="B81" s="1" t="s">
        <v>183</v>
      </c>
      <c r="C81" s="3" t="s">
        <v>44</v>
      </c>
      <c r="D81" s="3" t="s">
        <v>112</v>
      </c>
      <c r="E81" s="4">
        <v>36617</v>
      </c>
      <c r="F81" s="4">
        <v>36646</v>
      </c>
      <c r="G81" s="1" t="s">
        <v>187</v>
      </c>
      <c r="H81" s="1">
        <v>54</v>
      </c>
      <c r="I81" s="3" t="s">
        <v>53</v>
      </c>
      <c r="J81" s="8">
        <v>6.4009999999999998</v>
      </c>
      <c r="K81" s="5"/>
      <c r="L81" s="5"/>
      <c r="M81" s="5"/>
      <c r="N81" s="5"/>
      <c r="O81" s="43"/>
      <c r="P81" s="5"/>
      <c r="Q81" s="24">
        <v>66936</v>
      </c>
      <c r="R81" s="3">
        <v>168</v>
      </c>
      <c r="S81" s="1"/>
      <c r="T81" s="9">
        <f t="shared" si="7"/>
        <v>1075.3679999999999</v>
      </c>
      <c r="U81" s="9"/>
      <c r="V81" s="56">
        <v>228176</v>
      </c>
      <c r="W81" s="1"/>
      <c r="X81" s="36"/>
      <c r="Y81" s="36"/>
    </row>
    <row r="82" spans="2:25" s="62" customFormat="1" x14ac:dyDescent="0.25">
      <c r="B82" s="1" t="s">
        <v>183</v>
      </c>
      <c r="C82" s="3" t="s">
        <v>44</v>
      </c>
      <c r="D82" s="3" t="s">
        <v>45</v>
      </c>
      <c r="E82" s="4">
        <v>36617</v>
      </c>
      <c r="F82" s="4">
        <v>36981</v>
      </c>
      <c r="G82" s="1" t="s">
        <v>187</v>
      </c>
      <c r="H82" s="1" t="s">
        <v>363</v>
      </c>
      <c r="I82" s="3" t="s">
        <v>53</v>
      </c>
      <c r="J82" s="8">
        <v>6.4009999999999998</v>
      </c>
      <c r="K82" s="5"/>
      <c r="L82" s="5"/>
      <c r="M82" s="5"/>
      <c r="N82" s="5"/>
      <c r="O82" s="43"/>
      <c r="P82" s="5"/>
      <c r="Q82" s="24">
        <v>66940</v>
      </c>
      <c r="R82" s="3">
        <v>1</v>
      </c>
      <c r="S82" s="126" t="s">
        <v>308</v>
      </c>
      <c r="T82" s="9">
        <f t="shared" si="7"/>
        <v>6.4009999999999998</v>
      </c>
      <c r="U82" s="9"/>
      <c r="V82" s="56">
        <v>228134</v>
      </c>
      <c r="W82" s="1"/>
      <c r="X82" s="36"/>
      <c r="Y82" s="36"/>
    </row>
    <row r="83" spans="2:25" s="62" customFormat="1" x14ac:dyDescent="0.25">
      <c r="B83" s="1" t="s">
        <v>183</v>
      </c>
      <c r="C83" s="3" t="s">
        <v>44</v>
      </c>
      <c r="D83" s="3" t="s">
        <v>45</v>
      </c>
      <c r="E83" s="4">
        <v>36617</v>
      </c>
      <c r="F83" s="4">
        <v>36981</v>
      </c>
      <c r="G83" s="1" t="s">
        <v>187</v>
      </c>
      <c r="H83" s="1" t="s">
        <v>364</v>
      </c>
      <c r="I83" s="3" t="s">
        <v>53</v>
      </c>
      <c r="J83" s="8">
        <v>6.4009999999999998</v>
      </c>
      <c r="K83" s="5"/>
      <c r="L83" s="5"/>
      <c r="M83" s="5"/>
      <c r="N83" s="5"/>
      <c r="O83" s="43"/>
      <c r="P83" s="5"/>
      <c r="Q83" s="24">
        <v>66940</v>
      </c>
      <c r="R83" s="3">
        <v>1</v>
      </c>
      <c r="S83" s="126" t="s">
        <v>308</v>
      </c>
      <c r="T83" s="9">
        <f t="shared" si="7"/>
        <v>6.4009999999999998</v>
      </c>
      <c r="U83" s="9"/>
      <c r="V83" s="56">
        <v>228134</v>
      </c>
      <c r="W83" s="1"/>
      <c r="X83" s="36"/>
      <c r="Y83" s="36"/>
    </row>
    <row r="84" spans="2:25" s="111" customFormat="1" x14ac:dyDescent="0.25">
      <c r="B84" s="112" t="s">
        <v>183</v>
      </c>
      <c r="C84" s="113" t="s">
        <v>44</v>
      </c>
      <c r="D84" s="113" t="s">
        <v>402</v>
      </c>
      <c r="E84" s="114">
        <v>36647</v>
      </c>
      <c r="F84" s="114">
        <v>36677</v>
      </c>
      <c r="G84" s="112" t="s">
        <v>187</v>
      </c>
      <c r="H84" s="112">
        <v>22</v>
      </c>
      <c r="I84" s="113" t="s">
        <v>53</v>
      </c>
      <c r="J84" s="116">
        <v>0.01</v>
      </c>
      <c r="K84" s="117"/>
      <c r="L84" s="117"/>
      <c r="M84" s="117"/>
      <c r="N84" s="117"/>
      <c r="O84" s="118"/>
      <c r="P84" s="117"/>
      <c r="Q84" s="122">
        <v>67832</v>
      </c>
      <c r="R84" s="113">
        <v>8527</v>
      </c>
      <c r="S84" s="112"/>
      <c r="T84" s="120">
        <f>+J84*R84*13</f>
        <v>1108.51</v>
      </c>
      <c r="U84" s="120"/>
      <c r="V84" s="121">
        <v>242666</v>
      </c>
      <c r="W84" s="112"/>
      <c r="X84" s="125"/>
      <c r="Y84" s="125"/>
    </row>
    <row r="85" spans="2:25" s="111" customFormat="1" x14ac:dyDescent="0.25">
      <c r="B85" s="112" t="s">
        <v>183</v>
      </c>
      <c r="C85" s="113" t="s">
        <v>44</v>
      </c>
      <c r="D85" s="113" t="s">
        <v>402</v>
      </c>
      <c r="E85" s="114">
        <v>36647</v>
      </c>
      <c r="F85" s="114">
        <v>36677</v>
      </c>
      <c r="G85" s="112" t="s">
        <v>187</v>
      </c>
      <c r="H85" s="112">
        <v>22</v>
      </c>
      <c r="I85" s="113" t="s">
        <v>53</v>
      </c>
      <c r="J85" s="116">
        <v>0.01</v>
      </c>
      <c r="K85" s="117"/>
      <c r="L85" s="117"/>
      <c r="M85" s="117"/>
      <c r="N85" s="117"/>
      <c r="O85" s="118"/>
      <c r="P85" s="117"/>
      <c r="Q85" s="122">
        <v>67833</v>
      </c>
      <c r="R85" s="113">
        <v>3000</v>
      </c>
      <c r="S85" s="112"/>
      <c r="T85" s="120">
        <f>+J85*R85*13</f>
        <v>390</v>
      </c>
      <c r="U85" s="120"/>
      <c r="V85" s="121">
        <v>242667</v>
      </c>
      <c r="W85" s="112"/>
      <c r="X85" s="125"/>
      <c r="Y85" s="125"/>
    </row>
    <row r="86" spans="2:25" s="111" customFormat="1" x14ac:dyDescent="0.25">
      <c r="B86" s="112" t="s">
        <v>183</v>
      </c>
      <c r="C86" s="113" t="s">
        <v>44</v>
      </c>
      <c r="D86" s="113" t="s">
        <v>402</v>
      </c>
      <c r="E86" s="114">
        <v>36647</v>
      </c>
      <c r="F86" s="114">
        <v>36677</v>
      </c>
      <c r="G86" s="112" t="s">
        <v>187</v>
      </c>
      <c r="H86" s="112">
        <v>22</v>
      </c>
      <c r="I86" s="113" t="s">
        <v>53</v>
      </c>
      <c r="J86" s="116">
        <v>0.01</v>
      </c>
      <c r="K86" s="117"/>
      <c r="L86" s="117"/>
      <c r="M86" s="117"/>
      <c r="N86" s="117"/>
      <c r="O86" s="118"/>
      <c r="P86" s="117"/>
      <c r="Q86" s="122">
        <v>67834</v>
      </c>
      <c r="R86" s="113">
        <v>3473</v>
      </c>
      <c r="S86" s="112"/>
      <c r="T86" s="120">
        <f>+J86*R86*13</f>
        <v>451.49000000000007</v>
      </c>
      <c r="U86" s="120"/>
      <c r="V86" s="121">
        <v>242669</v>
      </c>
      <c r="W86" s="112"/>
      <c r="X86" s="125"/>
      <c r="Y86" s="125"/>
    </row>
    <row r="87" spans="2:25" s="111" customFormat="1" x14ac:dyDescent="0.25">
      <c r="B87" s="112" t="s">
        <v>183</v>
      </c>
      <c r="C87" s="113" t="s">
        <v>44</v>
      </c>
      <c r="D87" s="113" t="s">
        <v>45</v>
      </c>
      <c r="E87" s="114">
        <v>36647</v>
      </c>
      <c r="F87" s="114">
        <v>37011</v>
      </c>
      <c r="G87" s="112" t="s">
        <v>415</v>
      </c>
      <c r="H87" s="112" t="s">
        <v>416</v>
      </c>
      <c r="I87" s="113" t="s">
        <v>53</v>
      </c>
      <c r="J87" s="116">
        <f>6.401/J1</f>
        <v>0.20648387096774193</v>
      </c>
      <c r="K87" s="117"/>
      <c r="L87" s="117"/>
      <c r="M87" s="117"/>
      <c r="N87" s="117"/>
      <c r="O87" s="118"/>
      <c r="P87" s="117"/>
      <c r="Q87" s="122">
        <v>68188</v>
      </c>
      <c r="R87" s="113">
        <v>1</v>
      </c>
      <c r="S87" s="112" t="s">
        <v>417</v>
      </c>
      <c r="T87" s="120">
        <f>+J87*R87*13</f>
        <v>2.6842903225806451</v>
      </c>
      <c r="U87" s="120"/>
      <c r="V87" s="121">
        <v>253195</v>
      </c>
      <c r="W87" s="112"/>
      <c r="X87" s="125"/>
      <c r="Y87" s="125"/>
    </row>
    <row r="88" spans="2:25" s="62" customFormat="1" x14ac:dyDescent="0.25">
      <c r="B88" s="1" t="s">
        <v>183</v>
      </c>
      <c r="C88" s="3" t="s">
        <v>44</v>
      </c>
      <c r="D88" s="3" t="s">
        <v>45</v>
      </c>
      <c r="E88" s="4">
        <v>36617</v>
      </c>
      <c r="F88" s="4">
        <v>36981</v>
      </c>
      <c r="G88" s="1" t="s">
        <v>187</v>
      </c>
      <c r="H88" s="1" t="s">
        <v>307</v>
      </c>
      <c r="I88" s="3" t="s">
        <v>53</v>
      </c>
      <c r="J88" s="8">
        <v>6.4009999999999998</v>
      </c>
      <c r="K88" s="5"/>
      <c r="L88" s="5"/>
      <c r="M88" s="5"/>
      <c r="N88" s="5"/>
      <c r="O88" s="43"/>
      <c r="P88" s="5"/>
      <c r="Q88" s="24">
        <v>66940</v>
      </c>
      <c r="R88" s="3">
        <v>2</v>
      </c>
      <c r="S88" s="1" t="s">
        <v>308</v>
      </c>
      <c r="T88" s="9">
        <f t="shared" si="7"/>
        <v>12.802</v>
      </c>
      <c r="U88" s="9"/>
      <c r="V88" s="56"/>
      <c r="W88" s="1"/>
      <c r="X88" s="36"/>
      <c r="Y88" s="36"/>
    </row>
    <row r="89" spans="2:25" s="111" customFormat="1" x14ac:dyDescent="0.25">
      <c r="B89" s="112" t="s">
        <v>183</v>
      </c>
      <c r="C89" s="113" t="s">
        <v>44</v>
      </c>
      <c r="D89" s="113" t="s">
        <v>123</v>
      </c>
      <c r="E89" s="114">
        <v>36647</v>
      </c>
      <c r="F89" s="114">
        <v>37011</v>
      </c>
      <c r="G89" s="112" t="s">
        <v>187</v>
      </c>
      <c r="H89" s="112" t="s">
        <v>423</v>
      </c>
      <c r="I89" s="113" t="s">
        <v>53</v>
      </c>
      <c r="J89" s="116">
        <v>6.4009999999999998</v>
      </c>
      <c r="K89" s="117"/>
      <c r="L89" s="117"/>
      <c r="M89" s="117"/>
      <c r="N89" s="117"/>
      <c r="O89" s="118"/>
      <c r="P89" s="117"/>
      <c r="Q89" s="122">
        <v>68109</v>
      </c>
      <c r="R89" s="113">
        <v>21</v>
      </c>
      <c r="S89" s="112" t="s">
        <v>424</v>
      </c>
      <c r="T89" s="120">
        <f t="shared" si="7"/>
        <v>134.42099999999999</v>
      </c>
      <c r="U89" s="120"/>
      <c r="V89" s="121">
        <v>254718</v>
      </c>
      <c r="W89" s="112"/>
      <c r="X89" s="125"/>
      <c r="Y89" s="125"/>
    </row>
    <row r="90" spans="2:25" x14ac:dyDescent="0.25">
      <c r="T90" s="9">
        <f t="shared" si="7"/>
        <v>0</v>
      </c>
    </row>
    <row r="91" spans="2:25" x14ac:dyDescent="0.25">
      <c r="B91" s="10" t="s">
        <v>3</v>
      </c>
      <c r="C91" s="11" t="s">
        <v>3</v>
      </c>
      <c r="D91" s="11" t="s">
        <v>3</v>
      </c>
      <c r="E91" s="13" t="s">
        <v>3</v>
      </c>
      <c r="F91" s="13" t="s">
        <v>3</v>
      </c>
      <c r="G91" s="10" t="s">
        <v>3</v>
      </c>
      <c r="H91" s="30" t="s">
        <v>3</v>
      </c>
      <c r="I91" s="11" t="s">
        <v>3</v>
      </c>
      <c r="J91" s="14"/>
      <c r="K91" s="15"/>
      <c r="L91" s="15"/>
      <c r="M91" s="15"/>
      <c r="N91" s="15"/>
      <c r="O91" s="45"/>
      <c r="P91" s="15"/>
      <c r="Q91" s="26" t="s">
        <v>3</v>
      </c>
      <c r="R91" s="11">
        <f>SUM(R46:R89)</f>
        <v>6238144</v>
      </c>
      <c r="S91" s="10" t="s">
        <v>3</v>
      </c>
      <c r="T91" s="22">
        <f>SUM(T35:T89)</f>
        <v>939187.6672903226</v>
      </c>
      <c r="U91" s="22" t="e">
        <f>SUM(#REF!)</f>
        <v>#REF!</v>
      </c>
      <c r="V91" s="55"/>
      <c r="W91" s="30"/>
      <c r="X91" s="36"/>
      <c r="Y91" s="36"/>
    </row>
    <row r="92" spans="2:25" x14ac:dyDescent="0.25">
      <c r="B92" s="16" t="s">
        <v>4</v>
      </c>
      <c r="C92" s="17" t="s">
        <v>5</v>
      </c>
      <c r="D92" s="17" t="s">
        <v>6</v>
      </c>
      <c r="E92" s="18" t="s">
        <v>7</v>
      </c>
      <c r="F92" s="18"/>
      <c r="G92" s="16" t="s">
        <v>8</v>
      </c>
      <c r="H92" s="16" t="s">
        <v>9</v>
      </c>
      <c r="I92" s="17" t="s">
        <v>49</v>
      </c>
      <c r="J92" s="19" t="s">
        <v>10</v>
      </c>
      <c r="K92" s="17" t="s">
        <v>11</v>
      </c>
      <c r="L92" s="17" t="s">
        <v>12</v>
      </c>
      <c r="M92" s="17" t="s">
        <v>13</v>
      </c>
      <c r="N92" s="17" t="s">
        <v>14</v>
      </c>
      <c r="O92" s="44" t="s">
        <v>15</v>
      </c>
      <c r="P92" s="17" t="s">
        <v>16</v>
      </c>
      <c r="Q92" s="20" t="s">
        <v>181</v>
      </c>
      <c r="R92" s="17" t="s">
        <v>17</v>
      </c>
      <c r="S92" s="16" t="s">
        <v>18</v>
      </c>
      <c r="T92" s="21" t="s">
        <v>48</v>
      </c>
      <c r="U92" s="21" t="s">
        <v>47</v>
      </c>
      <c r="V92" s="54" t="s">
        <v>182</v>
      </c>
      <c r="W92" s="59">
        <f>+W54</f>
        <v>0</v>
      </c>
      <c r="X92" s="36"/>
      <c r="Y92" s="36"/>
    </row>
    <row r="93" spans="2:25" s="111" customFormat="1" ht="12" customHeight="1" x14ac:dyDescent="0.25">
      <c r="B93" s="112" t="s">
        <v>183</v>
      </c>
      <c r="C93" s="113" t="s">
        <v>262</v>
      </c>
      <c r="D93" s="113" t="s">
        <v>447</v>
      </c>
      <c r="E93" s="114">
        <v>35612</v>
      </c>
      <c r="F93" s="114">
        <v>37437</v>
      </c>
      <c r="G93" s="115" t="s">
        <v>263</v>
      </c>
      <c r="H93" s="112" t="s">
        <v>264</v>
      </c>
      <c r="I93" s="113" t="s">
        <v>53</v>
      </c>
      <c r="J93" s="116">
        <f>+(5.6195+1.3875+0.2)/J$1</f>
        <v>0.23248387096774195</v>
      </c>
      <c r="K93" s="117">
        <v>0</v>
      </c>
      <c r="L93" s="117">
        <v>2.2000000000000001E-3</v>
      </c>
      <c r="M93" s="117">
        <v>7.1999999999999998E-3</v>
      </c>
      <c r="N93" s="117">
        <v>0</v>
      </c>
      <c r="O93" s="118">
        <v>0</v>
      </c>
      <c r="P93" s="117">
        <f>SUM(J93:N93)</f>
        <v>0.24188387096774197</v>
      </c>
      <c r="Q93" s="122">
        <v>270</v>
      </c>
      <c r="R93" s="113">
        <v>1000</v>
      </c>
      <c r="S93" s="112"/>
      <c r="T93" s="120">
        <f>J93*J$1*R93</f>
        <v>7207.0000000000009</v>
      </c>
      <c r="U93" s="120"/>
      <c r="V93" s="121">
        <v>149901</v>
      </c>
      <c r="W93" s="112" t="s">
        <v>448</v>
      </c>
      <c r="X93" s="125"/>
      <c r="Y93" s="125"/>
    </row>
    <row r="94" spans="2:25" s="62" customFormat="1" ht="12" customHeight="1" x14ac:dyDescent="0.25">
      <c r="B94" s="1"/>
      <c r="C94" s="3"/>
      <c r="D94" s="3"/>
      <c r="E94" s="4"/>
      <c r="F94" s="4"/>
      <c r="G94" s="29"/>
      <c r="H94" s="29"/>
      <c r="I94" s="3"/>
      <c r="J94" s="8"/>
      <c r="K94" s="5"/>
      <c r="L94" s="5"/>
      <c r="M94" s="5"/>
      <c r="N94" s="5"/>
      <c r="O94" s="43"/>
      <c r="P94" s="5"/>
      <c r="Q94" s="24"/>
      <c r="R94" s="3"/>
      <c r="S94" s="1"/>
      <c r="T94" s="9">
        <f>SUM(T93)</f>
        <v>7207.0000000000009</v>
      </c>
      <c r="U94" s="9"/>
      <c r="V94" s="56"/>
      <c r="W94" s="1"/>
      <c r="X94" s="36"/>
      <c r="Y94" s="36"/>
    </row>
    <row r="95" spans="2:25" x14ac:dyDescent="0.25">
      <c r="B95" s="27"/>
      <c r="C95" s="3"/>
      <c r="D95" s="3"/>
      <c r="E95" s="4"/>
      <c r="F95" s="4"/>
      <c r="G95" s="1"/>
      <c r="H95" s="1"/>
      <c r="I95" s="3"/>
      <c r="J95" s="5"/>
      <c r="K95" s="5"/>
      <c r="L95" s="5"/>
      <c r="M95" s="5"/>
      <c r="N95" s="5"/>
      <c r="O95" s="43"/>
      <c r="P95" s="5"/>
      <c r="Q95" s="49"/>
      <c r="R95" s="50"/>
      <c r="S95" s="28"/>
      <c r="T95" s="28"/>
      <c r="U95" s="28"/>
      <c r="V95" s="52"/>
      <c r="W95" s="58"/>
      <c r="X95" s="35"/>
      <c r="Y95" s="35"/>
    </row>
    <row r="96" spans="2:25" x14ac:dyDescent="0.25">
      <c r="B96" s="27"/>
      <c r="C96" s="3"/>
      <c r="D96" s="3"/>
      <c r="E96" s="4"/>
      <c r="F96" s="4"/>
      <c r="G96" s="1"/>
      <c r="H96" s="1"/>
      <c r="I96" s="3"/>
      <c r="J96" s="8"/>
      <c r="K96" s="5"/>
      <c r="L96" s="5"/>
      <c r="M96" s="5"/>
      <c r="N96" s="5"/>
      <c r="O96" s="43"/>
      <c r="P96" s="5"/>
      <c r="Q96" s="49"/>
      <c r="R96" s="50"/>
      <c r="S96" s="28"/>
      <c r="T96" s="28"/>
      <c r="U96" s="28"/>
      <c r="V96" s="52"/>
      <c r="W96" s="58"/>
      <c r="X96" s="35"/>
      <c r="Y96" s="35"/>
    </row>
    <row r="97" spans="2:25" ht="13.8" thickBot="1" x14ac:dyDescent="0.3">
      <c r="B97" s="27"/>
      <c r="C97" s="3"/>
      <c r="D97" s="3"/>
      <c r="E97" s="4"/>
      <c r="F97" s="4"/>
      <c r="G97" s="1"/>
      <c r="H97" s="1"/>
      <c r="I97" s="3"/>
      <c r="J97" s="5"/>
      <c r="K97" s="5"/>
      <c r="L97" s="5"/>
      <c r="M97" s="5"/>
      <c r="N97" s="5"/>
      <c r="O97" s="43"/>
      <c r="P97" s="5"/>
      <c r="Q97" s="49"/>
      <c r="R97" s="50"/>
      <c r="S97" s="28"/>
      <c r="T97" s="94">
        <f>SUM(T94,T91,T33,T20)</f>
        <v>957665.52949032257</v>
      </c>
      <c r="U97" s="28" t="s">
        <v>213</v>
      </c>
      <c r="V97" s="52"/>
      <c r="W97" s="58"/>
      <c r="X97" s="35"/>
      <c r="Y97" s="35"/>
    </row>
    <row r="98" spans="2:25" ht="13.8" thickTop="1" x14ac:dyDescent="0.25">
      <c r="B98" s="27"/>
      <c r="C98" s="3"/>
      <c r="D98" s="3"/>
      <c r="E98" s="4"/>
      <c r="F98" s="4"/>
      <c r="G98" s="1"/>
      <c r="H98" s="1"/>
      <c r="I98" s="3"/>
      <c r="J98" s="5"/>
      <c r="K98" s="5"/>
      <c r="L98" s="5"/>
      <c r="M98" s="5"/>
      <c r="N98" s="5"/>
      <c r="O98" s="43"/>
      <c r="P98" s="5"/>
      <c r="Q98" s="49"/>
      <c r="R98" s="50"/>
      <c r="S98" s="28"/>
      <c r="T98" s="28"/>
      <c r="U98" s="58" t="s">
        <v>270</v>
      </c>
      <c r="V98" s="52"/>
      <c r="W98" s="58"/>
      <c r="X98" s="40"/>
      <c r="Y98" s="35"/>
    </row>
    <row r="99" spans="2:25" x14ac:dyDescent="0.25">
      <c r="B99" s="27"/>
      <c r="C99" s="3"/>
      <c r="D99" s="3"/>
      <c r="E99" s="4"/>
      <c r="F99" s="4"/>
      <c r="G99" s="1"/>
      <c r="H99" s="1"/>
      <c r="I99" s="3"/>
      <c r="J99" s="5"/>
      <c r="K99" s="5"/>
      <c r="L99" s="5"/>
      <c r="M99" s="5"/>
      <c r="N99" s="5"/>
      <c r="O99" s="43"/>
      <c r="P99" s="5"/>
      <c r="Q99" s="49"/>
      <c r="R99" s="50"/>
      <c r="S99" s="28"/>
      <c r="T99" s="28"/>
      <c r="U99" s="28"/>
      <c r="V99" s="52"/>
      <c r="W99" s="58"/>
      <c r="X99" s="35"/>
      <c r="Y99" s="35"/>
    </row>
    <row r="100" spans="2:25" x14ac:dyDescent="0.25">
      <c r="B100" s="27"/>
      <c r="C100" s="3"/>
      <c r="D100" s="3"/>
      <c r="E100" s="4"/>
      <c r="F100" s="4"/>
      <c r="G100" s="1"/>
      <c r="H100" s="1"/>
      <c r="I100" s="3"/>
      <c r="J100" s="5"/>
      <c r="K100" s="5"/>
      <c r="L100" s="5"/>
      <c r="M100" s="5"/>
      <c r="N100" s="5"/>
      <c r="O100" s="43"/>
      <c r="P100" s="5"/>
      <c r="Q100" s="49"/>
      <c r="R100" s="50"/>
      <c r="S100" s="28"/>
      <c r="T100" s="28"/>
      <c r="U100" s="28"/>
      <c r="V100" s="52"/>
      <c r="W100" s="58"/>
      <c r="X100" s="35"/>
      <c r="Y100" s="35"/>
    </row>
    <row r="101" spans="2:25" x14ac:dyDescent="0.25">
      <c r="B101" s="27"/>
      <c r="C101" s="3"/>
      <c r="D101" s="3"/>
      <c r="E101" s="4"/>
      <c r="F101" s="4"/>
      <c r="G101" s="1"/>
      <c r="H101" s="1"/>
      <c r="I101" s="3"/>
      <c r="J101" s="8"/>
      <c r="K101" s="5"/>
      <c r="L101" s="5"/>
      <c r="M101" s="5"/>
      <c r="N101" s="5"/>
      <c r="O101" s="43"/>
      <c r="P101" s="5"/>
      <c r="Q101" s="49"/>
      <c r="R101" s="50"/>
      <c r="S101" s="40"/>
      <c r="T101" s="28"/>
      <c r="U101" s="28"/>
      <c r="V101" s="52"/>
      <c r="W101" s="58"/>
      <c r="X101" s="35"/>
      <c r="Y101" s="35"/>
    </row>
    <row r="102" spans="2:25" x14ac:dyDescent="0.25">
      <c r="B102" s="27"/>
      <c r="C102" s="3"/>
      <c r="D102" s="3"/>
      <c r="E102" s="4"/>
      <c r="F102" s="4"/>
      <c r="G102" s="1"/>
      <c r="H102" s="1"/>
      <c r="I102" s="3"/>
      <c r="J102" s="8"/>
      <c r="K102" s="5"/>
      <c r="L102" s="5"/>
      <c r="M102" s="5"/>
      <c r="N102" s="5"/>
      <c r="O102" s="43"/>
      <c r="P102" s="5"/>
      <c r="Q102" s="49"/>
      <c r="R102" s="50"/>
      <c r="S102" s="40"/>
      <c r="T102" s="28"/>
      <c r="U102" s="28"/>
      <c r="V102" s="52"/>
      <c r="W102" s="58"/>
      <c r="X102" s="35"/>
      <c r="Y102" s="35"/>
    </row>
    <row r="103" spans="2:25" x14ac:dyDescent="0.25">
      <c r="Q103" s="34"/>
      <c r="R103" s="34"/>
      <c r="S103" s="34"/>
      <c r="T103" s="34"/>
      <c r="U103" s="34"/>
      <c r="V103" s="51"/>
      <c r="W103" s="61"/>
      <c r="X103" s="51"/>
    </row>
    <row r="104" spans="2:25" x14ac:dyDescent="0.25">
      <c r="Q104" s="34"/>
      <c r="R104" s="34"/>
      <c r="S104" s="34"/>
      <c r="T104" s="34"/>
      <c r="U104" s="34"/>
      <c r="V104" s="51"/>
      <c r="W104" s="61"/>
      <c r="X104" s="51"/>
    </row>
  </sheetData>
  <pageMargins left="0.75" right="0.75" top="1" bottom="1" header="0.5" footer="0.5"/>
  <pageSetup paperSize="5" scale="67" fitToHeight="0" orientation="landscape" r:id="rId1"/>
  <headerFooter alignWithMargins="0">
    <oddFooter>&amp;L&amp;F  &amp;A&amp;R&amp;D   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39"/>
  <sheetViews>
    <sheetView tabSelected="1" workbookViewId="0">
      <selection activeCell="B5" sqref="B5"/>
    </sheetView>
  </sheetViews>
  <sheetFormatPr defaultRowHeight="13.2" x14ac:dyDescent="0.25"/>
  <cols>
    <col min="1" max="1" width="1.6640625" customWidth="1"/>
    <col min="2" max="2" width="7.5546875" customWidth="1"/>
    <col min="3" max="3" width="2.5546875" customWidth="1"/>
    <col min="4" max="5" width="8.88671875" customWidth="1"/>
    <col min="6" max="6" width="3.109375" customWidth="1"/>
    <col min="8" max="8" width="3.109375" customWidth="1"/>
    <col min="9" max="9" width="10.33203125" customWidth="1"/>
    <col min="10" max="10" width="3.44140625" customWidth="1"/>
    <col min="11" max="11" width="11" customWidth="1"/>
    <col min="12" max="12" width="3.44140625" customWidth="1"/>
    <col min="13" max="13" width="13.6640625" customWidth="1"/>
    <col min="14" max="14" width="2.6640625" customWidth="1"/>
    <col min="15" max="15" width="13.44140625" customWidth="1"/>
    <col min="16" max="16" width="2.5546875" customWidth="1"/>
    <col min="17" max="17" width="13.44140625" customWidth="1"/>
  </cols>
  <sheetData>
    <row r="2" spans="2:17" ht="16.2" x14ac:dyDescent="0.35">
      <c r="B2" s="166" t="s">
        <v>513</v>
      </c>
      <c r="C2" s="167"/>
      <c r="D2" s="167"/>
      <c r="E2" s="167"/>
      <c r="F2" s="167"/>
    </row>
    <row r="3" spans="2:17" ht="16.2" x14ac:dyDescent="0.35">
      <c r="B3" s="168" t="s">
        <v>514</v>
      </c>
    </row>
    <row r="4" spans="2:17" ht="16.2" x14ac:dyDescent="0.35">
      <c r="B4" s="168" t="s">
        <v>515</v>
      </c>
    </row>
    <row r="5" spans="2:17" x14ac:dyDescent="0.25">
      <c r="B5" t="s">
        <v>541</v>
      </c>
    </row>
    <row r="7" spans="2:17" ht="16.2" x14ac:dyDescent="0.35">
      <c r="B7" s="169"/>
      <c r="C7" s="169"/>
      <c r="D7" s="169"/>
      <c r="E7" s="169"/>
      <c r="F7" s="169"/>
      <c r="G7" s="169"/>
      <c r="H7" s="169"/>
      <c r="I7" s="169"/>
      <c r="J7" s="169"/>
      <c r="K7" s="170" t="s">
        <v>516</v>
      </c>
      <c r="L7" s="169"/>
      <c r="M7" s="170" t="s">
        <v>516</v>
      </c>
      <c r="N7" s="170" t="s">
        <v>3</v>
      </c>
      <c r="O7" s="170" t="s">
        <v>516</v>
      </c>
      <c r="P7" s="171"/>
      <c r="Q7" s="170" t="s">
        <v>516</v>
      </c>
    </row>
    <row r="8" spans="2:17" ht="13.8" x14ac:dyDescent="0.3">
      <c r="B8" s="169"/>
      <c r="C8" s="169"/>
      <c r="D8" s="169"/>
      <c r="E8" s="169"/>
      <c r="F8" s="169"/>
      <c r="G8" s="170" t="s">
        <v>516</v>
      </c>
      <c r="H8" s="169"/>
      <c r="I8" s="170" t="s">
        <v>516</v>
      </c>
      <c r="J8" s="169"/>
      <c r="K8" s="170" t="s">
        <v>517</v>
      </c>
      <c r="L8" s="169"/>
      <c r="M8" s="170" t="s">
        <v>518</v>
      </c>
      <c r="N8" s="170" t="s">
        <v>3</v>
      </c>
      <c r="O8" s="170" t="s">
        <v>517</v>
      </c>
      <c r="Q8" s="170" t="s">
        <v>518</v>
      </c>
    </row>
    <row r="9" spans="2:17" ht="13.8" x14ac:dyDescent="0.3">
      <c r="B9" s="170" t="s">
        <v>519</v>
      </c>
      <c r="C9" s="169"/>
      <c r="D9" s="170" t="s">
        <v>520</v>
      </c>
      <c r="E9" s="170"/>
      <c r="F9" s="170"/>
      <c r="G9" s="170" t="s">
        <v>521</v>
      </c>
      <c r="H9" s="170"/>
      <c r="I9" s="170" t="s">
        <v>521</v>
      </c>
      <c r="J9" s="169"/>
      <c r="K9" s="170" t="s">
        <v>522</v>
      </c>
      <c r="L9" s="169"/>
      <c r="M9" s="170" t="s">
        <v>522</v>
      </c>
      <c r="N9" s="170" t="s">
        <v>3</v>
      </c>
      <c r="O9" s="170" t="s">
        <v>523</v>
      </c>
      <c r="Q9" s="170" t="s">
        <v>523</v>
      </c>
    </row>
    <row r="10" spans="2:17" ht="16.2" x14ac:dyDescent="0.35">
      <c r="B10" s="172" t="s">
        <v>524</v>
      </c>
      <c r="C10" s="169"/>
      <c r="D10" s="172" t="s">
        <v>525</v>
      </c>
      <c r="E10" s="172" t="s">
        <v>526</v>
      </c>
      <c r="F10" s="169"/>
      <c r="G10" s="173" t="s">
        <v>527</v>
      </c>
      <c r="H10" s="169"/>
      <c r="I10" s="173" t="s">
        <v>528</v>
      </c>
      <c r="J10" s="169"/>
      <c r="K10" s="173" t="s">
        <v>529</v>
      </c>
      <c r="L10" s="169"/>
      <c r="M10" s="173" t="s">
        <v>529</v>
      </c>
      <c r="N10" s="170" t="s">
        <v>3</v>
      </c>
      <c r="O10" s="173" t="s">
        <v>530</v>
      </c>
      <c r="P10" s="168" t="s">
        <v>3</v>
      </c>
      <c r="Q10" s="173" t="s">
        <v>530</v>
      </c>
    </row>
    <row r="11" spans="2:17" ht="13.8" x14ac:dyDescent="0.3">
      <c r="B11" s="172"/>
      <c r="C11" s="174"/>
      <c r="D11" s="172"/>
      <c r="E11" s="172"/>
      <c r="F11" s="174"/>
      <c r="G11" s="175"/>
      <c r="H11" s="174"/>
      <c r="I11" s="175"/>
      <c r="J11" s="174"/>
      <c r="K11" s="175"/>
      <c r="L11" s="174"/>
      <c r="M11" s="174"/>
      <c r="N11" s="174"/>
      <c r="O11" s="174"/>
    </row>
    <row r="12" spans="2:17" x14ac:dyDescent="0.25">
      <c r="B12">
        <v>3</v>
      </c>
      <c r="D12">
        <v>15</v>
      </c>
      <c r="E12" s="182">
        <v>22</v>
      </c>
      <c r="G12">
        <v>8</v>
      </c>
      <c r="I12">
        <f>G12*30</f>
        <v>240</v>
      </c>
      <c r="K12">
        <v>0</v>
      </c>
      <c r="M12">
        <v>0</v>
      </c>
      <c r="N12" t="s">
        <v>3</v>
      </c>
      <c r="O12">
        <f>G12-K12</f>
        <v>8</v>
      </c>
      <c r="Q12">
        <f>I12-M12</f>
        <v>240</v>
      </c>
    </row>
    <row r="13" spans="2:17" x14ac:dyDescent="0.25">
      <c r="B13">
        <v>5</v>
      </c>
      <c r="D13">
        <v>2</v>
      </c>
      <c r="E13" t="s">
        <v>531</v>
      </c>
      <c r="G13">
        <v>1577</v>
      </c>
      <c r="I13">
        <f t="shared" ref="I13:I22" si="0">G13*30</f>
        <v>47310</v>
      </c>
      <c r="K13">
        <f>ROUND(M13/30,0)</f>
        <v>552</v>
      </c>
      <c r="M13" s="176">
        <v>16560</v>
      </c>
      <c r="O13">
        <f t="shared" ref="O13:O22" si="1">G13-K13</f>
        <v>1025</v>
      </c>
      <c r="Q13">
        <f t="shared" ref="Q13:Q22" si="2">I13-M13</f>
        <v>30750</v>
      </c>
    </row>
    <row r="14" spans="2:17" x14ac:dyDescent="0.25">
      <c r="B14">
        <v>5</v>
      </c>
      <c r="D14">
        <v>7</v>
      </c>
      <c r="E14" t="s">
        <v>532</v>
      </c>
      <c r="G14">
        <v>3</v>
      </c>
      <c r="I14">
        <f t="shared" si="0"/>
        <v>90</v>
      </c>
      <c r="K14">
        <f t="shared" ref="K14:K22" si="3">ROUND(M14/30,0)</f>
        <v>0</v>
      </c>
      <c r="M14">
        <v>0</v>
      </c>
      <c r="O14">
        <f t="shared" si="1"/>
        <v>3</v>
      </c>
      <c r="Q14">
        <f t="shared" si="2"/>
        <v>90</v>
      </c>
    </row>
    <row r="15" spans="2:17" x14ac:dyDescent="0.25">
      <c r="B15">
        <v>7</v>
      </c>
      <c r="D15">
        <v>1</v>
      </c>
      <c r="E15" s="182" t="s">
        <v>508</v>
      </c>
      <c r="G15">
        <v>627</v>
      </c>
      <c r="I15">
        <f t="shared" si="0"/>
        <v>18810</v>
      </c>
      <c r="K15">
        <f t="shared" si="3"/>
        <v>333</v>
      </c>
      <c r="M15" s="176">
        <v>9990</v>
      </c>
      <c r="O15">
        <f t="shared" si="1"/>
        <v>294</v>
      </c>
      <c r="Q15">
        <f t="shared" si="2"/>
        <v>8820</v>
      </c>
    </row>
    <row r="16" spans="2:17" x14ac:dyDescent="0.25">
      <c r="B16">
        <v>7</v>
      </c>
      <c r="D16">
        <v>3</v>
      </c>
      <c r="E16" s="182" t="s">
        <v>533</v>
      </c>
      <c r="G16">
        <v>88</v>
      </c>
      <c r="I16">
        <f t="shared" si="0"/>
        <v>2640</v>
      </c>
      <c r="K16">
        <f t="shared" si="3"/>
        <v>0</v>
      </c>
      <c r="M16" s="176">
        <v>0</v>
      </c>
      <c r="O16">
        <f t="shared" si="1"/>
        <v>88</v>
      </c>
      <c r="Q16">
        <f t="shared" si="2"/>
        <v>2640</v>
      </c>
    </row>
    <row r="17" spans="2:17" x14ac:dyDescent="0.25">
      <c r="B17">
        <v>7</v>
      </c>
      <c r="D17">
        <v>4</v>
      </c>
      <c r="E17" t="s">
        <v>534</v>
      </c>
      <c r="G17">
        <v>1280</v>
      </c>
      <c r="I17">
        <f t="shared" si="0"/>
        <v>38400</v>
      </c>
      <c r="K17">
        <f t="shared" si="3"/>
        <v>127</v>
      </c>
      <c r="M17" s="176">
        <v>3810</v>
      </c>
      <c r="O17">
        <f t="shared" si="1"/>
        <v>1153</v>
      </c>
      <c r="Q17">
        <f t="shared" si="2"/>
        <v>34590</v>
      </c>
    </row>
    <row r="18" spans="2:17" x14ac:dyDescent="0.25">
      <c r="B18">
        <v>7</v>
      </c>
      <c r="D18">
        <v>5</v>
      </c>
      <c r="E18" t="s">
        <v>535</v>
      </c>
      <c r="G18">
        <v>1689</v>
      </c>
      <c r="I18">
        <f t="shared" si="0"/>
        <v>50670</v>
      </c>
      <c r="K18">
        <f t="shared" si="3"/>
        <v>667</v>
      </c>
      <c r="M18" s="176">
        <v>20010</v>
      </c>
      <c r="O18">
        <f t="shared" si="1"/>
        <v>1022</v>
      </c>
      <c r="Q18">
        <f t="shared" si="2"/>
        <v>30660</v>
      </c>
    </row>
    <row r="19" spans="2:17" x14ac:dyDescent="0.25">
      <c r="B19">
        <v>7</v>
      </c>
      <c r="D19">
        <v>6</v>
      </c>
      <c r="E19" t="s">
        <v>536</v>
      </c>
      <c r="G19">
        <v>101</v>
      </c>
      <c r="I19">
        <f t="shared" si="0"/>
        <v>3030</v>
      </c>
      <c r="K19">
        <f t="shared" si="3"/>
        <v>101</v>
      </c>
      <c r="M19" s="176">
        <v>3030</v>
      </c>
      <c r="O19">
        <f t="shared" si="1"/>
        <v>0</v>
      </c>
      <c r="Q19">
        <f t="shared" si="2"/>
        <v>0</v>
      </c>
    </row>
    <row r="20" spans="2:17" x14ac:dyDescent="0.25">
      <c r="B20">
        <v>7</v>
      </c>
      <c r="D20">
        <v>8</v>
      </c>
      <c r="E20" t="s">
        <v>537</v>
      </c>
      <c r="G20">
        <v>772</v>
      </c>
      <c r="I20">
        <f t="shared" si="0"/>
        <v>23160</v>
      </c>
      <c r="K20">
        <f t="shared" si="3"/>
        <v>301</v>
      </c>
      <c r="M20" s="176">
        <v>9030</v>
      </c>
      <c r="O20">
        <f t="shared" si="1"/>
        <v>471</v>
      </c>
      <c r="Q20">
        <f t="shared" si="2"/>
        <v>14130</v>
      </c>
    </row>
    <row r="21" spans="2:17" x14ac:dyDescent="0.25">
      <c r="B21">
        <v>7</v>
      </c>
      <c r="D21">
        <v>9</v>
      </c>
      <c r="E21" t="s">
        <v>538</v>
      </c>
      <c r="G21">
        <v>3605</v>
      </c>
      <c r="I21">
        <f t="shared" si="0"/>
        <v>108150</v>
      </c>
      <c r="K21">
        <f t="shared" si="3"/>
        <v>1253</v>
      </c>
      <c r="M21" s="176">
        <v>37590</v>
      </c>
      <c r="O21">
        <f t="shared" si="1"/>
        <v>2352</v>
      </c>
      <c r="Q21">
        <f t="shared" si="2"/>
        <v>70560</v>
      </c>
    </row>
    <row r="22" spans="2:17" x14ac:dyDescent="0.25">
      <c r="B22">
        <v>8</v>
      </c>
      <c r="D22">
        <v>35</v>
      </c>
      <c r="E22" t="s">
        <v>539</v>
      </c>
      <c r="G22" s="177">
        <f>1500+870</f>
        <v>2370</v>
      </c>
      <c r="I22" s="178">
        <f t="shared" si="0"/>
        <v>71100</v>
      </c>
      <c r="K22" s="178">
        <f t="shared" si="3"/>
        <v>0</v>
      </c>
      <c r="M22" s="179">
        <v>0</v>
      </c>
      <c r="O22" s="178">
        <f t="shared" si="1"/>
        <v>2370</v>
      </c>
      <c r="Q22" s="177">
        <f t="shared" si="2"/>
        <v>71100</v>
      </c>
    </row>
    <row r="23" spans="2:17" x14ac:dyDescent="0.25">
      <c r="K23" t="s">
        <v>3</v>
      </c>
      <c r="Q23" s="180"/>
    </row>
    <row r="24" spans="2:17" ht="13.8" thickBot="1" x14ac:dyDescent="0.3">
      <c r="G24" s="181">
        <f>SUM(G12:G23)</f>
        <v>12120</v>
      </c>
      <c r="I24" s="181">
        <f>SUM(I12:I23)</f>
        <v>363600</v>
      </c>
      <c r="K24" s="181">
        <f>SUM(K12:K23)</f>
        <v>3334</v>
      </c>
      <c r="M24" s="181">
        <f>SUM(M12:M23)</f>
        <v>100020</v>
      </c>
      <c r="O24" s="181">
        <f>SUM(O12:O23)</f>
        <v>8786</v>
      </c>
      <c r="Q24" s="181">
        <f>SUM(Q12:Q23)</f>
        <v>263580</v>
      </c>
    </row>
    <row r="25" spans="2:17" ht="13.8" thickTop="1" x14ac:dyDescent="0.25"/>
    <row r="26" spans="2:17" x14ac:dyDescent="0.25">
      <c r="K26" t="s">
        <v>3</v>
      </c>
    </row>
    <row r="27" spans="2:17" x14ac:dyDescent="0.25">
      <c r="D27" t="s">
        <v>540</v>
      </c>
    </row>
    <row r="28" spans="2:17" x14ac:dyDescent="0.25">
      <c r="K28" t="s">
        <v>3</v>
      </c>
    </row>
    <row r="29" spans="2:17" x14ac:dyDescent="0.25">
      <c r="K29" t="s">
        <v>3</v>
      </c>
    </row>
    <row r="30" spans="2:17" x14ac:dyDescent="0.25">
      <c r="K30" t="s">
        <v>3</v>
      </c>
    </row>
    <row r="31" spans="2:17" x14ac:dyDescent="0.25">
      <c r="K31" t="s">
        <v>3</v>
      </c>
    </row>
    <row r="32" spans="2:17" x14ac:dyDescent="0.25">
      <c r="K32" t="s">
        <v>3</v>
      </c>
    </row>
    <row r="33" spans="11:11" x14ac:dyDescent="0.25">
      <c r="K33" t="s">
        <v>3</v>
      </c>
    </row>
    <row r="34" spans="11:11" x14ac:dyDescent="0.25">
      <c r="K34" t="s">
        <v>3</v>
      </c>
    </row>
    <row r="35" spans="11:11" x14ac:dyDescent="0.25">
      <c r="K35" t="s">
        <v>3</v>
      </c>
    </row>
    <row r="36" spans="11:11" x14ac:dyDescent="0.25">
      <c r="K36" t="s">
        <v>3</v>
      </c>
    </row>
    <row r="37" spans="11:11" x14ac:dyDescent="0.25">
      <c r="K37" t="s">
        <v>3</v>
      </c>
    </row>
    <row r="38" spans="11:11" x14ac:dyDescent="0.25">
      <c r="K38" t="s">
        <v>3</v>
      </c>
    </row>
    <row r="39" spans="11:11" x14ac:dyDescent="0.25">
      <c r="K39" t="s">
        <v>3</v>
      </c>
    </row>
  </sheetData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04"/>
  <sheetViews>
    <sheetView topLeftCell="B195" workbookViewId="0">
      <selection activeCell="H180" sqref="H180"/>
    </sheetView>
  </sheetViews>
  <sheetFormatPr defaultColWidth="9.109375" defaultRowHeight="13.2" x14ac:dyDescent="0.25"/>
  <cols>
    <col min="1" max="1" width="9.109375" style="25"/>
    <col min="2" max="2" width="10" style="25" customWidth="1"/>
    <col min="3" max="3" width="9.109375" style="25"/>
    <col min="4" max="4" width="10.5546875" style="25" customWidth="1"/>
    <col min="5" max="5" width="9.33203125" style="25" customWidth="1"/>
    <col min="6" max="6" width="9.5546875" style="25" customWidth="1"/>
    <col min="7" max="7" width="12.44140625" style="27" customWidth="1"/>
    <col min="8" max="8" width="16.44140625" style="27" customWidth="1"/>
    <col min="9" max="9" width="13" style="25" customWidth="1"/>
    <col min="10" max="10" width="7.6640625" style="25" customWidth="1"/>
    <col min="11" max="14" width="0" style="25" hidden="1" customWidth="1"/>
    <col min="15" max="15" width="0" style="47" hidden="1" customWidth="1"/>
    <col min="16" max="16" width="0" style="25" hidden="1" customWidth="1"/>
    <col min="17" max="17" width="14.33203125" style="25" customWidth="1"/>
    <col min="18" max="18" width="10.88671875" style="25" customWidth="1"/>
    <col min="19" max="19" width="12.33203125" style="25" customWidth="1"/>
    <col min="20" max="20" width="10.6640625" style="25" customWidth="1"/>
    <col min="21" max="21" width="11.88671875" style="25" customWidth="1"/>
    <col min="22" max="22" width="14.88671875" style="38" customWidth="1"/>
    <col min="23" max="23" width="42.33203125" style="27" customWidth="1"/>
    <col min="24" max="25" width="9.109375" style="38"/>
    <col min="26" max="26" width="12.44140625" style="25" customWidth="1"/>
    <col min="27" max="16384" width="9.109375" style="25"/>
  </cols>
  <sheetData>
    <row r="1" spans="2:25" x14ac:dyDescent="0.25">
      <c r="B1" s="41" t="s">
        <v>490</v>
      </c>
      <c r="C1" s="3"/>
      <c r="D1" s="3"/>
      <c r="E1" s="4"/>
      <c r="F1" s="4"/>
      <c r="G1" s="1"/>
      <c r="H1" s="1"/>
      <c r="I1" s="3" t="s">
        <v>19</v>
      </c>
      <c r="J1" s="7">
        <v>30</v>
      </c>
      <c r="K1" s="48" t="s">
        <v>38</v>
      </c>
      <c r="L1" s="5"/>
      <c r="M1" s="5"/>
      <c r="N1" s="5"/>
      <c r="O1" s="43"/>
      <c r="P1" s="5"/>
      <c r="Q1" s="24"/>
      <c r="R1" s="2"/>
      <c r="S1" s="28"/>
      <c r="T1" s="28"/>
      <c r="U1" s="28"/>
      <c r="V1" s="52"/>
      <c r="W1" s="58"/>
      <c r="X1" s="35"/>
      <c r="Y1" s="35"/>
    </row>
    <row r="2" spans="2:25" x14ac:dyDescent="0.25">
      <c r="B2" s="1" t="s">
        <v>33</v>
      </c>
      <c r="C2" s="1"/>
      <c r="D2" s="1"/>
      <c r="E2" s="4"/>
      <c r="F2" s="4"/>
      <c r="G2" s="1"/>
      <c r="H2" s="1"/>
      <c r="I2" s="3"/>
      <c r="J2" s="7"/>
      <c r="K2" s="48" t="s">
        <v>39</v>
      </c>
      <c r="L2" s="5"/>
      <c r="M2" s="5"/>
      <c r="N2" s="5"/>
      <c r="O2" s="43"/>
      <c r="P2" s="5"/>
      <c r="Q2" s="24"/>
      <c r="R2" s="2"/>
      <c r="S2" s="28"/>
      <c r="T2" s="28"/>
      <c r="U2" s="28"/>
      <c r="V2" s="52"/>
      <c r="W2" s="58"/>
      <c r="X2" s="35"/>
      <c r="Y2" s="35"/>
    </row>
    <row r="3" spans="2:25" x14ac:dyDescent="0.25">
      <c r="B3" s="1" t="s">
        <v>34</v>
      </c>
      <c r="C3" s="1"/>
      <c r="D3" s="1"/>
      <c r="E3" s="4"/>
      <c r="F3" s="4"/>
      <c r="G3" s="6" t="s">
        <v>3</v>
      </c>
      <c r="H3" s="1" t="s">
        <v>3</v>
      </c>
      <c r="I3" s="2" t="s">
        <v>3</v>
      </c>
      <c r="J3" s="8"/>
      <c r="K3" s="31" t="s">
        <v>3</v>
      </c>
      <c r="L3" s="5"/>
      <c r="M3" s="31" t="s">
        <v>3</v>
      </c>
      <c r="N3" s="5"/>
      <c r="O3" s="43"/>
      <c r="P3" s="31" t="s">
        <v>3</v>
      </c>
      <c r="Q3" s="24"/>
      <c r="R3" s="2"/>
      <c r="S3" s="28"/>
      <c r="T3" s="28"/>
      <c r="U3" s="28"/>
      <c r="V3" s="52"/>
      <c r="W3" s="58"/>
      <c r="X3" s="35"/>
      <c r="Y3" s="35"/>
    </row>
    <row r="4" spans="2:25" x14ac:dyDescent="0.25">
      <c r="B4" s="1"/>
      <c r="C4" s="3"/>
      <c r="D4" s="3"/>
      <c r="E4" s="4"/>
      <c r="F4" s="4"/>
      <c r="G4" s="32"/>
      <c r="H4" s="1"/>
      <c r="I4" s="32"/>
      <c r="J4" s="8"/>
      <c r="K4" s="32"/>
      <c r="L4" s="5"/>
      <c r="M4" s="32"/>
      <c r="N4" s="2"/>
      <c r="O4" s="43"/>
      <c r="P4" s="2"/>
      <c r="Q4" s="24"/>
      <c r="R4" s="2"/>
      <c r="S4" s="28"/>
      <c r="T4" s="33"/>
      <c r="U4" s="33"/>
      <c r="V4" s="53"/>
      <c r="W4" s="58"/>
      <c r="X4" s="35"/>
      <c r="Y4" s="35"/>
    </row>
    <row r="5" spans="2:25" x14ac:dyDescent="0.25">
      <c r="B5" s="1" t="s">
        <v>40</v>
      </c>
      <c r="C5" s="3"/>
      <c r="D5" s="1"/>
      <c r="E5" s="4"/>
      <c r="F5" s="4"/>
      <c r="G5" s="32"/>
      <c r="H5" s="1"/>
      <c r="I5" s="32"/>
      <c r="J5" s="8"/>
      <c r="K5" s="32"/>
      <c r="L5" s="5"/>
      <c r="M5" s="32"/>
      <c r="N5" s="2"/>
      <c r="O5" s="43"/>
      <c r="P5" s="2"/>
      <c r="Q5" s="24"/>
      <c r="R5" s="2"/>
      <c r="S5" s="28"/>
      <c r="T5" s="33"/>
      <c r="U5" s="33"/>
      <c r="V5" s="53"/>
      <c r="W5" s="58"/>
      <c r="X5" s="35"/>
      <c r="Y5" s="35"/>
    </row>
    <row r="6" spans="2:25" x14ac:dyDescent="0.25">
      <c r="B6" s="1"/>
      <c r="C6" s="3" t="s">
        <v>184</v>
      </c>
      <c r="D6" s="3"/>
      <c r="E6" s="4"/>
      <c r="F6" s="4"/>
      <c r="G6" s="32"/>
      <c r="H6" s="1"/>
      <c r="I6" s="32"/>
      <c r="J6" s="8"/>
      <c r="K6" s="32"/>
      <c r="L6" s="5"/>
      <c r="M6" s="32"/>
      <c r="N6" s="2"/>
      <c r="O6" s="43"/>
      <c r="P6" s="2"/>
      <c r="Q6" s="24"/>
      <c r="R6" s="2"/>
      <c r="S6" s="28"/>
      <c r="T6" s="33"/>
      <c r="U6" s="33"/>
      <c r="V6" s="53"/>
      <c r="W6" s="58"/>
      <c r="X6" s="35"/>
      <c r="Y6" s="35"/>
    </row>
    <row r="7" spans="2:25" x14ac:dyDescent="0.25">
      <c r="B7" s="1"/>
      <c r="C7" s="3"/>
      <c r="D7" s="3"/>
      <c r="E7" s="4"/>
      <c r="F7" s="4"/>
      <c r="G7" s="32"/>
      <c r="H7" s="1"/>
      <c r="I7" s="32"/>
      <c r="J7" s="8"/>
      <c r="K7" s="32"/>
      <c r="L7" s="5"/>
      <c r="M7" s="32"/>
      <c r="N7" s="2"/>
      <c r="O7" s="43"/>
      <c r="P7" s="2"/>
      <c r="Q7" s="24"/>
      <c r="R7" s="2"/>
      <c r="S7" s="28"/>
      <c r="T7" s="33"/>
      <c r="U7" s="33"/>
      <c r="V7" s="53"/>
      <c r="W7" s="58"/>
      <c r="X7" s="35"/>
      <c r="Y7" s="35"/>
    </row>
    <row r="8" spans="2:25" x14ac:dyDescent="0.25">
      <c r="B8" s="1"/>
      <c r="C8" s="3"/>
      <c r="D8" s="3"/>
      <c r="E8" s="4"/>
      <c r="F8" s="4"/>
      <c r="G8" s="32"/>
      <c r="H8" s="1"/>
      <c r="I8" s="32"/>
      <c r="J8" s="8"/>
      <c r="K8" s="32"/>
      <c r="L8" s="5"/>
      <c r="M8" s="32"/>
      <c r="N8" s="2"/>
      <c r="O8" s="43"/>
      <c r="P8" s="2"/>
      <c r="Q8" s="24"/>
      <c r="R8" s="2"/>
      <c r="S8" s="28"/>
      <c r="T8" s="33"/>
      <c r="U8" s="33"/>
      <c r="V8" s="53"/>
      <c r="W8" s="58"/>
      <c r="X8" s="35"/>
      <c r="Y8" s="35"/>
    </row>
    <row r="9" spans="2:25" x14ac:dyDescent="0.25">
      <c r="B9" s="1"/>
      <c r="C9" s="3"/>
      <c r="D9" s="3"/>
      <c r="E9" s="4"/>
      <c r="F9" s="4"/>
      <c r="G9" s="32"/>
      <c r="H9" s="1"/>
      <c r="I9" s="32"/>
      <c r="J9" s="8"/>
      <c r="K9" s="32"/>
      <c r="L9" s="5"/>
      <c r="M9" s="32"/>
      <c r="N9" s="2"/>
      <c r="O9" s="43"/>
      <c r="P9" s="2"/>
      <c r="Q9" s="24"/>
      <c r="R9" s="2"/>
      <c r="S9" s="28"/>
      <c r="T9" s="33"/>
      <c r="U9" s="33"/>
      <c r="V9" s="53"/>
      <c r="W9" s="58"/>
      <c r="X9" s="35"/>
      <c r="Y9" s="35"/>
    </row>
    <row r="10" spans="2:25" x14ac:dyDescent="0.25">
      <c r="B10" s="1"/>
      <c r="C10" s="3"/>
      <c r="D10" s="3"/>
      <c r="E10" s="4"/>
      <c r="F10" s="4"/>
      <c r="G10" s="32"/>
      <c r="H10" s="1"/>
      <c r="I10" s="32"/>
      <c r="J10" s="8"/>
      <c r="K10" s="32"/>
      <c r="L10" s="5"/>
      <c r="M10" s="32"/>
      <c r="N10" s="2"/>
      <c r="O10" s="43"/>
      <c r="P10" s="2"/>
      <c r="Q10" s="24"/>
      <c r="R10" s="2"/>
      <c r="S10" s="28"/>
      <c r="T10" s="33"/>
      <c r="U10" s="33"/>
      <c r="V10" s="53"/>
      <c r="W10" s="58"/>
      <c r="X10" s="35"/>
      <c r="Y10" s="35"/>
    </row>
    <row r="11" spans="2:25" x14ac:dyDescent="0.25">
      <c r="B11" s="16" t="s">
        <v>4</v>
      </c>
      <c r="C11" s="17" t="s">
        <v>5</v>
      </c>
      <c r="D11" s="17" t="s">
        <v>84</v>
      </c>
      <c r="E11" s="18" t="s">
        <v>7</v>
      </c>
      <c r="F11" s="18"/>
      <c r="G11" s="16" t="s">
        <v>8</v>
      </c>
      <c r="H11" s="16" t="s">
        <v>9</v>
      </c>
      <c r="I11" s="17" t="s">
        <v>49</v>
      </c>
      <c r="J11" s="19" t="s">
        <v>10</v>
      </c>
      <c r="K11" s="17" t="s">
        <v>11</v>
      </c>
      <c r="L11" s="17" t="s">
        <v>12</v>
      </c>
      <c r="M11" s="17" t="s">
        <v>13</v>
      </c>
      <c r="N11" s="17" t="s">
        <v>14</v>
      </c>
      <c r="O11" s="44" t="s">
        <v>15</v>
      </c>
      <c r="P11" s="17" t="s">
        <v>16</v>
      </c>
      <c r="Q11" s="20" t="s">
        <v>181</v>
      </c>
      <c r="R11" s="17" t="s">
        <v>17</v>
      </c>
      <c r="S11" s="16" t="s">
        <v>18</v>
      </c>
      <c r="T11" s="21" t="s">
        <v>48</v>
      </c>
      <c r="U11" s="21" t="s">
        <v>47</v>
      </c>
      <c r="V11" s="54" t="s">
        <v>182</v>
      </c>
      <c r="W11" s="59" t="s">
        <v>41</v>
      </c>
      <c r="X11" s="36"/>
      <c r="Y11" s="36"/>
    </row>
    <row r="12" spans="2:25" s="62" customFormat="1" x14ac:dyDescent="0.25">
      <c r="B12" s="1" t="s">
        <v>183</v>
      </c>
      <c r="C12" s="3" t="s">
        <v>31</v>
      </c>
      <c r="D12" s="3" t="s">
        <v>20</v>
      </c>
      <c r="E12" s="4">
        <v>36617</v>
      </c>
      <c r="F12" s="4">
        <v>41213</v>
      </c>
      <c r="G12" s="1" t="s">
        <v>366</v>
      </c>
      <c r="H12" s="1" t="s">
        <v>367</v>
      </c>
      <c r="I12" s="3" t="s">
        <v>368</v>
      </c>
      <c r="J12" s="8">
        <f>(6.138+0.2)/J1</f>
        <v>0.21126666666666666</v>
      </c>
      <c r="K12" s="5"/>
      <c r="L12" s="5"/>
      <c r="M12" s="5"/>
      <c r="N12" s="5"/>
      <c r="O12" s="43"/>
      <c r="P12" s="5"/>
      <c r="Q12" s="24">
        <v>771151</v>
      </c>
      <c r="R12" s="3">
        <v>62</v>
      </c>
      <c r="S12" s="1"/>
      <c r="T12" s="9">
        <f t="shared" ref="T12:T19" si="0">J12*J$1*R12</f>
        <v>392.95600000000002</v>
      </c>
      <c r="U12" s="9"/>
      <c r="V12" s="56">
        <v>232609</v>
      </c>
      <c r="W12" s="105"/>
      <c r="X12" s="36"/>
      <c r="Y12" s="36"/>
    </row>
    <row r="13" spans="2:25" s="62" customFormat="1" x14ac:dyDescent="0.25">
      <c r="B13" s="1" t="s">
        <v>183</v>
      </c>
      <c r="C13" s="3" t="s">
        <v>31</v>
      </c>
      <c r="D13" s="3" t="s">
        <v>20</v>
      </c>
      <c r="E13" s="4">
        <v>36617</v>
      </c>
      <c r="F13" s="4">
        <v>38656</v>
      </c>
      <c r="G13" s="1" t="s">
        <v>369</v>
      </c>
      <c r="H13" s="1" t="s">
        <v>370</v>
      </c>
      <c r="I13" s="3" t="s">
        <v>371</v>
      </c>
      <c r="J13" s="8">
        <f>(6.5854+0.2)/+J1</f>
        <v>0.22617999999999999</v>
      </c>
      <c r="K13" s="5"/>
      <c r="L13" s="5"/>
      <c r="M13" s="5"/>
      <c r="N13" s="5"/>
      <c r="O13" s="43"/>
      <c r="P13" s="5"/>
      <c r="Q13" s="24">
        <v>771156</v>
      </c>
      <c r="R13" s="3">
        <v>120</v>
      </c>
      <c r="S13" s="1"/>
      <c r="T13" s="9">
        <f t="shared" si="0"/>
        <v>814.24800000000005</v>
      </c>
      <c r="U13" s="9"/>
      <c r="V13" s="56">
        <v>232622</v>
      </c>
      <c r="W13" s="105" t="s">
        <v>372</v>
      </c>
      <c r="X13" s="36"/>
      <c r="Y13" s="36"/>
    </row>
    <row r="14" spans="2:25" s="62" customFormat="1" x14ac:dyDescent="0.25">
      <c r="B14" s="1" t="s">
        <v>183</v>
      </c>
      <c r="C14" s="3" t="s">
        <v>31</v>
      </c>
      <c r="D14" s="3" t="s">
        <v>20</v>
      </c>
      <c r="E14" s="4">
        <v>36617</v>
      </c>
      <c r="F14" s="4">
        <v>38656</v>
      </c>
      <c r="G14" s="1" t="s">
        <v>373</v>
      </c>
      <c r="H14" s="1" t="s">
        <v>374</v>
      </c>
      <c r="I14" s="3" t="s">
        <v>376</v>
      </c>
      <c r="J14" s="8">
        <f>+(6.5854+0.2)/+J1</f>
        <v>0.22617999999999999</v>
      </c>
      <c r="K14" s="5"/>
      <c r="L14" s="5"/>
      <c r="M14" s="5"/>
      <c r="N14" s="5"/>
      <c r="O14" s="43"/>
      <c r="P14" s="5"/>
      <c r="Q14" s="24">
        <v>771157</v>
      </c>
      <c r="R14" s="3">
        <v>160</v>
      </c>
      <c r="S14" s="1"/>
      <c r="T14" s="9">
        <f t="shared" si="0"/>
        <v>1085.664</v>
      </c>
      <c r="U14" s="9"/>
      <c r="V14" s="56">
        <v>232646</v>
      </c>
      <c r="W14" s="105" t="s">
        <v>375</v>
      </c>
      <c r="X14" s="36"/>
      <c r="Y14" s="36"/>
    </row>
    <row r="15" spans="2:25" s="62" customFormat="1" x14ac:dyDescent="0.25">
      <c r="B15" s="1" t="s">
        <v>183</v>
      </c>
      <c r="C15" s="3" t="s">
        <v>31</v>
      </c>
      <c r="D15" s="3" t="s">
        <v>20</v>
      </c>
      <c r="E15" s="4">
        <v>36617</v>
      </c>
      <c r="F15" s="4">
        <v>40117</v>
      </c>
      <c r="G15" s="1" t="s">
        <v>374</v>
      </c>
      <c r="H15" s="1" t="s">
        <v>367</v>
      </c>
      <c r="I15" s="3" t="s">
        <v>27</v>
      </c>
      <c r="J15" s="8">
        <f>+(6.5854+0.2)/+J1</f>
        <v>0.22617999999999999</v>
      </c>
      <c r="K15" s="5"/>
      <c r="L15" s="5"/>
      <c r="M15" s="5"/>
      <c r="N15" s="5"/>
      <c r="O15" s="43"/>
      <c r="P15" s="5"/>
      <c r="Q15" s="24">
        <v>771152</v>
      </c>
      <c r="R15" s="3">
        <v>86</v>
      </c>
      <c r="S15" s="1"/>
      <c r="T15" s="9">
        <f t="shared" si="0"/>
        <v>583.5444</v>
      </c>
      <c r="U15" s="9"/>
      <c r="V15" s="56">
        <v>232657</v>
      </c>
      <c r="W15" s="105"/>
      <c r="X15" s="36"/>
      <c r="Y15" s="36"/>
    </row>
    <row r="16" spans="2:25" s="62" customFormat="1" x14ac:dyDescent="0.25">
      <c r="B16" s="1" t="s">
        <v>183</v>
      </c>
      <c r="C16" s="3" t="s">
        <v>31</v>
      </c>
      <c r="D16" s="3" t="s">
        <v>20</v>
      </c>
      <c r="E16" s="4">
        <v>36617</v>
      </c>
      <c r="F16" s="4">
        <v>39021</v>
      </c>
      <c r="G16" s="1" t="s">
        <v>374</v>
      </c>
      <c r="H16" s="1" t="s">
        <v>377</v>
      </c>
      <c r="I16" s="3" t="s">
        <v>378</v>
      </c>
      <c r="J16" s="8">
        <f>+(11.8368+0.2)/+J1</f>
        <v>0.40122666666666668</v>
      </c>
      <c r="K16" s="5"/>
      <c r="L16" s="5"/>
      <c r="M16" s="5"/>
      <c r="N16" s="5"/>
      <c r="O16" s="43"/>
      <c r="P16" s="5"/>
      <c r="Q16" s="24">
        <v>771153</v>
      </c>
      <c r="R16" s="3">
        <v>65</v>
      </c>
      <c r="S16" s="1"/>
      <c r="T16" s="9">
        <f t="shared" si="0"/>
        <v>782.39199999999994</v>
      </c>
      <c r="U16" s="9"/>
      <c r="V16" s="56">
        <v>232680</v>
      </c>
      <c r="W16" s="105"/>
      <c r="X16" s="36"/>
      <c r="Y16" s="36"/>
    </row>
    <row r="17" spans="1:25" s="62" customFormat="1" x14ac:dyDescent="0.25">
      <c r="B17" s="1" t="s">
        <v>183</v>
      </c>
      <c r="C17" s="3" t="s">
        <v>31</v>
      </c>
      <c r="D17" s="3" t="s">
        <v>20</v>
      </c>
      <c r="E17" s="4">
        <v>36617</v>
      </c>
      <c r="F17" s="4">
        <v>36830</v>
      </c>
      <c r="G17" s="1" t="s">
        <v>374</v>
      </c>
      <c r="H17" s="1" t="s">
        <v>379</v>
      </c>
      <c r="I17" s="3" t="s">
        <v>85</v>
      </c>
      <c r="J17" s="8">
        <f>(6.5854+0.2)/+J1</f>
        <v>0.22617999999999999</v>
      </c>
      <c r="K17" s="5"/>
      <c r="L17" s="5"/>
      <c r="M17" s="5"/>
      <c r="N17" s="5"/>
      <c r="O17" s="43"/>
      <c r="P17" s="5"/>
      <c r="Q17" s="24">
        <v>771154</v>
      </c>
      <c r="R17" s="3">
        <v>10</v>
      </c>
      <c r="S17" s="1"/>
      <c r="T17" s="9">
        <f t="shared" si="0"/>
        <v>67.853999999999999</v>
      </c>
      <c r="U17" s="9"/>
      <c r="V17" s="56">
        <v>232686</v>
      </c>
      <c r="W17" s="105"/>
      <c r="X17" s="36"/>
      <c r="Y17" s="36"/>
    </row>
    <row r="18" spans="1:25" s="62" customFormat="1" x14ac:dyDescent="0.25">
      <c r="B18" s="1" t="s">
        <v>183</v>
      </c>
      <c r="C18" s="3" t="s">
        <v>31</v>
      </c>
      <c r="D18" s="3" t="s">
        <v>20</v>
      </c>
      <c r="E18" s="4">
        <v>36617</v>
      </c>
      <c r="F18" s="4">
        <v>36830</v>
      </c>
      <c r="G18" s="1" t="s">
        <v>374</v>
      </c>
      <c r="H18" s="1" t="s">
        <v>373</v>
      </c>
      <c r="I18" s="3" t="s">
        <v>85</v>
      </c>
      <c r="J18" s="8">
        <f>+(6.5854+0.2)/J1</f>
        <v>0.22617999999999999</v>
      </c>
      <c r="K18" s="5"/>
      <c r="L18" s="5"/>
      <c r="M18" s="5"/>
      <c r="N18" s="5"/>
      <c r="O18" s="43"/>
      <c r="P18" s="5"/>
      <c r="Q18" s="24">
        <v>771155</v>
      </c>
      <c r="R18" s="3">
        <v>62</v>
      </c>
      <c r="S18" s="1"/>
      <c r="T18" s="9">
        <f t="shared" si="0"/>
        <v>420.69479999999999</v>
      </c>
      <c r="U18" s="9"/>
      <c r="V18" s="56">
        <v>233314</v>
      </c>
      <c r="W18" s="105" t="s">
        <v>380</v>
      </c>
      <c r="X18" s="36"/>
      <c r="Y18" s="36"/>
    </row>
    <row r="19" spans="1:25" s="80" customFormat="1" x14ac:dyDescent="0.25">
      <c r="A19" s="163"/>
      <c r="B19" s="42" t="s">
        <v>90</v>
      </c>
      <c r="C19" s="72" t="s">
        <v>31</v>
      </c>
      <c r="D19" s="72" t="s">
        <v>86</v>
      </c>
      <c r="E19" s="73">
        <v>36479</v>
      </c>
      <c r="F19" s="73" t="s">
        <v>365</v>
      </c>
      <c r="G19" s="126" t="s">
        <v>87</v>
      </c>
      <c r="H19" s="126" t="s">
        <v>88</v>
      </c>
      <c r="I19" s="72" t="s">
        <v>89</v>
      </c>
      <c r="J19" s="74">
        <f>6.7854/J$1</f>
        <v>0.22617999999999999</v>
      </c>
      <c r="K19" s="75">
        <v>1.12E-2</v>
      </c>
      <c r="L19" s="75">
        <v>2.2000000000000001E-3</v>
      </c>
      <c r="M19" s="75">
        <v>7.1999999999999998E-3</v>
      </c>
      <c r="N19" s="75">
        <v>0</v>
      </c>
      <c r="O19" s="76">
        <v>1.11E-2</v>
      </c>
      <c r="P19" s="75">
        <f>SUM(J19:N19)</f>
        <v>0.24678</v>
      </c>
      <c r="Q19" s="77">
        <v>771013</v>
      </c>
      <c r="R19" s="72">
        <v>0</v>
      </c>
      <c r="S19" s="42"/>
      <c r="T19" s="78">
        <f t="shared" si="0"/>
        <v>0</v>
      </c>
      <c r="U19" s="78"/>
      <c r="V19" s="110">
        <v>142030</v>
      </c>
      <c r="W19" s="164">
        <v>771013</v>
      </c>
      <c r="X19" s="79"/>
      <c r="Y19" s="79"/>
    </row>
    <row r="20" spans="1:25" x14ac:dyDescent="0.25">
      <c r="B20" s="10" t="s">
        <v>3</v>
      </c>
      <c r="C20" s="11" t="s">
        <v>3</v>
      </c>
      <c r="D20" s="12" t="s">
        <v>3</v>
      </c>
      <c r="E20" s="13" t="s">
        <v>3</v>
      </c>
      <c r="F20" s="13"/>
      <c r="G20" s="10" t="s">
        <v>3</v>
      </c>
      <c r="H20" s="30" t="s">
        <v>3</v>
      </c>
      <c r="I20" s="11" t="s">
        <v>3</v>
      </c>
      <c r="J20" s="14"/>
      <c r="K20" s="15"/>
      <c r="L20" s="15"/>
      <c r="M20" s="15"/>
      <c r="N20" s="15"/>
      <c r="O20" s="45"/>
      <c r="P20" s="15"/>
      <c r="Q20" s="26" t="s">
        <v>3</v>
      </c>
      <c r="R20" s="11">
        <f>SUM(R12:R19)</f>
        <v>565</v>
      </c>
      <c r="S20" s="10" t="s">
        <v>3</v>
      </c>
      <c r="T20" s="22">
        <f>SUM(T12:T19)</f>
        <v>4147.3531999999996</v>
      </c>
      <c r="U20" s="22">
        <f>SUM(U12:U19)</f>
        <v>0</v>
      </c>
      <c r="V20" s="55"/>
      <c r="W20" s="10"/>
      <c r="X20" s="36"/>
      <c r="Y20" s="36"/>
    </row>
    <row r="21" spans="1:25" x14ac:dyDescent="0.25">
      <c r="B21" s="16" t="s">
        <v>4</v>
      </c>
      <c r="C21" s="17" t="s">
        <v>5</v>
      </c>
      <c r="D21" s="17" t="s">
        <v>84</v>
      </c>
      <c r="E21" s="18" t="s">
        <v>7</v>
      </c>
      <c r="F21" s="18"/>
      <c r="G21" s="16" t="s">
        <v>8</v>
      </c>
      <c r="H21" s="16" t="s">
        <v>9</v>
      </c>
      <c r="I21" s="17" t="s">
        <v>49</v>
      </c>
      <c r="J21" s="19" t="s">
        <v>10</v>
      </c>
      <c r="K21" s="17" t="s">
        <v>11</v>
      </c>
      <c r="L21" s="17" t="s">
        <v>12</v>
      </c>
      <c r="M21" s="17" t="s">
        <v>13</v>
      </c>
      <c r="N21" s="17" t="s">
        <v>14</v>
      </c>
      <c r="O21" s="44" t="s">
        <v>15</v>
      </c>
      <c r="P21" s="17" t="s">
        <v>16</v>
      </c>
      <c r="Q21" s="20" t="s">
        <v>181</v>
      </c>
      <c r="R21" s="17" t="s">
        <v>17</v>
      </c>
      <c r="S21" s="16" t="s">
        <v>18</v>
      </c>
      <c r="T21" s="21" t="s">
        <v>48</v>
      </c>
      <c r="U21" s="21" t="s">
        <v>47</v>
      </c>
      <c r="V21" s="54" t="s">
        <v>182</v>
      </c>
      <c r="W21" s="59" t="s">
        <v>41</v>
      </c>
      <c r="X21" s="36"/>
      <c r="Y21" s="36"/>
    </row>
    <row r="22" spans="1:25" s="80" customFormat="1" x14ac:dyDescent="0.25">
      <c r="B22" s="42" t="s">
        <v>183</v>
      </c>
      <c r="C22" s="72" t="s">
        <v>26</v>
      </c>
      <c r="D22" s="72" t="s">
        <v>100</v>
      </c>
      <c r="E22" s="73">
        <v>36647</v>
      </c>
      <c r="F22" s="73">
        <v>36677</v>
      </c>
      <c r="G22" s="42" t="s">
        <v>95</v>
      </c>
      <c r="H22" s="42" t="s">
        <v>359</v>
      </c>
      <c r="I22" s="72" t="s">
        <v>93</v>
      </c>
      <c r="J22" s="74">
        <f>5.7114/J$1</f>
        <v>0.19038000000000002</v>
      </c>
      <c r="K22" s="75">
        <v>4.3400000000000001E-2</v>
      </c>
      <c r="L22" s="75">
        <v>2.2000000000000001E-3</v>
      </c>
      <c r="M22" s="75">
        <v>0</v>
      </c>
      <c r="N22" s="75">
        <v>0</v>
      </c>
      <c r="O22" s="76">
        <v>2.2800000000000001E-2</v>
      </c>
      <c r="P22" s="75">
        <f t="shared" ref="P22:P33" si="1">SUM(J22:N22)</f>
        <v>0.23598000000000002</v>
      </c>
      <c r="Q22" s="77" t="s">
        <v>406</v>
      </c>
      <c r="R22" s="72">
        <v>645</v>
      </c>
      <c r="S22" s="42" t="s">
        <v>407</v>
      </c>
      <c r="T22" s="78">
        <f>J22*J$1*R22</f>
        <v>3683.8530000000001</v>
      </c>
      <c r="U22" s="78"/>
      <c r="V22" s="110">
        <v>251967</v>
      </c>
      <c r="W22" s="42"/>
      <c r="X22" s="79"/>
      <c r="Y22" s="79"/>
    </row>
    <row r="23" spans="1:25" s="62" customFormat="1" x14ac:dyDescent="0.25">
      <c r="B23" s="1" t="s">
        <v>183</v>
      </c>
      <c r="C23" s="3" t="s">
        <v>26</v>
      </c>
      <c r="D23" s="3" t="s">
        <v>20</v>
      </c>
      <c r="E23" s="4">
        <v>36220</v>
      </c>
      <c r="F23" s="4">
        <v>37711</v>
      </c>
      <c r="G23" s="29" t="s">
        <v>91</v>
      </c>
      <c r="H23" s="29" t="s">
        <v>92</v>
      </c>
      <c r="I23" s="3" t="s">
        <v>93</v>
      </c>
      <c r="J23" s="8">
        <f>5.627/J$1</f>
        <v>0.18756666666666666</v>
      </c>
      <c r="K23" s="5">
        <v>4.3400000000000001E-2</v>
      </c>
      <c r="L23" s="5">
        <v>2.2000000000000001E-3</v>
      </c>
      <c r="M23" s="5">
        <v>0</v>
      </c>
      <c r="N23" s="5">
        <v>0</v>
      </c>
      <c r="O23" s="43">
        <v>2.2800000000000001E-2</v>
      </c>
      <c r="P23" s="5">
        <f t="shared" si="1"/>
        <v>0.23316666666666666</v>
      </c>
      <c r="Q23" s="24" t="s">
        <v>192</v>
      </c>
      <c r="R23" s="3">
        <v>12</v>
      </c>
      <c r="S23" s="1" t="s">
        <v>191</v>
      </c>
      <c r="T23" s="9">
        <f>J23*J$1*R23</f>
        <v>67.524000000000001</v>
      </c>
      <c r="U23" s="9"/>
      <c r="V23" s="56">
        <v>157024</v>
      </c>
      <c r="W23" s="1"/>
      <c r="X23" s="36"/>
      <c r="Y23" s="36"/>
    </row>
    <row r="24" spans="1:25" s="62" customFormat="1" x14ac:dyDescent="0.25">
      <c r="B24" s="1" t="s">
        <v>183</v>
      </c>
      <c r="C24" s="3" t="s">
        <v>26</v>
      </c>
      <c r="D24" s="3" t="s">
        <v>20</v>
      </c>
      <c r="E24" s="4">
        <v>36220</v>
      </c>
      <c r="F24" s="4">
        <v>37711</v>
      </c>
      <c r="G24" s="29" t="s">
        <v>94</v>
      </c>
      <c r="H24" s="29" t="s">
        <v>92</v>
      </c>
      <c r="I24" s="3" t="s">
        <v>93</v>
      </c>
      <c r="J24" s="8">
        <f>5.627/J$1</f>
        <v>0.18756666666666666</v>
      </c>
      <c r="K24" s="5">
        <v>4.3400000000000001E-2</v>
      </c>
      <c r="L24" s="5">
        <v>2.2000000000000001E-3</v>
      </c>
      <c r="M24" s="5">
        <v>0</v>
      </c>
      <c r="N24" s="5">
        <v>0</v>
      </c>
      <c r="O24" s="43">
        <v>2.2800000000000001E-2</v>
      </c>
      <c r="P24" s="5">
        <f t="shared" si="1"/>
        <v>0.23316666666666666</v>
      </c>
      <c r="Q24" s="24" t="s">
        <v>192</v>
      </c>
      <c r="R24" s="3">
        <v>16</v>
      </c>
      <c r="S24" s="1" t="s">
        <v>191</v>
      </c>
      <c r="T24" s="9">
        <f>J24*J$1*R24</f>
        <v>90.031999999999996</v>
      </c>
      <c r="U24" s="9"/>
      <c r="V24" s="56">
        <v>157024</v>
      </c>
      <c r="W24" s="1"/>
      <c r="X24" s="36"/>
      <c r="Y24" s="36"/>
    </row>
    <row r="25" spans="1:25" s="62" customFormat="1" x14ac:dyDescent="0.25">
      <c r="B25" s="1" t="s">
        <v>183</v>
      </c>
      <c r="C25" s="3" t="s">
        <v>26</v>
      </c>
      <c r="D25" s="3" t="s">
        <v>20</v>
      </c>
      <c r="E25" s="4">
        <v>36220</v>
      </c>
      <c r="F25" s="4">
        <v>37711</v>
      </c>
      <c r="G25" s="29" t="s">
        <v>95</v>
      </c>
      <c r="H25" s="29" t="s">
        <v>92</v>
      </c>
      <c r="I25" s="3" t="s">
        <v>93</v>
      </c>
      <c r="J25" s="8">
        <f>5.627/J$1</f>
        <v>0.18756666666666666</v>
      </c>
      <c r="K25" s="5">
        <v>4.3400000000000001E-2</v>
      </c>
      <c r="L25" s="5">
        <v>2.2000000000000001E-3</v>
      </c>
      <c r="M25" s="5">
        <v>0</v>
      </c>
      <c r="N25" s="5">
        <v>0</v>
      </c>
      <c r="O25" s="43">
        <v>2.2800000000000001E-2</v>
      </c>
      <c r="P25" s="5">
        <f t="shared" si="1"/>
        <v>0.23316666666666666</v>
      </c>
      <c r="Q25" s="24" t="s">
        <v>192</v>
      </c>
      <c r="R25" s="3">
        <v>46</v>
      </c>
      <c r="S25" s="1" t="s">
        <v>191</v>
      </c>
      <c r="T25" s="9">
        <f>J25*J$1*R25</f>
        <v>258.84199999999998</v>
      </c>
      <c r="U25" s="9"/>
      <c r="V25" s="56">
        <v>157024</v>
      </c>
      <c r="W25" s="1"/>
      <c r="X25" s="36"/>
      <c r="Y25" s="36"/>
    </row>
    <row r="26" spans="1:25" s="62" customFormat="1" x14ac:dyDescent="0.25">
      <c r="B26" s="1" t="s">
        <v>183</v>
      </c>
      <c r="C26" s="3" t="s">
        <v>26</v>
      </c>
      <c r="D26" s="3" t="s">
        <v>20</v>
      </c>
      <c r="E26" s="4">
        <v>36220</v>
      </c>
      <c r="F26" s="4">
        <v>38807</v>
      </c>
      <c r="G26" s="1" t="s">
        <v>98</v>
      </c>
      <c r="H26" s="29"/>
      <c r="I26" s="3" t="s">
        <v>97</v>
      </c>
      <c r="J26" s="8">
        <f>1.8533/J$1</f>
        <v>6.1776666666666667E-2</v>
      </c>
      <c r="K26" s="5">
        <v>0</v>
      </c>
      <c r="L26" s="5">
        <v>0</v>
      </c>
      <c r="M26" s="5">
        <v>0</v>
      </c>
      <c r="N26" s="5">
        <v>0</v>
      </c>
      <c r="O26" s="43">
        <v>0</v>
      </c>
      <c r="P26" s="5">
        <f t="shared" si="1"/>
        <v>6.1776666666666667E-2</v>
      </c>
      <c r="Q26" s="24">
        <v>560092</v>
      </c>
      <c r="R26" s="3">
        <v>147</v>
      </c>
      <c r="S26" s="1" t="s">
        <v>193</v>
      </c>
      <c r="T26" s="100">
        <f>J26*J$1*R26</f>
        <v>272.43509999999998</v>
      </c>
      <c r="U26" s="9"/>
      <c r="V26" s="56">
        <v>157045</v>
      </c>
      <c r="W26" s="1"/>
      <c r="X26" s="36"/>
      <c r="Y26" s="36"/>
    </row>
    <row r="27" spans="1:25" s="62" customFormat="1" x14ac:dyDescent="0.25">
      <c r="B27" s="1" t="s">
        <v>183</v>
      </c>
      <c r="C27" s="3" t="s">
        <v>26</v>
      </c>
      <c r="D27" s="3" t="s">
        <v>20</v>
      </c>
      <c r="E27" s="4">
        <v>36220</v>
      </c>
      <c r="F27" s="4">
        <v>38807</v>
      </c>
      <c r="G27" s="1" t="s">
        <v>99</v>
      </c>
      <c r="H27" s="29"/>
      <c r="I27" s="3" t="s">
        <v>97</v>
      </c>
      <c r="J27" s="8">
        <v>1.37E-2</v>
      </c>
      <c r="K27" s="5">
        <v>0</v>
      </c>
      <c r="L27" s="5">
        <v>0</v>
      </c>
      <c r="M27" s="5">
        <v>0</v>
      </c>
      <c r="N27" s="5">
        <v>0</v>
      </c>
      <c r="O27" s="43">
        <v>0</v>
      </c>
      <c r="P27" s="5">
        <f t="shared" si="1"/>
        <v>1.37E-2</v>
      </c>
      <c r="Q27" s="24">
        <v>560092</v>
      </c>
      <c r="R27" s="3">
        <v>16275</v>
      </c>
      <c r="S27" s="1" t="s">
        <v>193</v>
      </c>
      <c r="T27" s="100">
        <f>+R27*J27</f>
        <v>222.9675</v>
      </c>
      <c r="U27" s="9"/>
      <c r="V27" s="56">
        <v>157045</v>
      </c>
      <c r="W27" s="1"/>
      <c r="X27" s="36"/>
      <c r="Y27" s="36"/>
    </row>
    <row r="28" spans="1:25" s="62" customFormat="1" ht="13.5" customHeight="1" x14ac:dyDescent="0.25">
      <c r="B28" s="1" t="s">
        <v>183</v>
      </c>
      <c r="C28" s="3" t="s">
        <v>26</v>
      </c>
      <c r="D28" s="3" t="s">
        <v>20</v>
      </c>
      <c r="E28" s="4">
        <v>36617</v>
      </c>
      <c r="F28" s="4">
        <v>38807</v>
      </c>
      <c r="G28" s="1" t="s">
        <v>98</v>
      </c>
      <c r="H28" s="29"/>
      <c r="I28" s="3" t="s">
        <v>97</v>
      </c>
      <c r="J28" s="8">
        <v>1.8372999999999999</v>
      </c>
      <c r="K28" s="5">
        <v>0</v>
      </c>
      <c r="L28" s="5">
        <v>0</v>
      </c>
      <c r="M28" s="5">
        <v>0</v>
      </c>
      <c r="N28" s="5">
        <v>0</v>
      </c>
      <c r="O28" s="43">
        <v>0</v>
      </c>
      <c r="P28" s="5">
        <f>SUM(J28:N28)</f>
        <v>1.8372999999999999</v>
      </c>
      <c r="Q28" s="24">
        <v>560104</v>
      </c>
      <c r="R28" s="3">
        <v>132</v>
      </c>
      <c r="S28" s="1" t="s">
        <v>353</v>
      </c>
      <c r="T28" s="100">
        <f>J28*J$1*R28</f>
        <v>7275.7079999999996</v>
      </c>
      <c r="U28" s="9"/>
      <c r="V28" s="56">
        <v>231301</v>
      </c>
      <c r="W28" s="1"/>
      <c r="X28" s="36"/>
      <c r="Y28" s="36"/>
    </row>
    <row r="29" spans="1:25" s="62" customFormat="1" ht="13.5" customHeight="1" x14ac:dyDescent="0.25">
      <c r="B29" s="1" t="s">
        <v>183</v>
      </c>
      <c r="C29" s="3" t="s">
        <v>26</v>
      </c>
      <c r="D29" s="3" t="s">
        <v>20</v>
      </c>
      <c r="E29" s="4">
        <v>36617</v>
      </c>
      <c r="F29" s="4">
        <v>38807</v>
      </c>
      <c r="G29" s="1" t="s">
        <v>99</v>
      </c>
      <c r="H29" s="29"/>
      <c r="I29" s="3" t="s">
        <v>97</v>
      </c>
      <c r="J29" s="8">
        <v>1.37E-2</v>
      </c>
      <c r="K29" s="5">
        <v>0</v>
      </c>
      <c r="L29" s="5">
        <v>0</v>
      </c>
      <c r="M29" s="5">
        <v>0</v>
      </c>
      <c r="N29" s="5">
        <v>0</v>
      </c>
      <c r="O29" s="43">
        <v>0</v>
      </c>
      <c r="P29" s="5">
        <f>SUM(J29:N29)</f>
        <v>1.37E-2</v>
      </c>
      <c r="Q29" s="24">
        <v>560104</v>
      </c>
      <c r="R29" s="3">
        <v>14661</v>
      </c>
      <c r="S29" s="1" t="s">
        <v>353</v>
      </c>
      <c r="T29" s="100">
        <f>+R29*J29</f>
        <v>200.85570000000001</v>
      </c>
      <c r="U29" s="9"/>
      <c r="V29" s="56">
        <v>231301</v>
      </c>
      <c r="W29" s="1"/>
      <c r="X29" s="36"/>
      <c r="Y29" s="36"/>
    </row>
    <row r="30" spans="1:25" s="62" customFormat="1" x14ac:dyDescent="0.25">
      <c r="B30" s="1" t="s">
        <v>183</v>
      </c>
      <c r="C30" s="3" t="s">
        <v>26</v>
      </c>
      <c r="D30" s="3" t="s">
        <v>20</v>
      </c>
      <c r="E30" s="4">
        <v>36617</v>
      </c>
      <c r="F30" s="4">
        <v>37711</v>
      </c>
      <c r="G30" s="1" t="s">
        <v>354</v>
      </c>
      <c r="H30" s="29"/>
      <c r="I30" s="3" t="s">
        <v>93</v>
      </c>
      <c r="J30" s="8">
        <f>5.5884/$J$1</f>
        <v>0.18628</v>
      </c>
      <c r="K30" s="5"/>
      <c r="L30" s="5"/>
      <c r="M30" s="5"/>
      <c r="N30" s="5"/>
      <c r="O30" s="43"/>
      <c r="P30" s="5"/>
      <c r="Q30" s="24" t="s">
        <v>357</v>
      </c>
      <c r="R30" s="3">
        <v>15</v>
      </c>
      <c r="S30" s="1" t="s">
        <v>358</v>
      </c>
      <c r="T30" s="100">
        <f>+R30*J30*$J$1</f>
        <v>83.825999999999993</v>
      </c>
      <c r="U30" s="9"/>
      <c r="V30" s="56">
        <v>231285</v>
      </c>
      <c r="W30" s="1"/>
      <c r="X30" s="36"/>
      <c r="Y30" s="36"/>
    </row>
    <row r="31" spans="1:25" s="62" customFormat="1" x14ac:dyDescent="0.25">
      <c r="B31" s="1" t="s">
        <v>183</v>
      </c>
      <c r="C31" s="3" t="s">
        <v>26</v>
      </c>
      <c r="D31" s="3" t="s">
        <v>20</v>
      </c>
      <c r="E31" s="4">
        <v>36617</v>
      </c>
      <c r="F31" s="4">
        <v>37711</v>
      </c>
      <c r="G31" s="1" t="s">
        <v>355</v>
      </c>
      <c r="H31" s="29"/>
      <c r="I31" s="3" t="s">
        <v>93</v>
      </c>
      <c r="J31" s="8">
        <f>5.5884/$J$1</f>
        <v>0.18628</v>
      </c>
      <c r="K31" s="5"/>
      <c r="L31" s="5"/>
      <c r="M31" s="5"/>
      <c r="N31" s="5"/>
      <c r="O31" s="43"/>
      <c r="P31" s="5"/>
      <c r="Q31" s="24" t="s">
        <v>357</v>
      </c>
      <c r="R31" s="3">
        <v>41</v>
      </c>
      <c r="S31" s="1" t="s">
        <v>358</v>
      </c>
      <c r="T31" s="100">
        <f>+R31*J31*$J$1</f>
        <v>229.12440000000001</v>
      </c>
      <c r="U31" s="9"/>
      <c r="V31" s="56">
        <v>231285</v>
      </c>
      <c r="W31" s="1"/>
      <c r="X31" s="36"/>
      <c r="Y31" s="36"/>
    </row>
    <row r="32" spans="1:25" s="62" customFormat="1" x14ac:dyDescent="0.25">
      <c r="B32" s="1" t="s">
        <v>183</v>
      </c>
      <c r="C32" s="3" t="s">
        <v>26</v>
      </c>
      <c r="D32" s="3" t="s">
        <v>20</v>
      </c>
      <c r="E32" s="4">
        <v>36617</v>
      </c>
      <c r="F32" s="4">
        <v>37711</v>
      </c>
      <c r="G32" s="1" t="s">
        <v>356</v>
      </c>
      <c r="H32" s="29"/>
      <c r="I32" s="3" t="s">
        <v>93</v>
      </c>
      <c r="J32" s="8">
        <f>5.5884/$J$1</f>
        <v>0.18628</v>
      </c>
      <c r="K32" s="5"/>
      <c r="L32" s="5"/>
      <c r="M32" s="5"/>
      <c r="N32" s="5"/>
      <c r="O32" s="43"/>
      <c r="P32" s="5"/>
      <c r="Q32" s="24" t="s">
        <v>357</v>
      </c>
      <c r="R32" s="3">
        <v>11</v>
      </c>
      <c r="S32" s="1" t="s">
        <v>358</v>
      </c>
      <c r="T32" s="100">
        <f>+R32*J32*$J$1</f>
        <v>61.4724</v>
      </c>
      <c r="U32" s="9"/>
      <c r="V32" s="56">
        <v>231285</v>
      </c>
      <c r="W32" s="1"/>
      <c r="X32" s="36"/>
      <c r="Y32" s="36"/>
    </row>
    <row r="33" spans="2:25" s="80" customFormat="1" x14ac:dyDescent="0.25">
      <c r="B33" s="42" t="s">
        <v>183</v>
      </c>
      <c r="C33" s="72" t="s">
        <v>26</v>
      </c>
      <c r="D33" s="72" t="s">
        <v>86</v>
      </c>
      <c r="E33" s="73">
        <v>36557</v>
      </c>
      <c r="F33" s="73">
        <v>36677</v>
      </c>
      <c r="G33" s="126" t="s">
        <v>95</v>
      </c>
      <c r="H33" s="126" t="s">
        <v>96</v>
      </c>
      <c r="I33" s="72" t="s">
        <v>93</v>
      </c>
      <c r="J33" s="74">
        <f>5.75/J$1</f>
        <v>0.19166666666666668</v>
      </c>
      <c r="K33" s="75">
        <v>4.3400000000000001E-2</v>
      </c>
      <c r="L33" s="75">
        <v>2.2000000000000001E-3</v>
      </c>
      <c r="M33" s="75">
        <v>0</v>
      </c>
      <c r="N33" s="75">
        <v>0</v>
      </c>
      <c r="O33" s="76">
        <v>2.2800000000000001E-2</v>
      </c>
      <c r="P33" s="75">
        <f t="shared" si="1"/>
        <v>0.23726666666666668</v>
      </c>
      <c r="Q33" s="77" t="s">
        <v>185</v>
      </c>
      <c r="R33" s="72">
        <v>186</v>
      </c>
      <c r="S33" s="42" t="s">
        <v>186</v>
      </c>
      <c r="T33" s="78">
        <f>J33*J$1*R33</f>
        <v>1069.5</v>
      </c>
      <c r="U33" s="78"/>
      <c r="V33" s="110">
        <v>156559</v>
      </c>
      <c r="W33" s="42"/>
      <c r="X33" s="79"/>
      <c r="Y33" s="79"/>
    </row>
    <row r="34" spans="2:25" s="62" customFormat="1" x14ac:dyDescent="0.25">
      <c r="B34" s="1" t="s">
        <v>183</v>
      </c>
      <c r="C34" s="3" t="s">
        <v>26</v>
      </c>
      <c r="D34" s="3" t="s">
        <v>118</v>
      </c>
      <c r="E34" s="4">
        <v>36647</v>
      </c>
      <c r="F34" s="4">
        <v>36677</v>
      </c>
      <c r="G34" s="154">
        <v>10001</v>
      </c>
      <c r="H34" s="154">
        <v>10001</v>
      </c>
      <c r="I34" s="3" t="s">
        <v>97</v>
      </c>
      <c r="J34" s="8">
        <v>1.37E-2</v>
      </c>
      <c r="K34" s="5"/>
      <c r="L34" s="5"/>
      <c r="M34" s="5"/>
      <c r="N34" s="5"/>
      <c r="O34" s="43"/>
      <c r="P34" s="5"/>
      <c r="Q34" s="24">
        <v>530654</v>
      </c>
      <c r="R34" s="3">
        <v>13599</v>
      </c>
      <c r="S34" s="1" t="s">
        <v>309</v>
      </c>
      <c r="T34" s="9">
        <f>J34*1*R34</f>
        <v>186.30629999999999</v>
      </c>
      <c r="U34" s="9"/>
      <c r="V34" s="56">
        <v>251978</v>
      </c>
      <c r="W34" s="1"/>
      <c r="X34" s="36"/>
      <c r="Y34" s="36"/>
    </row>
    <row r="35" spans="2:25" s="62" customFormat="1" x14ac:dyDescent="0.25">
      <c r="B35" s="1" t="s">
        <v>183</v>
      </c>
      <c r="C35" s="3" t="s">
        <v>26</v>
      </c>
      <c r="D35" s="3" t="s">
        <v>118</v>
      </c>
      <c r="E35" s="4">
        <v>36647</v>
      </c>
      <c r="F35" s="4">
        <v>36677</v>
      </c>
      <c r="G35" s="154">
        <v>10001</v>
      </c>
      <c r="H35" s="154">
        <v>10001</v>
      </c>
      <c r="I35" s="3" t="s">
        <v>97</v>
      </c>
      <c r="J35" s="8">
        <v>1.8372999999999999</v>
      </c>
      <c r="K35" s="5"/>
      <c r="L35" s="5"/>
      <c r="M35" s="5"/>
      <c r="N35" s="5"/>
      <c r="O35" s="43"/>
      <c r="P35" s="5"/>
      <c r="Q35" s="24">
        <v>530654</v>
      </c>
      <c r="R35" s="3">
        <v>222</v>
      </c>
      <c r="S35" s="1" t="s">
        <v>309</v>
      </c>
      <c r="T35" s="9">
        <f>J35*1*R35</f>
        <v>407.88059999999996</v>
      </c>
      <c r="U35" s="9"/>
      <c r="V35" s="56">
        <v>251978</v>
      </c>
      <c r="W35" s="1"/>
      <c r="X35" s="36"/>
      <c r="Y35" s="36"/>
    </row>
    <row r="36" spans="2:25" x14ac:dyDescent="0.25">
      <c r="B36" s="10" t="s">
        <v>3</v>
      </c>
      <c r="C36" s="11" t="s">
        <v>3</v>
      </c>
      <c r="D36" s="12" t="s">
        <v>3</v>
      </c>
      <c r="E36" s="13" t="s">
        <v>3</v>
      </c>
      <c r="F36" s="13"/>
      <c r="G36" s="10" t="s">
        <v>3</v>
      </c>
      <c r="H36" s="30" t="s">
        <v>3</v>
      </c>
      <c r="I36" s="11" t="s">
        <v>3</v>
      </c>
      <c r="J36" s="14"/>
      <c r="K36" s="15"/>
      <c r="L36" s="15"/>
      <c r="M36" s="15"/>
      <c r="N36" s="15"/>
      <c r="O36" s="45"/>
      <c r="P36" s="15"/>
      <c r="Q36" s="26" t="s">
        <v>3</v>
      </c>
      <c r="R36" s="11">
        <f>SUM(R22:R33)</f>
        <v>32187</v>
      </c>
      <c r="S36" s="10" t="s">
        <v>3</v>
      </c>
      <c r="T36" s="22">
        <f>SUM(T22:T35)</f>
        <v>14110.327000000001</v>
      </c>
      <c r="U36" s="22">
        <f>SUM(U22:U33)</f>
        <v>0</v>
      </c>
      <c r="V36" s="55"/>
      <c r="W36" s="10"/>
      <c r="X36" s="36"/>
      <c r="Y36" s="36"/>
    </row>
    <row r="37" spans="2:25" x14ac:dyDescent="0.25">
      <c r="B37" s="16" t="s">
        <v>4</v>
      </c>
      <c r="C37" s="17" t="s">
        <v>5</v>
      </c>
      <c r="D37" s="17" t="s">
        <v>6</v>
      </c>
      <c r="E37" s="18" t="s">
        <v>7</v>
      </c>
      <c r="F37" s="18"/>
      <c r="G37" s="16" t="s">
        <v>8</v>
      </c>
      <c r="H37" s="16" t="s">
        <v>9</v>
      </c>
      <c r="I37" s="17" t="s">
        <v>49</v>
      </c>
      <c r="J37" s="19" t="s">
        <v>10</v>
      </c>
      <c r="K37" s="17" t="s">
        <v>11</v>
      </c>
      <c r="L37" s="17" t="s">
        <v>12</v>
      </c>
      <c r="M37" s="17" t="s">
        <v>13</v>
      </c>
      <c r="N37" s="17" t="s">
        <v>14</v>
      </c>
      <c r="O37" s="44" t="s">
        <v>15</v>
      </c>
      <c r="P37" s="17" t="s">
        <v>16</v>
      </c>
      <c r="Q37" s="20" t="s">
        <v>181</v>
      </c>
      <c r="R37" s="17" t="s">
        <v>17</v>
      </c>
      <c r="S37" s="16" t="s">
        <v>18</v>
      </c>
      <c r="T37" s="21" t="s">
        <v>48</v>
      </c>
      <c r="U37" s="21" t="s">
        <v>47</v>
      </c>
      <c r="V37" s="54" t="s">
        <v>182</v>
      </c>
      <c r="W37" s="59" t="str">
        <f>+W21</f>
        <v>Questions</v>
      </c>
      <c r="X37" s="36"/>
      <c r="Y37" s="36"/>
    </row>
    <row r="38" spans="2:25" s="62" customFormat="1" x14ac:dyDescent="0.25">
      <c r="B38" s="1" t="s">
        <v>183</v>
      </c>
      <c r="C38" s="3" t="s">
        <v>44</v>
      </c>
      <c r="D38" s="3" t="s">
        <v>57</v>
      </c>
      <c r="E38" s="4">
        <v>36617</v>
      </c>
      <c r="F38" s="4">
        <v>36830</v>
      </c>
      <c r="G38" s="1" t="s">
        <v>58</v>
      </c>
      <c r="H38" s="1" t="s">
        <v>60</v>
      </c>
      <c r="I38" s="3" t="s">
        <v>59</v>
      </c>
      <c r="J38" s="8">
        <f>6.238/J1</f>
        <v>0.20793333333333336</v>
      </c>
      <c r="K38" s="5">
        <v>0</v>
      </c>
      <c r="L38" s="5">
        <v>0</v>
      </c>
      <c r="M38" s="5">
        <v>0</v>
      </c>
      <c r="N38" s="5">
        <v>0</v>
      </c>
      <c r="O38" s="43">
        <v>0</v>
      </c>
      <c r="P38" s="5">
        <f t="shared" ref="P38:P69" si="2">SUM(J38:N38)</f>
        <v>0.20793333333333336</v>
      </c>
      <c r="Q38" s="24">
        <v>51407</v>
      </c>
      <c r="R38" s="3">
        <v>73754</v>
      </c>
      <c r="S38" s="1" t="s">
        <v>438</v>
      </c>
      <c r="T38" s="9"/>
      <c r="U38" s="9"/>
      <c r="V38" s="56">
        <v>156569</v>
      </c>
      <c r="W38" s="1"/>
      <c r="X38" s="36"/>
      <c r="Y38" s="36"/>
    </row>
    <row r="39" spans="2:25" s="62" customFormat="1" x14ac:dyDescent="0.25">
      <c r="B39" s="1" t="s">
        <v>183</v>
      </c>
      <c r="C39" s="3" t="s">
        <v>44</v>
      </c>
      <c r="D39" s="3" t="s">
        <v>57</v>
      </c>
      <c r="E39" s="4">
        <v>36617</v>
      </c>
      <c r="F39" s="4">
        <v>36830</v>
      </c>
      <c r="G39" s="1" t="s">
        <v>58</v>
      </c>
      <c r="H39" s="1" t="s">
        <v>61</v>
      </c>
      <c r="I39" s="3" t="s">
        <v>59</v>
      </c>
      <c r="J39" s="8">
        <f>1.512/J1</f>
        <v>5.04E-2</v>
      </c>
      <c r="K39" s="5">
        <v>0</v>
      </c>
      <c r="L39" s="5">
        <v>0</v>
      </c>
      <c r="M39" s="5">
        <v>0</v>
      </c>
      <c r="N39" s="5">
        <v>0</v>
      </c>
      <c r="O39" s="43">
        <v>0</v>
      </c>
      <c r="P39" s="5">
        <f t="shared" si="2"/>
        <v>5.04E-2</v>
      </c>
      <c r="Q39" s="24">
        <v>51407</v>
      </c>
      <c r="R39" s="3">
        <v>73754</v>
      </c>
      <c r="S39" s="1" t="s">
        <v>438</v>
      </c>
      <c r="T39" s="9"/>
      <c r="U39" s="9"/>
      <c r="V39" s="56">
        <v>156569</v>
      </c>
      <c r="W39" s="1"/>
      <c r="X39" s="36"/>
      <c r="Y39" s="36"/>
    </row>
    <row r="40" spans="2:25" s="62" customFormat="1" x14ac:dyDescent="0.25">
      <c r="B40" s="1" t="s">
        <v>183</v>
      </c>
      <c r="C40" s="3" t="s">
        <v>44</v>
      </c>
      <c r="D40" s="3"/>
      <c r="E40" s="4">
        <v>36100</v>
      </c>
      <c r="F40" s="4">
        <v>36830</v>
      </c>
      <c r="G40" s="29" t="s">
        <v>101</v>
      </c>
      <c r="H40" s="1" t="s">
        <v>102</v>
      </c>
      <c r="I40" s="3" t="s">
        <v>53</v>
      </c>
      <c r="J40" s="8">
        <f t="shared" ref="J40:J45" si="3">4.56/J$1</f>
        <v>0.152</v>
      </c>
      <c r="K40" s="5">
        <v>1.32E-2</v>
      </c>
      <c r="L40" s="5">
        <v>2.2000000000000001E-3</v>
      </c>
      <c r="M40" s="5">
        <v>7.1999999999999998E-3</v>
      </c>
      <c r="N40" s="5">
        <v>0</v>
      </c>
      <c r="O40" s="43">
        <v>2.1160000000000002E-2</v>
      </c>
      <c r="P40" s="5">
        <f t="shared" si="2"/>
        <v>0.17460000000000001</v>
      </c>
      <c r="Q40" s="24">
        <v>61822</v>
      </c>
      <c r="R40" s="3">
        <v>4000</v>
      </c>
      <c r="S40" s="1" t="s">
        <v>103</v>
      </c>
      <c r="T40" s="9">
        <f t="shared" ref="T40:T46" si="4">J40*J$1*R40</f>
        <v>18240</v>
      </c>
      <c r="U40" s="9"/>
      <c r="V40" s="56">
        <v>162284</v>
      </c>
      <c r="W40" s="1"/>
      <c r="X40" s="36"/>
      <c r="Y40" s="36"/>
    </row>
    <row r="41" spans="2:25" s="62" customFormat="1" x14ac:dyDescent="0.25">
      <c r="B41" s="1" t="s">
        <v>183</v>
      </c>
      <c r="C41" s="3" t="s">
        <v>44</v>
      </c>
      <c r="D41" s="3" t="s">
        <v>35</v>
      </c>
      <c r="E41" s="4">
        <v>36526</v>
      </c>
      <c r="F41" s="4">
        <v>36830</v>
      </c>
      <c r="G41" s="1" t="s">
        <v>104</v>
      </c>
      <c r="H41" s="1" t="s">
        <v>167</v>
      </c>
      <c r="I41" s="3" t="s">
        <v>53</v>
      </c>
      <c r="J41" s="8">
        <f t="shared" si="3"/>
        <v>0.152</v>
      </c>
      <c r="K41" s="5">
        <v>1.32E-2</v>
      </c>
      <c r="L41" s="5">
        <v>2.2000000000000001E-3</v>
      </c>
      <c r="M41" s="5">
        <v>7.4999999999999997E-3</v>
      </c>
      <c r="N41" s="5">
        <v>0</v>
      </c>
      <c r="O41" s="43">
        <v>2.1160000000000002E-2</v>
      </c>
      <c r="P41" s="5">
        <f>SUM(J41:N41)</f>
        <v>0.1749</v>
      </c>
      <c r="Q41" s="24">
        <v>61825</v>
      </c>
      <c r="R41" s="3">
        <v>2000</v>
      </c>
      <c r="S41" s="29" t="s">
        <v>165</v>
      </c>
      <c r="T41" s="9">
        <f t="shared" si="4"/>
        <v>9120</v>
      </c>
      <c r="U41" s="9"/>
      <c r="V41" s="56">
        <v>156570</v>
      </c>
      <c r="W41" s="9"/>
      <c r="X41" s="36"/>
      <c r="Y41" s="36"/>
    </row>
    <row r="42" spans="2:25" s="62" customFormat="1" x14ac:dyDescent="0.25">
      <c r="B42" s="1" t="s">
        <v>183</v>
      </c>
      <c r="C42" s="3" t="s">
        <v>44</v>
      </c>
      <c r="D42" s="3" t="s">
        <v>35</v>
      </c>
      <c r="E42" s="4">
        <v>36526</v>
      </c>
      <c r="F42" s="4">
        <v>36830</v>
      </c>
      <c r="G42" s="1" t="s">
        <v>110</v>
      </c>
      <c r="H42" s="1" t="s">
        <v>167</v>
      </c>
      <c r="I42" s="3" t="s">
        <v>53</v>
      </c>
      <c r="J42" s="8">
        <f t="shared" si="3"/>
        <v>0.152</v>
      </c>
      <c r="K42" s="5">
        <v>1.32E-2</v>
      </c>
      <c r="L42" s="5">
        <v>2.2000000000000001E-3</v>
      </c>
      <c r="M42" s="5">
        <v>7.4999999999999997E-3</v>
      </c>
      <c r="N42" s="5">
        <v>0</v>
      </c>
      <c r="O42" s="43">
        <v>2.1160000000000002E-2</v>
      </c>
      <c r="P42" s="5">
        <f>SUM(J42:N42)</f>
        <v>0.1749</v>
      </c>
      <c r="Q42" s="24">
        <v>61825</v>
      </c>
      <c r="R42" s="3">
        <v>5000</v>
      </c>
      <c r="S42" s="29" t="s">
        <v>165</v>
      </c>
      <c r="T42" s="9">
        <f t="shared" si="4"/>
        <v>22799.999999999996</v>
      </c>
      <c r="U42" s="9"/>
      <c r="V42" s="56">
        <v>156570</v>
      </c>
      <c r="W42" s="9"/>
      <c r="X42" s="36"/>
      <c r="Y42" s="36"/>
    </row>
    <row r="43" spans="2:25" s="62" customFormat="1" x14ac:dyDescent="0.25">
      <c r="B43" s="1" t="s">
        <v>183</v>
      </c>
      <c r="C43" s="3" t="s">
        <v>44</v>
      </c>
      <c r="D43" s="3" t="s">
        <v>35</v>
      </c>
      <c r="E43" s="4">
        <v>36526</v>
      </c>
      <c r="F43" s="4">
        <v>36830</v>
      </c>
      <c r="G43" s="1" t="s">
        <v>166</v>
      </c>
      <c r="H43" s="1" t="s">
        <v>167</v>
      </c>
      <c r="I43" s="3" t="s">
        <v>53</v>
      </c>
      <c r="J43" s="8">
        <f t="shared" si="3"/>
        <v>0.152</v>
      </c>
      <c r="K43" s="5">
        <v>1.32E-2</v>
      </c>
      <c r="L43" s="5">
        <v>2.2000000000000001E-3</v>
      </c>
      <c r="M43" s="5">
        <v>7.4999999999999997E-3</v>
      </c>
      <c r="N43" s="5">
        <v>0</v>
      </c>
      <c r="O43" s="43">
        <v>2.1160000000000002E-2</v>
      </c>
      <c r="P43" s="5">
        <f>SUM(J43:N43)</f>
        <v>0.1749</v>
      </c>
      <c r="Q43" s="24">
        <v>61825</v>
      </c>
      <c r="R43" s="3">
        <v>1000</v>
      </c>
      <c r="S43" s="29" t="s">
        <v>165</v>
      </c>
      <c r="T43" s="9">
        <f t="shared" si="4"/>
        <v>4560</v>
      </c>
      <c r="U43" s="9"/>
      <c r="V43" s="56">
        <v>156570</v>
      </c>
      <c r="W43" s="9"/>
      <c r="X43" s="36"/>
      <c r="Y43" s="36"/>
    </row>
    <row r="44" spans="2:25" s="62" customFormat="1" x14ac:dyDescent="0.25">
      <c r="B44" s="1" t="s">
        <v>183</v>
      </c>
      <c r="C44" s="3" t="s">
        <v>44</v>
      </c>
      <c r="D44" s="3"/>
      <c r="E44" s="4">
        <v>36100</v>
      </c>
      <c r="F44" s="4">
        <v>36830</v>
      </c>
      <c r="G44" s="1" t="s">
        <v>104</v>
      </c>
      <c r="H44" s="29" t="s">
        <v>105</v>
      </c>
      <c r="I44" s="3" t="s">
        <v>53</v>
      </c>
      <c r="J44" s="8">
        <f t="shared" si="3"/>
        <v>0.152</v>
      </c>
      <c r="K44" s="5">
        <v>1.32E-2</v>
      </c>
      <c r="L44" s="5">
        <v>2.2000000000000001E-3</v>
      </c>
      <c r="M44" s="5">
        <v>7.1999999999999998E-3</v>
      </c>
      <c r="N44" s="5">
        <v>0</v>
      </c>
      <c r="O44" s="43">
        <v>2.1160000000000002E-2</v>
      </c>
      <c r="P44" s="5">
        <f t="shared" si="2"/>
        <v>0.17460000000000001</v>
      </c>
      <c r="Q44" s="24">
        <v>61838</v>
      </c>
      <c r="R44" s="3">
        <v>1000</v>
      </c>
      <c r="S44" s="1" t="s">
        <v>106</v>
      </c>
      <c r="T44" s="9">
        <f t="shared" si="4"/>
        <v>4560</v>
      </c>
      <c r="U44" s="9"/>
      <c r="V44" s="56">
        <v>156571</v>
      </c>
      <c r="W44" s="1"/>
      <c r="X44" s="36"/>
      <c r="Y44" s="36"/>
    </row>
    <row r="45" spans="2:25" s="62" customFormat="1" x14ac:dyDescent="0.25">
      <c r="B45" s="1" t="s">
        <v>183</v>
      </c>
      <c r="C45" s="3" t="s">
        <v>44</v>
      </c>
      <c r="D45" s="3" t="s">
        <v>35</v>
      </c>
      <c r="E45" s="4">
        <v>36526</v>
      </c>
      <c r="F45" s="4">
        <v>36830</v>
      </c>
      <c r="G45" s="1" t="s">
        <v>104</v>
      </c>
      <c r="H45" s="1" t="s">
        <v>169</v>
      </c>
      <c r="I45" s="3" t="s">
        <v>53</v>
      </c>
      <c r="J45" s="8">
        <f t="shared" si="3"/>
        <v>0.152</v>
      </c>
      <c r="K45" s="5">
        <v>1.32E-2</v>
      </c>
      <c r="L45" s="5">
        <v>2.2000000000000001E-3</v>
      </c>
      <c r="M45" s="5">
        <v>7.4999999999999997E-3</v>
      </c>
      <c r="N45" s="5">
        <v>0</v>
      </c>
      <c r="O45" s="43">
        <v>2.1160000000000002E-2</v>
      </c>
      <c r="P45" s="5">
        <f>SUM(J45:N45)</f>
        <v>0.1749</v>
      </c>
      <c r="Q45" s="24">
        <v>61990</v>
      </c>
      <c r="R45" s="3">
        <v>2000</v>
      </c>
      <c r="S45" s="29" t="s">
        <v>168</v>
      </c>
      <c r="T45" s="9">
        <f t="shared" si="4"/>
        <v>9120</v>
      </c>
      <c r="U45" s="9"/>
      <c r="V45" s="56">
        <v>156573</v>
      </c>
      <c r="W45" s="9"/>
      <c r="X45" s="36"/>
      <c r="Y45" s="36"/>
    </row>
    <row r="46" spans="2:25" s="62" customFormat="1" x14ac:dyDescent="0.25">
      <c r="B46" s="1" t="s">
        <v>183</v>
      </c>
      <c r="C46" s="3" t="s">
        <v>44</v>
      </c>
      <c r="D46" s="3" t="s">
        <v>35</v>
      </c>
      <c r="E46" s="4">
        <v>36465</v>
      </c>
      <c r="F46" s="4">
        <v>36891</v>
      </c>
      <c r="G46" s="1"/>
      <c r="H46" s="1"/>
      <c r="I46" s="3" t="s">
        <v>53</v>
      </c>
      <c r="J46" s="8">
        <f>3.0417/30.417</f>
        <v>9.9999999999999992E-2</v>
      </c>
      <c r="K46" s="5">
        <v>1.32E-2</v>
      </c>
      <c r="L46" s="5">
        <v>2.2000000000000001E-3</v>
      </c>
      <c r="M46" s="5">
        <v>7.4999999999999997E-3</v>
      </c>
      <c r="N46" s="5">
        <v>0</v>
      </c>
      <c r="O46" s="43">
        <v>2.1160000000000002E-2</v>
      </c>
      <c r="P46" s="5">
        <f>SUM(J46:N46)</f>
        <v>0.12289999999999998</v>
      </c>
      <c r="Q46" s="24">
        <v>62164</v>
      </c>
      <c r="R46" s="155">
        <v>2000</v>
      </c>
      <c r="S46" s="29" t="s">
        <v>298</v>
      </c>
      <c r="T46" s="9">
        <f t="shared" si="4"/>
        <v>5999.9999999999991</v>
      </c>
      <c r="U46" s="56"/>
      <c r="V46" s="36" t="s">
        <v>299</v>
      </c>
      <c r="W46" s="36"/>
    </row>
    <row r="47" spans="2:25" s="62" customFormat="1" x14ac:dyDescent="0.25">
      <c r="B47" s="1" t="s">
        <v>183</v>
      </c>
      <c r="C47" s="3" t="s">
        <v>44</v>
      </c>
      <c r="D47" s="3" t="s">
        <v>57</v>
      </c>
      <c r="E47" s="4">
        <v>36617</v>
      </c>
      <c r="F47" s="4">
        <v>36799</v>
      </c>
      <c r="G47" s="1" t="s">
        <v>58</v>
      </c>
      <c r="H47" s="1" t="s">
        <v>83</v>
      </c>
      <c r="I47" s="3" t="s">
        <v>82</v>
      </c>
      <c r="J47" s="8">
        <f>6.029/J$1</f>
        <v>0.20096666666666665</v>
      </c>
      <c r="K47" s="5">
        <v>1.2999999999999999E-2</v>
      </c>
      <c r="L47" s="5">
        <v>2.2000000000000001E-3</v>
      </c>
      <c r="M47" s="5">
        <v>7.1999999999999998E-3</v>
      </c>
      <c r="N47" s="5">
        <v>0</v>
      </c>
      <c r="O47" s="43">
        <v>2.1160000000000002E-2</v>
      </c>
      <c r="P47" s="5">
        <f t="shared" si="2"/>
        <v>0.22336666666666669</v>
      </c>
      <c r="Q47" s="24">
        <v>67693</v>
      </c>
      <c r="R47" s="3">
        <v>54327</v>
      </c>
      <c r="S47" s="1" t="s">
        <v>418</v>
      </c>
      <c r="T47" s="9">
        <f>J47*J$1*R47</f>
        <v>327537.48300000001</v>
      </c>
      <c r="U47" s="9"/>
      <c r="V47" s="56">
        <v>231378</v>
      </c>
      <c r="W47" s="1"/>
      <c r="X47" s="36"/>
      <c r="Y47" s="36"/>
    </row>
    <row r="48" spans="2:25" s="62" customFormat="1" x14ac:dyDescent="0.25">
      <c r="B48" s="1" t="s">
        <v>183</v>
      </c>
      <c r="C48" s="3" t="s">
        <v>44</v>
      </c>
      <c r="D48" s="3" t="s">
        <v>57</v>
      </c>
      <c r="E48" s="4">
        <v>36617</v>
      </c>
      <c r="F48" s="4">
        <v>36981</v>
      </c>
      <c r="G48" s="1" t="s">
        <v>58</v>
      </c>
      <c r="H48" s="1" t="s">
        <v>60</v>
      </c>
      <c r="I48" s="3" t="s">
        <v>59</v>
      </c>
      <c r="J48" s="8">
        <v>2.9100000000000001E-2</v>
      </c>
      <c r="K48" s="5">
        <v>0</v>
      </c>
      <c r="L48" s="5">
        <v>0</v>
      </c>
      <c r="M48" s="5">
        <v>0</v>
      </c>
      <c r="N48" s="5">
        <v>0</v>
      </c>
      <c r="O48" s="43">
        <v>0</v>
      </c>
      <c r="P48" s="5">
        <f t="shared" si="2"/>
        <v>2.9100000000000001E-2</v>
      </c>
      <c r="Q48" s="24">
        <v>67713</v>
      </c>
      <c r="R48" s="3">
        <v>6050607</v>
      </c>
      <c r="S48" s="1" t="s">
        <v>419</v>
      </c>
      <c r="T48" s="9">
        <f>J48*R48</f>
        <v>176072.6637</v>
      </c>
      <c r="U48" s="9"/>
      <c r="V48" s="56">
        <v>235876</v>
      </c>
      <c r="W48" s="1"/>
      <c r="X48" s="36"/>
      <c r="Y48" s="36"/>
    </row>
    <row r="49" spans="2:25" s="62" customFormat="1" x14ac:dyDescent="0.25">
      <c r="B49" s="1" t="s">
        <v>183</v>
      </c>
      <c r="C49" s="3" t="s">
        <v>44</v>
      </c>
      <c r="D49" s="3" t="s">
        <v>57</v>
      </c>
      <c r="E49" s="4">
        <v>36617</v>
      </c>
      <c r="F49" s="4">
        <v>36981</v>
      </c>
      <c r="G49" s="1" t="s">
        <v>58</v>
      </c>
      <c r="H49" s="1" t="s">
        <v>61</v>
      </c>
      <c r="I49" s="3" t="s">
        <v>59</v>
      </c>
      <c r="J49" s="8">
        <v>1.524</v>
      </c>
      <c r="K49" s="5">
        <v>0</v>
      </c>
      <c r="L49" s="5">
        <v>0</v>
      </c>
      <c r="M49" s="5">
        <v>0</v>
      </c>
      <c r="N49" s="5">
        <v>0</v>
      </c>
      <c r="O49" s="43">
        <v>0</v>
      </c>
      <c r="P49" s="5">
        <f t="shared" si="2"/>
        <v>1.524</v>
      </c>
      <c r="Q49" s="24">
        <v>67713</v>
      </c>
      <c r="R49" s="3">
        <v>108648</v>
      </c>
      <c r="S49" s="1" t="s">
        <v>419</v>
      </c>
      <c r="T49" s="9">
        <f>J49*R49</f>
        <v>165579.552</v>
      </c>
      <c r="U49" s="9"/>
      <c r="V49" s="56">
        <v>235876</v>
      </c>
      <c r="W49" s="1"/>
      <c r="X49" s="36"/>
      <c r="Y49" s="36"/>
    </row>
    <row r="50" spans="2:25" s="62" customFormat="1" x14ac:dyDescent="0.25">
      <c r="B50" s="1" t="s">
        <v>183</v>
      </c>
      <c r="C50" s="3" t="s">
        <v>44</v>
      </c>
      <c r="D50" s="3" t="s">
        <v>51</v>
      </c>
      <c r="E50" s="4">
        <v>36281</v>
      </c>
      <c r="F50" s="4">
        <v>36646</v>
      </c>
      <c r="G50" s="1" t="s">
        <v>52</v>
      </c>
      <c r="H50" s="1" t="s">
        <v>55</v>
      </c>
      <c r="I50" s="3" t="s">
        <v>53</v>
      </c>
      <c r="J50" s="8">
        <f>6.449/J$1</f>
        <v>0.21496666666666667</v>
      </c>
      <c r="K50" s="5">
        <v>1.32E-2</v>
      </c>
      <c r="L50" s="5">
        <v>2.2000000000000001E-3</v>
      </c>
      <c r="M50" s="5">
        <v>7.1999999999999998E-3</v>
      </c>
      <c r="N50" s="5">
        <v>0</v>
      </c>
      <c r="O50" s="43">
        <v>2.1160000000000002E-2</v>
      </c>
      <c r="P50" s="5">
        <f t="shared" si="2"/>
        <v>0.23756666666666668</v>
      </c>
      <c r="Q50" s="24">
        <v>63557</v>
      </c>
      <c r="R50" s="3">
        <v>33</v>
      </c>
      <c r="S50" s="1" t="s">
        <v>62</v>
      </c>
      <c r="T50" s="9">
        <f t="shared" ref="T50:T71" si="5">J50*J$1*R50</f>
        <v>212.81700000000001</v>
      </c>
      <c r="U50" s="9"/>
      <c r="V50" s="56">
        <v>156581</v>
      </c>
      <c r="W50" s="1"/>
      <c r="X50" s="36"/>
      <c r="Y50" s="36"/>
    </row>
    <row r="51" spans="2:25" s="62" customFormat="1" x14ac:dyDescent="0.25">
      <c r="B51" s="1" t="s">
        <v>183</v>
      </c>
      <c r="C51" s="3" t="s">
        <v>44</v>
      </c>
      <c r="D51" s="3" t="s">
        <v>51</v>
      </c>
      <c r="E51" s="4">
        <v>36312</v>
      </c>
      <c r="F51" s="4">
        <v>36677</v>
      </c>
      <c r="G51" s="1" t="s">
        <v>52</v>
      </c>
      <c r="H51" s="1" t="s">
        <v>55</v>
      </c>
      <c r="I51" s="3" t="s">
        <v>53</v>
      </c>
      <c r="J51" s="8">
        <f t="shared" ref="J51:J58" si="6">6.449/J$1</f>
        <v>0.21496666666666667</v>
      </c>
      <c r="K51" s="5">
        <v>1.32E-2</v>
      </c>
      <c r="L51" s="5">
        <v>2.2000000000000001E-3</v>
      </c>
      <c r="M51" s="5">
        <v>7.1999999999999998E-3</v>
      </c>
      <c r="N51" s="5">
        <v>0</v>
      </c>
      <c r="O51" s="43">
        <v>2.1160000000000002E-2</v>
      </c>
      <c r="P51" s="5">
        <f t="shared" si="2"/>
        <v>0.23756666666666668</v>
      </c>
      <c r="Q51" s="24">
        <v>63822</v>
      </c>
      <c r="R51" s="3">
        <v>303</v>
      </c>
      <c r="S51" s="1" t="s">
        <v>63</v>
      </c>
      <c r="T51" s="9">
        <f t="shared" si="5"/>
        <v>1954.047</v>
      </c>
      <c r="U51" s="9"/>
      <c r="V51" s="56">
        <v>156583</v>
      </c>
      <c r="W51" s="1"/>
      <c r="X51" s="36"/>
      <c r="Y51" s="36"/>
    </row>
    <row r="52" spans="2:25" s="62" customFormat="1" x14ac:dyDescent="0.25">
      <c r="B52" s="1" t="s">
        <v>183</v>
      </c>
      <c r="C52" s="3" t="s">
        <v>44</v>
      </c>
      <c r="D52" s="3" t="s">
        <v>50</v>
      </c>
      <c r="E52" s="4">
        <v>36312</v>
      </c>
      <c r="F52" s="4">
        <v>36677</v>
      </c>
      <c r="G52" s="1" t="s">
        <v>52</v>
      </c>
      <c r="H52" s="1" t="s">
        <v>56</v>
      </c>
      <c r="I52" s="3" t="s">
        <v>53</v>
      </c>
      <c r="J52" s="8">
        <f t="shared" si="6"/>
        <v>0.21496666666666667</v>
      </c>
      <c r="K52" s="5">
        <v>1.32E-2</v>
      </c>
      <c r="L52" s="5">
        <v>2.2000000000000001E-3</v>
      </c>
      <c r="M52" s="5">
        <v>7.1999999999999998E-3</v>
      </c>
      <c r="N52" s="5">
        <v>0</v>
      </c>
      <c r="O52" s="43">
        <v>2.1160000000000002E-2</v>
      </c>
      <c r="P52" s="5">
        <f t="shared" si="2"/>
        <v>0.23756666666666668</v>
      </c>
      <c r="Q52" s="24">
        <v>63825</v>
      </c>
      <c r="R52" s="3">
        <v>213</v>
      </c>
      <c r="S52" s="1" t="s">
        <v>64</v>
      </c>
      <c r="T52" s="9">
        <f t="shared" si="5"/>
        <v>1373.6369999999999</v>
      </c>
      <c r="U52" s="9"/>
      <c r="V52" s="56">
        <v>156584</v>
      </c>
      <c r="W52" s="1"/>
      <c r="X52" s="36"/>
      <c r="Y52" s="36"/>
    </row>
    <row r="53" spans="2:25" s="62" customFormat="1" x14ac:dyDescent="0.25">
      <c r="B53" s="1" t="s">
        <v>183</v>
      </c>
      <c r="C53" s="3" t="s">
        <v>44</v>
      </c>
      <c r="D53" s="3" t="s">
        <v>51</v>
      </c>
      <c r="E53" s="4">
        <v>36342</v>
      </c>
      <c r="F53" s="4">
        <v>36707</v>
      </c>
      <c r="G53" s="1" t="s">
        <v>52</v>
      </c>
      <c r="H53" s="1" t="s">
        <v>55</v>
      </c>
      <c r="I53" s="3" t="s">
        <v>53</v>
      </c>
      <c r="J53" s="8">
        <f t="shared" si="6"/>
        <v>0.21496666666666667</v>
      </c>
      <c r="K53" s="5">
        <v>1.32E-2</v>
      </c>
      <c r="L53" s="5">
        <v>2.2000000000000001E-3</v>
      </c>
      <c r="M53" s="5">
        <v>7.1999999999999998E-3</v>
      </c>
      <c r="N53" s="5">
        <v>0</v>
      </c>
      <c r="O53" s="43">
        <v>2.1160000000000002E-2</v>
      </c>
      <c r="P53" s="5">
        <f t="shared" si="2"/>
        <v>0.23756666666666668</v>
      </c>
      <c r="Q53" s="24">
        <v>64034</v>
      </c>
      <c r="R53" s="3">
        <v>911</v>
      </c>
      <c r="S53" s="1" t="s">
        <v>65</v>
      </c>
      <c r="T53" s="9">
        <f t="shared" si="5"/>
        <v>5875.0389999999998</v>
      </c>
      <c r="U53" s="9"/>
      <c r="V53" s="56">
        <v>156585</v>
      </c>
      <c r="W53" s="1"/>
      <c r="X53" s="36"/>
      <c r="Y53" s="36"/>
    </row>
    <row r="54" spans="2:25" s="62" customFormat="1" x14ac:dyDescent="0.25">
      <c r="B54" s="1" t="s">
        <v>183</v>
      </c>
      <c r="C54" s="3" t="s">
        <v>44</v>
      </c>
      <c r="D54" s="3" t="s">
        <v>50</v>
      </c>
      <c r="E54" s="4">
        <v>36342</v>
      </c>
      <c r="F54" s="4">
        <v>36707</v>
      </c>
      <c r="G54" s="1" t="s">
        <v>52</v>
      </c>
      <c r="H54" s="1" t="s">
        <v>54</v>
      </c>
      <c r="I54" s="3" t="s">
        <v>53</v>
      </c>
      <c r="J54" s="8">
        <f t="shared" si="6"/>
        <v>0.21496666666666667</v>
      </c>
      <c r="K54" s="5">
        <v>1.32E-2</v>
      </c>
      <c r="L54" s="5">
        <v>2.2000000000000001E-3</v>
      </c>
      <c r="M54" s="5">
        <v>7.1999999999999998E-3</v>
      </c>
      <c r="N54" s="5">
        <v>0</v>
      </c>
      <c r="O54" s="43">
        <v>2.1160000000000002E-2</v>
      </c>
      <c r="P54" s="5">
        <f t="shared" si="2"/>
        <v>0.23756666666666668</v>
      </c>
      <c r="Q54" s="24">
        <v>64036</v>
      </c>
      <c r="R54" s="3">
        <v>1</v>
      </c>
      <c r="S54" s="1" t="s">
        <v>66</v>
      </c>
      <c r="T54" s="9">
        <f t="shared" si="5"/>
        <v>6.4489999999999998</v>
      </c>
      <c r="U54" s="9"/>
      <c r="V54" s="56">
        <v>156586</v>
      </c>
      <c r="W54" s="1"/>
      <c r="X54" s="36"/>
      <c r="Y54" s="36"/>
    </row>
    <row r="55" spans="2:25" s="62" customFormat="1" x14ac:dyDescent="0.25">
      <c r="B55" s="1" t="s">
        <v>183</v>
      </c>
      <c r="C55" s="3" t="s">
        <v>44</v>
      </c>
      <c r="D55" s="3" t="s">
        <v>51</v>
      </c>
      <c r="E55" s="4">
        <v>36373</v>
      </c>
      <c r="F55" s="4">
        <v>36738</v>
      </c>
      <c r="G55" s="1" t="s">
        <v>52</v>
      </c>
      <c r="H55" s="1" t="s">
        <v>55</v>
      </c>
      <c r="I55" s="3" t="s">
        <v>53</v>
      </c>
      <c r="J55" s="8">
        <f t="shared" si="6"/>
        <v>0.21496666666666667</v>
      </c>
      <c r="K55" s="5">
        <v>1.32E-2</v>
      </c>
      <c r="L55" s="5">
        <v>2.2000000000000001E-3</v>
      </c>
      <c r="M55" s="5">
        <v>7.1999999999999998E-3</v>
      </c>
      <c r="N55" s="5">
        <v>0</v>
      </c>
      <c r="O55" s="43">
        <v>2.1160000000000002E-2</v>
      </c>
      <c r="P55" s="5">
        <f t="shared" si="2"/>
        <v>0.23756666666666668</v>
      </c>
      <c r="Q55" s="24">
        <v>64328</v>
      </c>
      <c r="R55" s="3">
        <v>51</v>
      </c>
      <c r="S55" s="1" t="s">
        <v>67</v>
      </c>
      <c r="T55" s="9">
        <f t="shared" si="5"/>
        <v>328.899</v>
      </c>
      <c r="U55" s="9"/>
      <c r="V55" s="56">
        <v>156588</v>
      </c>
      <c r="W55" s="1"/>
      <c r="X55" s="36"/>
      <c r="Y55" s="36"/>
    </row>
    <row r="56" spans="2:25" s="62" customFormat="1" x14ac:dyDescent="0.25">
      <c r="B56" s="1" t="s">
        <v>183</v>
      </c>
      <c r="C56" s="3" t="s">
        <v>44</v>
      </c>
      <c r="D56" s="3" t="s">
        <v>50</v>
      </c>
      <c r="E56" s="4">
        <v>36373</v>
      </c>
      <c r="F56" s="4">
        <v>36738</v>
      </c>
      <c r="G56" s="1" t="s">
        <v>52</v>
      </c>
      <c r="H56" s="1" t="s">
        <v>56</v>
      </c>
      <c r="I56" s="3" t="s">
        <v>53</v>
      </c>
      <c r="J56" s="8">
        <f t="shared" si="6"/>
        <v>0.21496666666666667</v>
      </c>
      <c r="K56" s="5">
        <v>1.32E-2</v>
      </c>
      <c r="L56" s="5">
        <v>2.2000000000000001E-3</v>
      </c>
      <c r="M56" s="5">
        <v>7.1999999999999998E-3</v>
      </c>
      <c r="N56" s="5">
        <v>0</v>
      </c>
      <c r="O56" s="43">
        <v>2.1160000000000002E-2</v>
      </c>
      <c r="P56" s="5">
        <f t="shared" si="2"/>
        <v>0.23756666666666668</v>
      </c>
      <c r="Q56" s="24">
        <v>64329</v>
      </c>
      <c r="R56" s="3">
        <v>12</v>
      </c>
      <c r="S56" s="1" t="s">
        <v>68</v>
      </c>
      <c r="T56" s="9">
        <f t="shared" si="5"/>
        <v>77.388000000000005</v>
      </c>
      <c r="U56" s="9"/>
      <c r="V56" s="56">
        <v>156590</v>
      </c>
      <c r="W56" s="1"/>
      <c r="X56" s="36"/>
      <c r="Y56" s="36"/>
    </row>
    <row r="57" spans="2:25" s="62" customFormat="1" x14ac:dyDescent="0.25">
      <c r="B57" s="1" t="s">
        <v>183</v>
      </c>
      <c r="C57" s="3" t="s">
        <v>44</v>
      </c>
      <c r="D57" s="3" t="s">
        <v>50</v>
      </c>
      <c r="E57" s="4">
        <v>36404</v>
      </c>
      <c r="F57" s="4">
        <v>36769</v>
      </c>
      <c r="G57" s="1" t="s">
        <v>52</v>
      </c>
      <c r="H57" s="1" t="s">
        <v>56</v>
      </c>
      <c r="I57" s="3" t="s">
        <v>53</v>
      </c>
      <c r="J57" s="8">
        <f t="shared" si="6"/>
        <v>0.21496666666666667</v>
      </c>
      <c r="K57" s="5">
        <v>1.32E-2</v>
      </c>
      <c r="L57" s="5">
        <v>2.2000000000000001E-3</v>
      </c>
      <c r="M57" s="5">
        <v>7.1999999999999998E-3</v>
      </c>
      <c r="N57" s="5">
        <v>0</v>
      </c>
      <c r="O57" s="43">
        <v>2.1160000000000002E-2</v>
      </c>
      <c r="P57" s="5">
        <f t="shared" si="2"/>
        <v>0.23756666666666668</v>
      </c>
      <c r="Q57" s="24">
        <v>64651</v>
      </c>
      <c r="R57" s="3">
        <v>64</v>
      </c>
      <c r="S57" s="1" t="s">
        <v>69</v>
      </c>
      <c r="T57" s="9">
        <f t="shared" si="5"/>
        <v>412.73599999999999</v>
      </c>
      <c r="U57" s="9"/>
      <c r="V57" s="56">
        <v>156591</v>
      </c>
      <c r="W57" s="1"/>
      <c r="X57" s="36"/>
      <c r="Y57" s="36"/>
    </row>
    <row r="58" spans="2:25" s="62" customFormat="1" x14ac:dyDescent="0.25">
      <c r="B58" s="1" t="s">
        <v>183</v>
      </c>
      <c r="C58" s="3" t="s">
        <v>44</v>
      </c>
      <c r="D58" s="3" t="s">
        <v>50</v>
      </c>
      <c r="E58" s="4">
        <v>36434</v>
      </c>
      <c r="F58" s="4">
        <v>36799</v>
      </c>
      <c r="G58" s="1" t="s">
        <v>52</v>
      </c>
      <c r="H58" s="1" t="s">
        <v>54</v>
      </c>
      <c r="I58" s="3" t="s">
        <v>53</v>
      </c>
      <c r="J58" s="8">
        <f t="shared" si="6"/>
        <v>0.21496666666666667</v>
      </c>
      <c r="K58" s="5">
        <v>1.32E-2</v>
      </c>
      <c r="L58" s="5">
        <v>2.2000000000000001E-3</v>
      </c>
      <c r="M58" s="5">
        <v>7.1999999999999998E-3</v>
      </c>
      <c r="N58" s="5">
        <v>0</v>
      </c>
      <c r="O58" s="43">
        <v>2.1160000000000002E-2</v>
      </c>
      <c r="P58" s="5">
        <f t="shared" si="2"/>
        <v>0.23756666666666668</v>
      </c>
      <c r="Q58" s="24">
        <v>64862</v>
      </c>
      <c r="R58" s="3">
        <v>13</v>
      </c>
      <c r="S58" s="1" t="s">
        <v>70</v>
      </c>
      <c r="T58" s="9">
        <f t="shared" si="5"/>
        <v>83.837000000000003</v>
      </c>
      <c r="U58" s="9"/>
      <c r="V58" s="56">
        <v>156592</v>
      </c>
      <c r="W58" s="1"/>
      <c r="X58" s="36"/>
      <c r="Y58" s="36"/>
    </row>
    <row r="59" spans="2:25" s="62" customFormat="1" x14ac:dyDescent="0.25">
      <c r="B59" s="1" t="s">
        <v>183</v>
      </c>
      <c r="C59" s="3" t="s">
        <v>44</v>
      </c>
      <c r="D59" s="3" t="s">
        <v>57</v>
      </c>
      <c r="E59" s="4">
        <v>36434</v>
      </c>
      <c r="F59" s="4">
        <v>36799</v>
      </c>
      <c r="G59" s="1" t="s">
        <v>52</v>
      </c>
      <c r="H59" s="1" t="s">
        <v>71</v>
      </c>
      <c r="I59" s="3" t="s">
        <v>53</v>
      </c>
      <c r="J59" s="8">
        <f>6.372/J$1</f>
        <v>0.21240000000000001</v>
      </c>
      <c r="K59" s="5">
        <v>1.32E-2</v>
      </c>
      <c r="L59" s="5">
        <v>2.2000000000000001E-3</v>
      </c>
      <c r="M59" s="5">
        <v>7.1999999999999998E-3</v>
      </c>
      <c r="N59" s="5">
        <v>0</v>
      </c>
      <c r="O59" s="43">
        <v>2.1160000000000002E-2</v>
      </c>
      <c r="P59" s="5">
        <f t="shared" si="2"/>
        <v>0.23500000000000001</v>
      </c>
      <c r="Q59" s="24">
        <v>64939</v>
      </c>
      <c r="R59" s="3">
        <v>2300</v>
      </c>
      <c r="S59" s="1" t="s">
        <v>72</v>
      </c>
      <c r="T59" s="9">
        <f t="shared" si="5"/>
        <v>14655.6</v>
      </c>
      <c r="U59" s="9"/>
      <c r="V59" s="56">
        <v>156593</v>
      </c>
      <c r="W59" s="1"/>
      <c r="X59" s="36"/>
      <c r="Y59" s="36"/>
    </row>
    <row r="60" spans="2:25" s="62" customFormat="1" x14ac:dyDescent="0.25">
      <c r="B60" s="1" t="s">
        <v>183</v>
      </c>
      <c r="C60" s="3" t="s">
        <v>44</v>
      </c>
      <c r="D60" s="3" t="s">
        <v>50</v>
      </c>
      <c r="E60" s="4">
        <v>36465</v>
      </c>
      <c r="F60" s="4">
        <v>36830</v>
      </c>
      <c r="G60" s="1" t="s">
        <v>52</v>
      </c>
      <c r="H60" s="1" t="s">
        <v>56</v>
      </c>
      <c r="I60" s="3" t="s">
        <v>53</v>
      </c>
      <c r="J60" s="8">
        <f>6.449/J$1</f>
        <v>0.21496666666666667</v>
      </c>
      <c r="K60" s="5">
        <v>1.32E-2</v>
      </c>
      <c r="L60" s="5">
        <v>2.2000000000000001E-3</v>
      </c>
      <c r="M60" s="5">
        <v>7.1999999999999998E-3</v>
      </c>
      <c r="N60" s="5">
        <v>0</v>
      </c>
      <c r="O60" s="43">
        <v>2.1160000000000002E-2</v>
      </c>
      <c r="P60" s="5">
        <f t="shared" si="2"/>
        <v>0.23756666666666668</v>
      </c>
      <c r="Q60" s="24">
        <v>65026</v>
      </c>
      <c r="R60" s="3">
        <v>128</v>
      </c>
      <c r="S60" s="1" t="s">
        <v>73</v>
      </c>
      <c r="T60" s="9">
        <f t="shared" si="5"/>
        <v>825.47199999999998</v>
      </c>
      <c r="U60" s="9"/>
      <c r="V60" s="56">
        <v>162286</v>
      </c>
      <c r="W60" s="1"/>
      <c r="X60" s="36"/>
      <c r="Y60" s="36"/>
    </row>
    <row r="61" spans="2:25" s="62" customFormat="1" x14ac:dyDescent="0.25">
      <c r="B61" s="1" t="s">
        <v>183</v>
      </c>
      <c r="C61" s="3" t="s">
        <v>44</v>
      </c>
      <c r="D61" s="3" t="s">
        <v>74</v>
      </c>
      <c r="E61" s="4">
        <v>36465</v>
      </c>
      <c r="F61" s="4">
        <v>36830</v>
      </c>
      <c r="G61" s="1" t="s">
        <v>52</v>
      </c>
      <c r="H61" s="1" t="s">
        <v>75</v>
      </c>
      <c r="I61" s="3" t="s">
        <v>53</v>
      </c>
      <c r="J61" s="8">
        <f>6.449/J$1</f>
        <v>0.21496666666666667</v>
      </c>
      <c r="K61" s="5">
        <v>1.32E-2</v>
      </c>
      <c r="L61" s="5">
        <v>2.2000000000000001E-3</v>
      </c>
      <c r="M61" s="5">
        <v>7.1999999999999998E-3</v>
      </c>
      <c r="N61" s="5">
        <v>0</v>
      </c>
      <c r="O61" s="43">
        <v>2.1160000000000002E-2</v>
      </c>
      <c r="P61" s="5">
        <f t="shared" si="2"/>
        <v>0.23756666666666668</v>
      </c>
      <c r="Q61" s="24">
        <v>65041</v>
      </c>
      <c r="R61" s="3">
        <v>9619</v>
      </c>
      <c r="S61" s="1" t="s">
        <v>76</v>
      </c>
      <c r="T61" s="9">
        <f t="shared" si="5"/>
        <v>62032.930999999997</v>
      </c>
      <c r="U61" s="9"/>
      <c r="V61" s="56">
        <v>162285</v>
      </c>
      <c r="W61" s="1"/>
      <c r="X61" s="36"/>
      <c r="Y61" s="36"/>
    </row>
    <row r="62" spans="2:25" s="62" customFormat="1" x14ac:dyDescent="0.25">
      <c r="B62" s="1" t="s">
        <v>183</v>
      </c>
      <c r="C62" s="3" t="s">
        <v>44</v>
      </c>
      <c r="D62" s="3" t="s">
        <v>74</v>
      </c>
      <c r="E62" s="4">
        <v>36465</v>
      </c>
      <c r="F62" s="4">
        <v>36830</v>
      </c>
      <c r="G62" s="1" t="s">
        <v>52</v>
      </c>
      <c r="H62" s="1" t="s">
        <v>78</v>
      </c>
      <c r="I62" s="3" t="s">
        <v>53</v>
      </c>
      <c r="J62" s="8">
        <f>6.449/J$1</f>
        <v>0.21496666666666667</v>
      </c>
      <c r="K62" s="5">
        <v>1.32E-2</v>
      </c>
      <c r="L62" s="5">
        <v>2.2000000000000001E-3</v>
      </c>
      <c r="M62" s="5">
        <v>7.1999999999999998E-3</v>
      </c>
      <c r="N62" s="5">
        <v>0</v>
      </c>
      <c r="O62" s="43">
        <v>2.1160000000000002E-2</v>
      </c>
      <c r="P62" s="5">
        <f t="shared" si="2"/>
        <v>0.23756666666666668</v>
      </c>
      <c r="Q62" s="24">
        <v>65042</v>
      </c>
      <c r="R62" s="3">
        <v>4427</v>
      </c>
      <c r="S62" s="1" t="s">
        <v>77</v>
      </c>
      <c r="T62" s="9">
        <f t="shared" si="5"/>
        <v>28549.722999999998</v>
      </c>
      <c r="U62" s="9"/>
      <c r="V62" s="56">
        <v>162287</v>
      </c>
      <c r="W62" s="1"/>
      <c r="X62" s="36"/>
      <c r="Y62" s="36"/>
    </row>
    <row r="63" spans="2:25" s="62" customFormat="1" x14ac:dyDescent="0.25">
      <c r="B63" s="1" t="s">
        <v>183</v>
      </c>
      <c r="C63" s="3" t="s">
        <v>44</v>
      </c>
      <c r="D63" s="3" t="s">
        <v>79</v>
      </c>
      <c r="E63" s="4">
        <v>36465</v>
      </c>
      <c r="F63" s="4">
        <v>37011</v>
      </c>
      <c r="G63" s="1" t="s">
        <v>52</v>
      </c>
      <c r="H63" s="1" t="s">
        <v>80</v>
      </c>
      <c r="I63" s="3" t="s">
        <v>53</v>
      </c>
      <c r="J63" s="8">
        <f>6.449/J$1</f>
        <v>0.21496666666666667</v>
      </c>
      <c r="K63" s="5">
        <v>1.32E-2</v>
      </c>
      <c r="L63" s="5">
        <v>2.2000000000000001E-3</v>
      </c>
      <c r="M63" s="5">
        <v>7.1999999999999998E-3</v>
      </c>
      <c r="N63" s="5">
        <v>0</v>
      </c>
      <c r="O63" s="43">
        <v>2.1160000000000002E-2</v>
      </c>
      <c r="P63" s="5">
        <f t="shared" si="2"/>
        <v>0.23756666666666668</v>
      </c>
      <c r="Q63" s="24">
        <v>65108</v>
      </c>
      <c r="R63" s="3">
        <v>5000</v>
      </c>
      <c r="S63" s="1" t="s">
        <v>268</v>
      </c>
      <c r="T63" s="9">
        <f t="shared" si="5"/>
        <v>32245</v>
      </c>
      <c r="U63" s="9"/>
      <c r="V63" s="56">
        <v>163001</v>
      </c>
      <c r="W63" s="1"/>
      <c r="X63" s="36"/>
      <c r="Y63" s="36"/>
    </row>
    <row r="64" spans="2:25" s="62" customFormat="1" x14ac:dyDescent="0.25">
      <c r="B64" s="1" t="s">
        <v>183</v>
      </c>
      <c r="C64" s="3" t="s">
        <v>44</v>
      </c>
      <c r="D64" s="3" t="s">
        <v>180</v>
      </c>
      <c r="E64" s="4">
        <v>36465</v>
      </c>
      <c r="F64" s="4">
        <v>36830</v>
      </c>
      <c r="G64" s="1" t="s">
        <v>104</v>
      </c>
      <c r="H64" s="29" t="s">
        <v>265</v>
      </c>
      <c r="I64" s="3" t="s">
        <v>53</v>
      </c>
      <c r="J64" s="8">
        <f>3.65/J$1</f>
        <v>0.12166666666666666</v>
      </c>
      <c r="K64" s="5">
        <v>1.32E-2</v>
      </c>
      <c r="L64" s="5">
        <v>2.2000000000000001E-3</v>
      </c>
      <c r="M64" s="5">
        <v>7.4999999999999997E-3</v>
      </c>
      <c r="N64" s="5">
        <v>0</v>
      </c>
      <c r="O64" s="43">
        <v>2.1160000000000002E-2</v>
      </c>
      <c r="P64" s="5">
        <f>SUM(J64:N64)</f>
        <v>0.14456666666666668</v>
      </c>
      <c r="Q64" s="24">
        <v>65402</v>
      </c>
      <c r="R64" s="3">
        <v>20000</v>
      </c>
      <c r="S64" s="29" t="s">
        <v>266</v>
      </c>
      <c r="T64" s="9">
        <f t="shared" si="5"/>
        <v>73000</v>
      </c>
      <c r="U64" s="9"/>
      <c r="V64" s="56">
        <v>156596</v>
      </c>
      <c r="W64" s="1"/>
      <c r="X64" s="36"/>
      <c r="Y64" s="36"/>
    </row>
    <row r="65" spans="2:25" s="62" customFormat="1" x14ac:dyDescent="0.25">
      <c r="B65" s="1" t="s">
        <v>183</v>
      </c>
      <c r="C65" s="3" t="s">
        <v>44</v>
      </c>
      <c r="D65" s="3" t="s">
        <v>180</v>
      </c>
      <c r="E65" s="4">
        <v>36465</v>
      </c>
      <c r="F65" s="4">
        <v>37011</v>
      </c>
      <c r="G65" s="29" t="s">
        <v>52</v>
      </c>
      <c r="H65" s="29" t="s">
        <v>465</v>
      </c>
      <c r="I65" s="3" t="s">
        <v>53</v>
      </c>
      <c r="J65" s="8">
        <f>4.8621/+J$1</f>
        <v>0.16206999999999999</v>
      </c>
      <c r="K65" s="5"/>
      <c r="L65" s="5"/>
      <c r="M65" s="5"/>
      <c r="N65" s="5"/>
      <c r="O65" s="43"/>
      <c r="P65" s="5"/>
      <c r="Q65" s="24">
        <v>65403</v>
      </c>
      <c r="R65" s="3">
        <v>19293</v>
      </c>
      <c r="S65" s="29" t="s">
        <v>267</v>
      </c>
      <c r="T65" s="9">
        <f t="shared" si="5"/>
        <v>93804.495299999995</v>
      </c>
      <c r="U65" s="9"/>
      <c r="V65" s="56" t="s">
        <v>297</v>
      </c>
      <c r="W65" s="1"/>
      <c r="X65" s="36"/>
      <c r="Y65" s="36"/>
    </row>
    <row r="66" spans="2:25" s="62" customFormat="1" x14ac:dyDescent="0.25">
      <c r="B66" s="1" t="s">
        <v>183</v>
      </c>
      <c r="C66" s="3" t="s">
        <v>44</v>
      </c>
      <c r="D66" s="3" t="s">
        <v>86</v>
      </c>
      <c r="E66" s="4">
        <v>36557</v>
      </c>
      <c r="F66" s="4">
        <v>36677</v>
      </c>
      <c r="G66" s="1" t="s">
        <v>107</v>
      </c>
      <c r="H66" s="1" t="s">
        <v>108</v>
      </c>
      <c r="I66" s="3" t="s">
        <v>53</v>
      </c>
      <c r="J66" s="8">
        <f>6.423/J$1</f>
        <v>0.21410000000000001</v>
      </c>
      <c r="K66" s="5">
        <v>1.32E-2</v>
      </c>
      <c r="L66" s="5">
        <v>2.2000000000000001E-3</v>
      </c>
      <c r="M66" s="5">
        <v>7.1999999999999998E-3</v>
      </c>
      <c r="N66" s="5">
        <v>0</v>
      </c>
      <c r="O66" s="43">
        <v>2.1160000000000002E-2</v>
      </c>
      <c r="P66" s="5">
        <f t="shared" si="2"/>
        <v>0.23670000000000002</v>
      </c>
      <c r="Q66" s="24">
        <v>65404</v>
      </c>
      <c r="R66" s="3">
        <v>34</v>
      </c>
      <c r="S66" s="1" t="s">
        <v>109</v>
      </c>
      <c r="T66" s="9">
        <f t="shared" si="5"/>
        <v>218.38200000000001</v>
      </c>
      <c r="U66" s="9"/>
      <c r="V66" s="56">
        <v>156597</v>
      </c>
      <c r="W66" s="1"/>
      <c r="X66" s="36"/>
      <c r="Y66" s="36"/>
    </row>
    <row r="67" spans="2:25" s="62" customFormat="1" x14ac:dyDescent="0.25">
      <c r="B67" s="1" t="s">
        <v>183</v>
      </c>
      <c r="C67" s="3" t="s">
        <v>44</v>
      </c>
      <c r="D67" s="3"/>
      <c r="E67" s="4">
        <v>36557</v>
      </c>
      <c r="F67" s="4">
        <v>36830</v>
      </c>
      <c r="G67" s="1" t="s">
        <v>110</v>
      </c>
      <c r="H67" s="1" t="s">
        <v>102</v>
      </c>
      <c r="I67" s="3" t="s">
        <v>53</v>
      </c>
      <c r="J67" s="8">
        <f>4.563/J$1</f>
        <v>0.15209999999999999</v>
      </c>
      <c r="K67" s="5">
        <v>1.32E-2</v>
      </c>
      <c r="L67" s="5">
        <v>2.2000000000000001E-3</v>
      </c>
      <c r="M67" s="5">
        <v>7.1999999999999998E-3</v>
      </c>
      <c r="N67" s="5">
        <v>0</v>
      </c>
      <c r="O67" s="43">
        <v>2.1160000000000002E-2</v>
      </c>
      <c r="P67" s="5">
        <f t="shared" si="2"/>
        <v>0.17469999999999999</v>
      </c>
      <c r="Q67" s="24">
        <v>65418</v>
      </c>
      <c r="R67" s="3">
        <v>500</v>
      </c>
      <c r="S67" s="1" t="s">
        <v>111</v>
      </c>
      <c r="T67" s="9">
        <f t="shared" si="5"/>
        <v>2281.5</v>
      </c>
      <c r="U67" s="9"/>
      <c r="V67" s="56">
        <v>156599</v>
      </c>
      <c r="W67" s="1"/>
      <c r="X67" s="36"/>
      <c r="Y67" s="36"/>
    </row>
    <row r="68" spans="2:25" s="62" customFormat="1" x14ac:dyDescent="0.25">
      <c r="B68" s="1" t="s">
        <v>183</v>
      </c>
      <c r="C68" s="3" t="s">
        <v>44</v>
      </c>
      <c r="D68" s="3"/>
      <c r="E68" s="4">
        <v>36557</v>
      </c>
      <c r="F68" s="4">
        <v>36677</v>
      </c>
      <c r="G68" s="1" t="s">
        <v>107</v>
      </c>
      <c r="H68" s="1" t="s">
        <v>108</v>
      </c>
      <c r="I68" s="3" t="s">
        <v>53</v>
      </c>
      <c r="J68" s="8">
        <f>6.372/J$1</f>
        <v>0.21240000000000001</v>
      </c>
      <c r="K68" s="5"/>
      <c r="L68" s="5"/>
      <c r="M68" s="5"/>
      <c r="N68" s="5"/>
      <c r="O68" s="43"/>
      <c r="P68" s="5"/>
      <c r="Q68" s="24">
        <v>65534</v>
      </c>
      <c r="R68" s="3">
        <v>3</v>
      </c>
      <c r="S68" s="1" t="s">
        <v>269</v>
      </c>
      <c r="T68" s="9">
        <f t="shared" si="5"/>
        <v>19.116</v>
      </c>
      <c r="U68" s="9"/>
      <c r="V68" s="56">
        <v>149349</v>
      </c>
      <c r="W68" s="1"/>
      <c r="X68" s="36"/>
      <c r="Y68" s="36"/>
    </row>
    <row r="69" spans="2:25" s="62" customFormat="1" x14ac:dyDescent="0.25">
      <c r="B69" s="1" t="s">
        <v>183</v>
      </c>
      <c r="C69" s="3" t="s">
        <v>44</v>
      </c>
      <c r="D69" s="3" t="s">
        <v>50</v>
      </c>
      <c r="E69" s="4">
        <v>36557</v>
      </c>
      <c r="F69" s="4">
        <v>36860</v>
      </c>
      <c r="G69" s="1" t="s">
        <v>52</v>
      </c>
      <c r="H69" s="1" t="s">
        <v>56</v>
      </c>
      <c r="I69" s="3" t="s">
        <v>53</v>
      </c>
      <c r="J69" s="8">
        <f>6.449/J$1</f>
        <v>0.21496666666666667</v>
      </c>
      <c r="K69" s="5">
        <v>1.32E-2</v>
      </c>
      <c r="L69" s="5">
        <v>2.2000000000000001E-3</v>
      </c>
      <c r="M69" s="5">
        <v>7.1999999999999998E-3</v>
      </c>
      <c r="N69" s="5">
        <v>0</v>
      </c>
      <c r="O69" s="43">
        <v>2.1160000000000002E-2</v>
      </c>
      <c r="P69" s="5">
        <f t="shared" si="2"/>
        <v>0.23756666666666668</v>
      </c>
      <c r="Q69" s="24">
        <v>65556</v>
      </c>
      <c r="R69" s="3">
        <v>3</v>
      </c>
      <c r="S69" s="1" t="s">
        <v>81</v>
      </c>
      <c r="T69" s="9">
        <f t="shared" si="5"/>
        <v>19.347000000000001</v>
      </c>
      <c r="U69" s="9"/>
      <c r="V69" s="56">
        <v>156602</v>
      </c>
      <c r="W69" s="1"/>
      <c r="X69" s="36"/>
      <c r="Y69" s="36"/>
    </row>
    <row r="70" spans="2:25" s="62" customFormat="1" x14ac:dyDescent="0.25">
      <c r="B70" s="1" t="s">
        <v>183</v>
      </c>
      <c r="C70" s="3" t="s">
        <v>44</v>
      </c>
      <c r="D70" s="3" t="s">
        <v>46</v>
      </c>
      <c r="E70" s="4">
        <v>36557</v>
      </c>
      <c r="F70" s="4">
        <v>36922</v>
      </c>
      <c r="G70" s="1" t="s">
        <v>187</v>
      </c>
      <c r="H70" s="1" t="s">
        <v>188</v>
      </c>
      <c r="I70" s="3" t="s">
        <v>53</v>
      </c>
      <c r="J70" s="8">
        <f>6.449/J$1</f>
        <v>0.21496666666666667</v>
      </c>
      <c r="K70" s="5"/>
      <c r="L70" s="5"/>
      <c r="M70" s="5"/>
      <c r="N70" s="5"/>
      <c r="O70" s="43"/>
      <c r="P70" s="5"/>
      <c r="Q70" s="24">
        <v>66280</v>
      </c>
      <c r="R70" s="3">
        <v>1</v>
      </c>
      <c r="S70" s="1" t="s">
        <v>190</v>
      </c>
      <c r="T70" s="9">
        <f t="shared" si="5"/>
        <v>6.4489999999999998</v>
      </c>
      <c r="U70" s="9"/>
      <c r="V70" s="56">
        <v>156606</v>
      </c>
      <c r="W70" s="1"/>
      <c r="X70" s="36"/>
      <c r="Y70" s="36"/>
    </row>
    <row r="71" spans="2:25" s="62" customFormat="1" x14ac:dyDescent="0.25">
      <c r="B71" s="1" t="s">
        <v>183</v>
      </c>
      <c r="C71" s="3" t="s">
        <v>44</v>
      </c>
      <c r="D71" s="3" t="s">
        <v>46</v>
      </c>
      <c r="E71" s="4">
        <v>36557</v>
      </c>
      <c r="F71" s="4">
        <v>36922</v>
      </c>
      <c r="G71" s="1" t="s">
        <v>187</v>
      </c>
      <c r="H71" s="1" t="s">
        <v>189</v>
      </c>
      <c r="I71" s="3" t="s">
        <v>53</v>
      </c>
      <c r="J71" s="8">
        <f>6.449/J$1</f>
        <v>0.21496666666666667</v>
      </c>
      <c r="K71" s="5"/>
      <c r="L71" s="5"/>
      <c r="M71" s="5"/>
      <c r="N71" s="5"/>
      <c r="O71" s="43"/>
      <c r="P71" s="5"/>
      <c r="Q71" s="24">
        <v>66280</v>
      </c>
      <c r="R71" s="3">
        <v>4</v>
      </c>
      <c r="S71" s="1" t="s">
        <v>190</v>
      </c>
      <c r="T71" s="9">
        <f t="shared" si="5"/>
        <v>25.795999999999999</v>
      </c>
      <c r="U71" s="9"/>
      <c r="V71" s="56">
        <v>156606</v>
      </c>
      <c r="W71" s="1"/>
      <c r="X71" s="36"/>
      <c r="Y71" s="36"/>
    </row>
    <row r="72" spans="2:25" s="62" customFormat="1" x14ac:dyDescent="0.25">
      <c r="B72" s="1" t="s">
        <v>183</v>
      </c>
      <c r="C72" s="3" t="s">
        <v>44</v>
      </c>
      <c r="D72" s="3" t="s">
        <v>46</v>
      </c>
      <c r="E72" s="4">
        <v>36656</v>
      </c>
      <c r="F72" s="4">
        <v>36950</v>
      </c>
      <c r="G72" s="1" t="s">
        <v>187</v>
      </c>
      <c r="H72" s="29" t="s">
        <v>188</v>
      </c>
      <c r="I72" s="3" t="s">
        <v>53</v>
      </c>
      <c r="J72" s="8">
        <v>6.4489999999999998</v>
      </c>
      <c r="K72" s="5"/>
      <c r="L72" s="5"/>
      <c r="M72" s="5"/>
      <c r="N72" s="5"/>
      <c r="O72" s="43"/>
      <c r="P72" s="5"/>
      <c r="Q72" s="24">
        <v>68308</v>
      </c>
      <c r="R72" s="3">
        <v>5</v>
      </c>
      <c r="S72" s="1" t="s">
        <v>449</v>
      </c>
      <c r="T72" s="9">
        <f>+R72*J72</f>
        <v>32.244999999999997</v>
      </c>
      <c r="U72" s="9"/>
      <c r="V72" s="56">
        <v>262094</v>
      </c>
      <c r="W72" s="1"/>
      <c r="X72" s="36"/>
      <c r="Y72" s="36"/>
    </row>
    <row r="73" spans="2:25" s="62" customFormat="1" x14ac:dyDescent="0.25">
      <c r="B73" s="1" t="s">
        <v>183</v>
      </c>
      <c r="C73" s="3" t="s">
        <v>44</v>
      </c>
      <c r="D73" s="3" t="s">
        <v>46</v>
      </c>
      <c r="E73" s="4">
        <v>36656</v>
      </c>
      <c r="F73" s="4">
        <v>36950</v>
      </c>
      <c r="G73" s="1" t="s">
        <v>187</v>
      </c>
      <c r="H73" s="29" t="s">
        <v>189</v>
      </c>
      <c r="I73" s="3" t="s">
        <v>53</v>
      </c>
      <c r="J73" s="8">
        <v>6.4489999999999998</v>
      </c>
      <c r="K73" s="5"/>
      <c r="L73" s="5"/>
      <c r="M73" s="5"/>
      <c r="N73" s="5"/>
      <c r="O73" s="43"/>
      <c r="P73" s="5"/>
      <c r="Q73" s="24">
        <v>68308</v>
      </c>
      <c r="R73" s="3">
        <v>4</v>
      </c>
      <c r="S73" s="1" t="s">
        <v>449</v>
      </c>
      <c r="T73" s="9">
        <f>+R73*J73</f>
        <v>25.795999999999999</v>
      </c>
      <c r="U73" s="9"/>
      <c r="V73" s="56">
        <v>262094</v>
      </c>
      <c r="W73" s="1"/>
      <c r="X73" s="36"/>
      <c r="Y73" s="36"/>
    </row>
    <row r="74" spans="2:25" s="62" customFormat="1" x14ac:dyDescent="0.25">
      <c r="B74" s="1" t="s">
        <v>90</v>
      </c>
      <c r="C74" s="3" t="s">
        <v>44</v>
      </c>
      <c r="D74" s="3" t="s">
        <v>46</v>
      </c>
      <c r="E74" s="4">
        <v>36617</v>
      </c>
      <c r="F74" s="4">
        <v>36655</v>
      </c>
      <c r="G74" s="1" t="s">
        <v>187</v>
      </c>
      <c r="H74" s="29" t="s">
        <v>188</v>
      </c>
      <c r="I74" s="3" t="s">
        <v>53</v>
      </c>
      <c r="J74" s="8">
        <v>6.4489999999999998</v>
      </c>
      <c r="K74" s="5"/>
      <c r="L74" s="5"/>
      <c r="M74" s="5"/>
      <c r="N74" s="5"/>
      <c r="O74" s="43"/>
      <c r="P74" s="5"/>
      <c r="Q74" s="24">
        <v>66679</v>
      </c>
      <c r="R74" s="3">
        <v>5</v>
      </c>
      <c r="S74" s="1"/>
      <c r="T74" s="9">
        <f>+R74*J74</f>
        <v>32.244999999999997</v>
      </c>
      <c r="U74" s="9"/>
      <c r="V74" s="56">
        <v>262093</v>
      </c>
      <c r="W74" s="1"/>
      <c r="X74" s="36"/>
      <c r="Y74" s="36"/>
    </row>
    <row r="75" spans="2:25" s="62" customFormat="1" x14ac:dyDescent="0.25">
      <c r="B75" s="1" t="s">
        <v>90</v>
      </c>
      <c r="C75" s="3" t="s">
        <v>44</v>
      </c>
      <c r="D75" s="3" t="s">
        <v>46</v>
      </c>
      <c r="E75" s="4">
        <v>36617</v>
      </c>
      <c r="F75" s="4">
        <v>36655</v>
      </c>
      <c r="G75" s="1" t="s">
        <v>187</v>
      </c>
      <c r="H75" s="29" t="s">
        <v>189</v>
      </c>
      <c r="I75" s="3" t="s">
        <v>53</v>
      </c>
      <c r="J75" s="8">
        <v>6.4489999999999998</v>
      </c>
      <c r="K75" s="5"/>
      <c r="L75" s="5"/>
      <c r="M75" s="5"/>
      <c r="N75" s="5"/>
      <c r="O75" s="43"/>
      <c r="P75" s="5"/>
      <c r="Q75" s="24">
        <v>66679</v>
      </c>
      <c r="R75" s="3">
        <v>4</v>
      </c>
      <c r="S75" s="1"/>
      <c r="T75" s="9">
        <f>+R75*J75</f>
        <v>25.795999999999999</v>
      </c>
      <c r="U75" s="9"/>
      <c r="V75" s="56">
        <v>262093</v>
      </c>
      <c r="W75" s="1"/>
      <c r="X75" s="36"/>
      <c r="Y75" s="36"/>
    </row>
    <row r="76" spans="2:25" s="62" customFormat="1" x14ac:dyDescent="0.25">
      <c r="B76" s="1" t="s">
        <v>183</v>
      </c>
      <c r="C76" s="3" t="s">
        <v>44</v>
      </c>
      <c r="D76" s="3" t="s">
        <v>302</v>
      </c>
      <c r="E76" s="4">
        <v>36617</v>
      </c>
      <c r="F76" s="4" t="s">
        <v>303</v>
      </c>
      <c r="G76" s="1" t="s">
        <v>304</v>
      </c>
      <c r="H76" s="1"/>
      <c r="I76" s="3" t="s">
        <v>305</v>
      </c>
      <c r="J76" s="8"/>
      <c r="K76" s="5"/>
      <c r="L76" s="5"/>
      <c r="M76" s="5"/>
      <c r="N76" s="5"/>
      <c r="O76" s="43"/>
      <c r="P76" s="5"/>
      <c r="Q76" s="24">
        <v>66917</v>
      </c>
      <c r="R76" s="3"/>
      <c r="S76" s="1"/>
      <c r="T76" s="9"/>
      <c r="U76" s="9"/>
      <c r="V76" s="56">
        <v>228085</v>
      </c>
      <c r="W76" s="1"/>
      <c r="X76" s="36"/>
      <c r="Y76" s="36"/>
    </row>
    <row r="77" spans="2:25" s="62" customFormat="1" x14ac:dyDescent="0.25">
      <c r="B77" s="1" t="s">
        <v>183</v>
      </c>
      <c r="C77" s="3" t="s">
        <v>44</v>
      </c>
      <c r="D77" s="3" t="s">
        <v>46</v>
      </c>
      <c r="E77" s="4">
        <v>36617</v>
      </c>
      <c r="F77" s="4">
        <v>36981</v>
      </c>
      <c r="G77" s="1" t="s">
        <v>187</v>
      </c>
      <c r="H77" s="1" t="s">
        <v>188</v>
      </c>
      <c r="I77" s="3" t="s">
        <v>53</v>
      </c>
      <c r="J77" s="8">
        <v>6.4009999999999998</v>
      </c>
      <c r="K77" s="5"/>
      <c r="L77" s="5"/>
      <c r="M77" s="5"/>
      <c r="N77" s="5"/>
      <c r="O77" s="43"/>
      <c r="P77" s="5"/>
      <c r="Q77" s="24">
        <v>66939</v>
      </c>
      <c r="R77" s="3">
        <v>5</v>
      </c>
      <c r="S77" s="1" t="s">
        <v>362</v>
      </c>
      <c r="T77" s="9">
        <f t="shared" ref="T77:T90" si="7">+R77*J77</f>
        <v>32.004999999999995</v>
      </c>
      <c r="U77" s="9"/>
      <c r="V77" s="56"/>
      <c r="W77" s="1"/>
      <c r="X77" s="36"/>
      <c r="Y77" s="36"/>
    </row>
    <row r="78" spans="2:25" s="62" customFormat="1" x14ac:dyDescent="0.25">
      <c r="B78" s="1" t="s">
        <v>183</v>
      </c>
      <c r="C78" s="3" t="s">
        <v>44</v>
      </c>
      <c r="D78" s="3" t="s">
        <v>46</v>
      </c>
      <c r="E78" s="4">
        <v>36617</v>
      </c>
      <c r="F78" s="4">
        <v>36981</v>
      </c>
      <c r="G78" s="1" t="s">
        <v>187</v>
      </c>
      <c r="H78" s="1" t="s">
        <v>189</v>
      </c>
      <c r="I78" s="3" t="s">
        <v>53</v>
      </c>
      <c r="J78" s="8">
        <v>6.4009999999999998</v>
      </c>
      <c r="K78" s="5"/>
      <c r="L78" s="5"/>
      <c r="M78" s="5"/>
      <c r="N78" s="5"/>
      <c r="O78" s="43"/>
      <c r="P78" s="5"/>
      <c r="Q78" s="24">
        <v>66939</v>
      </c>
      <c r="R78" s="3">
        <v>27</v>
      </c>
      <c r="S78" s="1" t="s">
        <v>362</v>
      </c>
      <c r="T78" s="9">
        <f t="shared" si="7"/>
        <v>172.827</v>
      </c>
      <c r="U78" s="9"/>
      <c r="V78" s="56"/>
      <c r="W78" s="1"/>
      <c r="X78" s="36"/>
      <c r="Y78" s="36"/>
    </row>
    <row r="79" spans="2:25" s="62" customFormat="1" x14ac:dyDescent="0.25">
      <c r="B79" s="1" t="s">
        <v>183</v>
      </c>
      <c r="C79" s="3" t="s">
        <v>44</v>
      </c>
      <c r="D79" s="3" t="s">
        <v>46</v>
      </c>
      <c r="E79" s="4">
        <v>36617</v>
      </c>
      <c r="F79" s="4">
        <v>36981</v>
      </c>
      <c r="G79" s="1" t="s">
        <v>187</v>
      </c>
      <c r="H79" s="1" t="s">
        <v>360</v>
      </c>
      <c r="I79" s="3" t="s">
        <v>53</v>
      </c>
      <c r="J79" s="8">
        <v>6.4009999999999998</v>
      </c>
      <c r="K79" s="5"/>
      <c r="L79" s="5"/>
      <c r="M79" s="5"/>
      <c r="N79" s="5"/>
      <c r="O79" s="43"/>
      <c r="P79" s="5"/>
      <c r="Q79" s="24">
        <v>66939</v>
      </c>
      <c r="R79" s="3">
        <v>3</v>
      </c>
      <c r="S79" s="1" t="s">
        <v>362</v>
      </c>
      <c r="T79" s="9">
        <f t="shared" si="7"/>
        <v>19.202999999999999</v>
      </c>
      <c r="U79" s="9"/>
      <c r="V79" s="56"/>
      <c r="W79" s="1"/>
      <c r="X79" s="36"/>
      <c r="Y79" s="36"/>
    </row>
    <row r="80" spans="2:25" s="62" customFormat="1" x14ac:dyDescent="0.25">
      <c r="B80" s="1" t="s">
        <v>183</v>
      </c>
      <c r="C80" s="3" t="s">
        <v>44</v>
      </c>
      <c r="D80" s="3" t="s">
        <v>46</v>
      </c>
      <c r="E80" s="4">
        <v>36617</v>
      </c>
      <c r="F80" s="4">
        <v>36981</v>
      </c>
      <c r="G80" s="1" t="s">
        <v>187</v>
      </c>
      <c r="H80" s="1" t="s">
        <v>361</v>
      </c>
      <c r="I80" s="3" t="s">
        <v>53</v>
      </c>
      <c r="J80" s="8">
        <v>6.4009999999999998</v>
      </c>
      <c r="K80" s="5"/>
      <c r="L80" s="5"/>
      <c r="M80" s="5"/>
      <c r="N80" s="5"/>
      <c r="O80" s="43"/>
      <c r="P80" s="5"/>
      <c r="Q80" s="24">
        <v>66939</v>
      </c>
      <c r="R80" s="3">
        <v>17</v>
      </c>
      <c r="S80" s="1" t="s">
        <v>362</v>
      </c>
      <c r="T80" s="9">
        <f t="shared" si="7"/>
        <v>108.81699999999999</v>
      </c>
      <c r="U80" s="9"/>
      <c r="V80" s="56"/>
      <c r="W80" s="1"/>
      <c r="X80" s="36"/>
      <c r="Y80" s="36"/>
    </row>
    <row r="81" spans="2:25" s="62" customFormat="1" x14ac:dyDescent="0.25">
      <c r="B81" s="1" t="s">
        <v>183</v>
      </c>
      <c r="C81" s="3" t="s">
        <v>44</v>
      </c>
      <c r="D81" s="3" t="s">
        <v>112</v>
      </c>
      <c r="E81" s="4">
        <v>36617</v>
      </c>
      <c r="F81" s="4">
        <v>36646</v>
      </c>
      <c r="G81" s="1" t="s">
        <v>187</v>
      </c>
      <c r="H81" s="1">
        <v>54</v>
      </c>
      <c r="I81" s="3" t="s">
        <v>53</v>
      </c>
      <c r="J81" s="8">
        <v>6.4009999999999998</v>
      </c>
      <c r="K81" s="5"/>
      <c r="L81" s="5"/>
      <c r="M81" s="5"/>
      <c r="N81" s="5"/>
      <c r="O81" s="43"/>
      <c r="P81" s="5"/>
      <c r="Q81" s="24">
        <v>66936</v>
      </c>
      <c r="R81" s="3">
        <v>168</v>
      </c>
      <c r="S81" s="1"/>
      <c r="T81" s="9">
        <f t="shared" si="7"/>
        <v>1075.3679999999999</v>
      </c>
      <c r="U81" s="9"/>
      <c r="V81" s="56">
        <v>228176</v>
      </c>
      <c r="W81" s="1"/>
      <c r="X81" s="36"/>
      <c r="Y81" s="36"/>
    </row>
    <row r="82" spans="2:25" s="62" customFormat="1" x14ac:dyDescent="0.25">
      <c r="B82" s="1" t="s">
        <v>183</v>
      </c>
      <c r="C82" s="3" t="s">
        <v>44</v>
      </c>
      <c r="D82" s="3" t="s">
        <v>45</v>
      </c>
      <c r="E82" s="4">
        <v>36617</v>
      </c>
      <c r="F82" s="4">
        <v>36981</v>
      </c>
      <c r="G82" s="1" t="s">
        <v>187</v>
      </c>
      <c r="H82" s="1" t="s">
        <v>363</v>
      </c>
      <c r="I82" s="3" t="s">
        <v>53</v>
      </c>
      <c r="J82" s="8">
        <v>6.4009999999999998</v>
      </c>
      <c r="K82" s="5"/>
      <c r="L82" s="5"/>
      <c r="M82" s="5"/>
      <c r="N82" s="5"/>
      <c r="O82" s="43"/>
      <c r="P82" s="5"/>
      <c r="Q82" s="24">
        <v>66940</v>
      </c>
      <c r="R82" s="3">
        <v>1</v>
      </c>
      <c r="S82" s="29" t="s">
        <v>308</v>
      </c>
      <c r="T82" s="9">
        <f t="shared" si="7"/>
        <v>6.4009999999999998</v>
      </c>
      <c r="U82" s="9"/>
      <c r="V82" s="56">
        <v>228134</v>
      </c>
      <c r="W82" s="1"/>
      <c r="X82" s="36"/>
      <c r="Y82" s="36"/>
    </row>
    <row r="83" spans="2:25" s="62" customFormat="1" x14ac:dyDescent="0.25">
      <c r="B83" s="1" t="s">
        <v>183</v>
      </c>
      <c r="C83" s="3" t="s">
        <v>44</v>
      </c>
      <c r="D83" s="3" t="s">
        <v>45</v>
      </c>
      <c r="E83" s="4">
        <v>36617</v>
      </c>
      <c r="F83" s="4">
        <v>36981</v>
      </c>
      <c r="G83" s="1" t="s">
        <v>187</v>
      </c>
      <c r="H83" s="1" t="s">
        <v>364</v>
      </c>
      <c r="I83" s="3" t="s">
        <v>53</v>
      </c>
      <c r="J83" s="8">
        <v>6.4009999999999998</v>
      </c>
      <c r="K83" s="5"/>
      <c r="L83" s="5"/>
      <c r="M83" s="5"/>
      <c r="N83" s="5"/>
      <c r="O83" s="43"/>
      <c r="P83" s="5"/>
      <c r="Q83" s="24">
        <v>66940</v>
      </c>
      <c r="R83" s="3">
        <v>1</v>
      </c>
      <c r="S83" s="29" t="s">
        <v>308</v>
      </c>
      <c r="T83" s="9">
        <f t="shared" si="7"/>
        <v>6.4009999999999998</v>
      </c>
      <c r="U83" s="9"/>
      <c r="V83" s="56">
        <v>228134</v>
      </c>
      <c r="W83" s="1"/>
      <c r="X83" s="36"/>
      <c r="Y83" s="36"/>
    </row>
    <row r="84" spans="2:25" s="62" customFormat="1" x14ac:dyDescent="0.25">
      <c r="B84" s="1" t="s">
        <v>183</v>
      </c>
      <c r="C84" s="3" t="s">
        <v>44</v>
      </c>
      <c r="D84" s="3" t="s">
        <v>402</v>
      </c>
      <c r="E84" s="4">
        <v>36647</v>
      </c>
      <c r="F84" s="4">
        <v>36677</v>
      </c>
      <c r="G84" s="1" t="s">
        <v>187</v>
      </c>
      <c r="H84" s="1">
        <v>22</v>
      </c>
      <c r="I84" s="3" t="s">
        <v>53</v>
      </c>
      <c r="J84" s="8">
        <v>0.01</v>
      </c>
      <c r="K84" s="5"/>
      <c r="L84" s="5"/>
      <c r="M84" s="5"/>
      <c r="N84" s="5"/>
      <c r="O84" s="43"/>
      <c r="P84" s="5"/>
      <c r="Q84" s="24">
        <v>67832</v>
      </c>
      <c r="R84" s="3">
        <v>8527</v>
      </c>
      <c r="S84" s="1"/>
      <c r="T84" s="9">
        <f>+J84*R84*13</f>
        <v>1108.51</v>
      </c>
      <c r="U84" s="9"/>
      <c r="V84" s="56">
        <v>242666</v>
      </c>
      <c r="W84" s="1"/>
      <c r="X84" s="36"/>
      <c r="Y84" s="36"/>
    </row>
    <row r="85" spans="2:25" s="62" customFormat="1" x14ac:dyDescent="0.25">
      <c r="B85" s="1" t="s">
        <v>183</v>
      </c>
      <c r="C85" s="3" t="s">
        <v>44</v>
      </c>
      <c r="D85" s="3" t="s">
        <v>402</v>
      </c>
      <c r="E85" s="4">
        <v>36647</v>
      </c>
      <c r="F85" s="4">
        <v>36677</v>
      </c>
      <c r="G85" s="1" t="s">
        <v>187</v>
      </c>
      <c r="H85" s="1">
        <v>22</v>
      </c>
      <c r="I85" s="3" t="s">
        <v>53</v>
      </c>
      <c r="J85" s="8">
        <v>0.01</v>
      </c>
      <c r="K85" s="5"/>
      <c r="L85" s="5"/>
      <c r="M85" s="5"/>
      <c r="N85" s="5"/>
      <c r="O85" s="43"/>
      <c r="P85" s="5"/>
      <c r="Q85" s="24">
        <v>67833</v>
      </c>
      <c r="R85" s="3">
        <v>3000</v>
      </c>
      <c r="S85" s="1"/>
      <c r="T85" s="9">
        <f>+J85*R85*13</f>
        <v>390</v>
      </c>
      <c r="U85" s="9"/>
      <c r="V85" s="56">
        <v>242667</v>
      </c>
      <c r="W85" s="1"/>
      <c r="X85" s="36"/>
      <c r="Y85" s="36"/>
    </row>
    <row r="86" spans="2:25" s="62" customFormat="1" x14ac:dyDescent="0.25">
      <c r="B86" s="1" t="s">
        <v>183</v>
      </c>
      <c r="C86" s="3" t="s">
        <v>44</v>
      </c>
      <c r="D86" s="3" t="s">
        <v>402</v>
      </c>
      <c r="E86" s="4">
        <v>36647</v>
      </c>
      <c r="F86" s="4">
        <v>36677</v>
      </c>
      <c r="G86" s="1" t="s">
        <v>187</v>
      </c>
      <c r="H86" s="1">
        <v>22</v>
      </c>
      <c r="I86" s="3" t="s">
        <v>53</v>
      </c>
      <c r="J86" s="8">
        <v>0.01</v>
      </c>
      <c r="K86" s="5"/>
      <c r="L86" s="5"/>
      <c r="M86" s="5"/>
      <c r="N86" s="5"/>
      <c r="O86" s="43"/>
      <c r="P86" s="5"/>
      <c r="Q86" s="24">
        <v>67834</v>
      </c>
      <c r="R86" s="3">
        <v>3473</v>
      </c>
      <c r="S86" s="1"/>
      <c r="T86" s="9">
        <f>+J86*R86*13</f>
        <v>451.49000000000007</v>
      </c>
      <c r="U86" s="9"/>
      <c r="V86" s="56">
        <v>242669</v>
      </c>
      <c r="W86" s="1"/>
      <c r="X86" s="36"/>
      <c r="Y86" s="36"/>
    </row>
    <row r="87" spans="2:25" s="62" customFormat="1" x14ac:dyDescent="0.25">
      <c r="B87" s="1" t="s">
        <v>183</v>
      </c>
      <c r="C87" s="3" t="s">
        <v>44</v>
      </c>
      <c r="D87" s="3" t="s">
        <v>45</v>
      </c>
      <c r="E87" s="4">
        <v>36647</v>
      </c>
      <c r="F87" s="4">
        <v>37011</v>
      </c>
      <c r="G87" s="1" t="s">
        <v>415</v>
      </c>
      <c r="H87" s="1" t="s">
        <v>416</v>
      </c>
      <c r="I87" s="3" t="s">
        <v>53</v>
      </c>
      <c r="J87" s="8">
        <f>6.401/J1</f>
        <v>0.21336666666666665</v>
      </c>
      <c r="K87" s="5"/>
      <c r="L87" s="5"/>
      <c r="M87" s="5"/>
      <c r="N87" s="5"/>
      <c r="O87" s="43"/>
      <c r="P87" s="5"/>
      <c r="Q87" s="24">
        <v>68188</v>
      </c>
      <c r="R87" s="3">
        <v>1</v>
      </c>
      <c r="S87" s="1" t="s">
        <v>417</v>
      </c>
      <c r="T87" s="9">
        <f>+J87*R87*13</f>
        <v>2.7737666666666665</v>
      </c>
      <c r="U87" s="9"/>
      <c r="V87" s="56">
        <v>253195</v>
      </c>
      <c r="W87" s="1"/>
      <c r="X87" s="36"/>
      <c r="Y87" s="36"/>
    </row>
    <row r="88" spans="2:25" s="62" customFormat="1" x14ac:dyDescent="0.25">
      <c r="B88" s="1" t="s">
        <v>183</v>
      </c>
      <c r="C88" s="3" t="s">
        <v>44</v>
      </c>
      <c r="D88" s="3" t="s">
        <v>45</v>
      </c>
      <c r="E88" s="4">
        <v>36617</v>
      </c>
      <c r="F88" s="4">
        <v>36981</v>
      </c>
      <c r="G88" s="1" t="s">
        <v>187</v>
      </c>
      <c r="H88" s="1" t="s">
        <v>307</v>
      </c>
      <c r="I88" s="3" t="s">
        <v>53</v>
      </c>
      <c r="J88" s="8">
        <v>6.4009999999999998</v>
      </c>
      <c r="K88" s="5"/>
      <c r="L88" s="5"/>
      <c r="M88" s="5"/>
      <c r="N88" s="5"/>
      <c r="O88" s="43"/>
      <c r="P88" s="5"/>
      <c r="Q88" s="24">
        <v>66940</v>
      </c>
      <c r="R88" s="3">
        <v>2</v>
      </c>
      <c r="S88" s="1" t="s">
        <v>308</v>
      </c>
      <c r="T88" s="9">
        <f t="shared" si="7"/>
        <v>12.802</v>
      </c>
      <c r="U88" s="9"/>
      <c r="V88" s="56"/>
      <c r="W88" s="1"/>
      <c r="X88" s="36"/>
      <c r="Y88" s="36"/>
    </row>
    <row r="89" spans="2:25" s="62" customFormat="1" x14ac:dyDescent="0.25">
      <c r="B89" s="1" t="s">
        <v>183</v>
      </c>
      <c r="C89" s="3" t="s">
        <v>44</v>
      </c>
      <c r="D89" s="3" t="s">
        <v>123</v>
      </c>
      <c r="E89" s="4">
        <v>36647</v>
      </c>
      <c r="F89" s="4">
        <v>37011</v>
      </c>
      <c r="G89" s="1" t="s">
        <v>187</v>
      </c>
      <c r="H89" s="1" t="s">
        <v>423</v>
      </c>
      <c r="I89" s="3" t="s">
        <v>53</v>
      </c>
      <c r="J89" s="8">
        <v>6.4009999999999998</v>
      </c>
      <c r="K89" s="5"/>
      <c r="L89" s="5"/>
      <c r="M89" s="5"/>
      <c r="N89" s="5"/>
      <c r="O89" s="43"/>
      <c r="P89" s="5"/>
      <c r="Q89" s="24">
        <v>68109</v>
      </c>
      <c r="R89" s="3">
        <v>21</v>
      </c>
      <c r="S89" s="1" t="s">
        <v>424</v>
      </c>
      <c r="T89" s="9">
        <f t="shared" si="7"/>
        <v>134.42099999999999</v>
      </c>
      <c r="U89" s="9"/>
      <c r="V89" s="56">
        <v>254718</v>
      </c>
      <c r="W89" s="1"/>
      <c r="X89" s="36"/>
      <c r="Y89" s="36"/>
    </row>
    <row r="90" spans="2:25" x14ac:dyDescent="0.25">
      <c r="T90" s="9">
        <f t="shared" si="7"/>
        <v>0</v>
      </c>
    </row>
    <row r="91" spans="2:25" x14ac:dyDescent="0.25">
      <c r="B91" s="10" t="s">
        <v>3</v>
      </c>
      <c r="C91" s="11" t="s">
        <v>3</v>
      </c>
      <c r="D91" s="11" t="s">
        <v>3</v>
      </c>
      <c r="E91" s="13" t="s">
        <v>3</v>
      </c>
      <c r="F91" s="13" t="s">
        <v>3</v>
      </c>
      <c r="G91" s="10" t="s">
        <v>3</v>
      </c>
      <c r="H91" s="30" t="s">
        <v>3</v>
      </c>
      <c r="I91" s="11" t="s">
        <v>3</v>
      </c>
      <c r="J91" s="14"/>
      <c r="K91" s="15"/>
      <c r="L91" s="15"/>
      <c r="M91" s="15"/>
      <c r="N91" s="15"/>
      <c r="O91" s="45"/>
      <c r="P91" s="15"/>
      <c r="Q91" s="26" t="s">
        <v>3</v>
      </c>
      <c r="R91" s="11">
        <f>SUM(R48:R89)</f>
        <v>6237432</v>
      </c>
      <c r="S91" s="10" t="s">
        <v>3</v>
      </c>
      <c r="T91" s="22">
        <f>SUM(T38:T89)</f>
        <v>1065235.4597666673</v>
      </c>
      <c r="U91" s="22" t="e">
        <f>SUM(#REF!)</f>
        <v>#REF!</v>
      </c>
      <c r="V91" s="55"/>
      <c r="W91" s="30"/>
      <c r="X91" s="36"/>
      <c r="Y91" s="36"/>
    </row>
    <row r="92" spans="2:25" x14ac:dyDescent="0.25">
      <c r="B92" s="16" t="s">
        <v>4</v>
      </c>
      <c r="C92" s="17" t="s">
        <v>5</v>
      </c>
      <c r="D92" s="17" t="s">
        <v>6</v>
      </c>
      <c r="E92" s="18" t="s">
        <v>7</v>
      </c>
      <c r="F92" s="18"/>
      <c r="G92" s="16" t="s">
        <v>8</v>
      </c>
      <c r="H92" s="16" t="s">
        <v>9</v>
      </c>
      <c r="I92" s="17" t="s">
        <v>49</v>
      </c>
      <c r="J92" s="19" t="s">
        <v>10</v>
      </c>
      <c r="K92" s="17" t="s">
        <v>11</v>
      </c>
      <c r="L92" s="17" t="s">
        <v>12</v>
      </c>
      <c r="M92" s="17" t="s">
        <v>13</v>
      </c>
      <c r="N92" s="17" t="s">
        <v>14</v>
      </c>
      <c r="O92" s="44" t="s">
        <v>15</v>
      </c>
      <c r="P92" s="17" t="s">
        <v>16</v>
      </c>
      <c r="Q92" s="20" t="s">
        <v>181</v>
      </c>
      <c r="R92" s="17" t="s">
        <v>17</v>
      </c>
      <c r="S92" s="16" t="s">
        <v>18</v>
      </c>
      <c r="T92" s="21" t="s">
        <v>48</v>
      </c>
      <c r="U92" s="21" t="s">
        <v>47</v>
      </c>
      <c r="V92" s="54" t="s">
        <v>182</v>
      </c>
      <c r="W92" s="59">
        <f>+W52</f>
        <v>0</v>
      </c>
      <c r="X92" s="36"/>
      <c r="Y92" s="36"/>
    </row>
    <row r="93" spans="2:25" s="62" customFormat="1" x14ac:dyDescent="0.25">
      <c r="B93" s="1" t="s">
        <v>183</v>
      </c>
      <c r="C93" s="3" t="s">
        <v>36</v>
      </c>
      <c r="D93" s="3" t="s">
        <v>123</v>
      </c>
      <c r="E93" s="4">
        <v>36281</v>
      </c>
      <c r="F93" s="4">
        <v>36646</v>
      </c>
      <c r="G93" s="1" t="s">
        <v>37</v>
      </c>
      <c r="H93" s="1" t="s">
        <v>30</v>
      </c>
      <c r="I93" s="3" t="s">
        <v>122</v>
      </c>
      <c r="J93" s="8">
        <f t="shared" ref="J93:J102" si="8">3.145/J$1</f>
        <v>0.10483333333333333</v>
      </c>
      <c r="K93" s="5">
        <v>1.32E-2</v>
      </c>
      <c r="L93" s="5">
        <v>2.2000000000000001E-3</v>
      </c>
      <c r="M93" s="5">
        <v>0</v>
      </c>
      <c r="N93" s="5">
        <v>0</v>
      </c>
      <c r="O93" s="43">
        <v>2.1160000000000002E-2</v>
      </c>
      <c r="P93" s="5">
        <f t="shared" ref="P93:P102" si="9">SUM(J93:N93)</f>
        <v>0.12023333333333333</v>
      </c>
      <c r="Q93" s="24">
        <v>63562</v>
      </c>
      <c r="R93" s="3">
        <v>34</v>
      </c>
      <c r="S93" s="1"/>
      <c r="T93" s="9">
        <f t="shared" ref="T93:T107" si="10">J93*J$1*R93</f>
        <v>106.93</v>
      </c>
      <c r="U93" s="9"/>
      <c r="V93" s="56">
        <v>156613</v>
      </c>
      <c r="W93" s="1"/>
      <c r="X93" s="36"/>
      <c r="Y93" s="36"/>
    </row>
    <row r="94" spans="2:25" s="62" customFormat="1" x14ac:dyDescent="0.25">
      <c r="B94" s="1" t="s">
        <v>183</v>
      </c>
      <c r="C94" s="3" t="s">
        <v>36</v>
      </c>
      <c r="D94" s="3" t="s">
        <v>123</v>
      </c>
      <c r="E94" s="4">
        <v>36312</v>
      </c>
      <c r="F94" s="4">
        <v>36677</v>
      </c>
      <c r="G94" s="1" t="s">
        <v>37</v>
      </c>
      <c r="H94" s="1" t="s">
        <v>30</v>
      </c>
      <c r="I94" s="3" t="s">
        <v>122</v>
      </c>
      <c r="J94" s="8">
        <f t="shared" si="8"/>
        <v>0.10483333333333333</v>
      </c>
      <c r="K94" s="5">
        <v>1.32E-2</v>
      </c>
      <c r="L94" s="5">
        <v>2.2000000000000001E-3</v>
      </c>
      <c r="M94" s="5">
        <v>0</v>
      </c>
      <c r="N94" s="5">
        <v>0</v>
      </c>
      <c r="O94" s="43">
        <v>2.1160000000000002E-2</v>
      </c>
      <c r="P94" s="5">
        <f t="shared" si="9"/>
        <v>0.12023333333333333</v>
      </c>
      <c r="Q94" s="24">
        <v>63823</v>
      </c>
      <c r="R94" s="3">
        <v>310</v>
      </c>
      <c r="S94" s="1"/>
      <c r="T94" s="9">
        <f t="shared" si="10"/>
        <v>974.95</v>
      </c>
      <c r="U94" s="9"/>
      <c r="V94" s="56">
        <v>156615</v>
      </c>
      <c r="W94" s="1"/>
      <c r="X94" s="36"/>
      <c r="Y94" s="36"/>
    </row>
    <row r="95" spans="2:25" s="62" customFormat="1" x14ac:dyDescent="0.25">
      <c r="B95" s="1" t="s">
        <v>183</v>
      </c>
      <c r="C95" s="3" t="s">
        <v>36</v>
      </c>
      <c r="D95" s="3" t="s">
        <v>46</v>
      </c>
      <c r="E95" s="4">
        <v>36312</v>
      </c>
      <c r="F95" s="4">
        <v>36677</v>
      </c>
      <c r="G95" s="1" t="s">
        <v>37</v>
      </c>
      <c r="H95" s="1" t="s">
        <v>30</v>
      </c>
      <c r="I95" s="3" t="s">
        <v>122</v>
      </c>
      <c r="J95" s="8">
        <f t="shared" si="8"/>
        <v>0.10483333333333333</v>
      </c>
      <c r="K95" s="5">
        <v>1.32E-2</v>
      </c>
      <c r="L95" s="5">
        <v>2.2000000000000001E-3</v>
      </c>
      <c r="M95" s="5">
        <v>0</v>
      </c>
      <c r="N95" s="5">
        <v>0</v>
      </c>
      <c r="O95" s="43">
        <v>2.1160000000000002E-2</v>
      </c>
      <c r="P95" s="5">
        <f t="shared" si="9"/>
        <v>0.12023333333333333</v>
      </c>
      <c r="Q95" s="24">
        <v>63826</v>
      </c>
      <c r="R95" s="3">
        <v>218</v>
      </c>
      <c r="S95" s="1"/>
      <c r="T95" s="9">
        <f t="shared" si="10"/>
        <v>685.61</v>
      </c>
      <c r="U95" s="9"/>
      <c r="V95" s="56">
        <v>156617</v>
      </c>
      <c r="W95" s="1"/>
      <c r="X95" s="36"/>
      <c r="Y95" s="36"/>
    </row>
    <row r="96" spans="2:25" s="62" customFormat="1" x14ac:dyDescent="0.25">
      <c r="B96" s="1" t="s">
        <v>183</v>
      </c>
      <c r="C96" s="3" t="s">
        <v>36</v>
      </c>
      <c r="D96" s="3" t="s">
        <v>46</v>
      </c>
      <c r="E96" s="4">
        <v>36342</v>
      </c>
      <c r="F96" s="4">
        <v>36707</v>
      </c>
      <c r="G96" s="1" t="s">
        <v>37</v>
      </c>
      <c r="H96" s="1" t="s">
        <v>30</v>
      </c>
      <c r="I96" s="3" t="s">
        <v>122</v>
      </c>
      <c r="J96" s="8">
        <f t="shared" si="8"/>
        <v>0.10483333333333333</v>
      </c>
      <c r="K96" s="5">
        <v>1.32E-2</v>
      </c>
      <c r="L96" s="5">
        <v>2.2000000000000001E-3</v>
      </c>
      <c r="M96" s="5">
        <v>0</v>
      </c>
      <c r="N96" s="5">
        <v>0</v>
      </c>
      <c r="O96" s="43">
        <v>2.1160000000000002E-2</v>
      </c>
      <c r="P96" s="5">
        <f t="shared" si="9"/>
        <v>0.12023333333333333</v>
      </c>
      <c r="Q96" s="24">
        <v>64033</v>
      </c>
      <c r="R96" s="3">
        <v>1</v>
      </c>
      <c r="S96" s="1"/>
      <c r="T96" s="9">
        <f t="shared" si="10"/>
        <v>3.145</v>
      </c>
      <c r="U96" s="9"/>
      <c r="V96" s="56">
        <v>156618</v>
      </c>
      <c r="W96" s="1"/>
      <c r="X96" s="36"/>
      <c r="Y96" s="36"/>
    </row>
    <row r="97" spans="2:25" s="62" customFormat="1" x14ac:dyDescent="0.25">
      <c r="B97" s="1" t="s">
        <v>183</v>
      </c>
      <c r="C97" s="3" t="s">
        <v>36</v>
      </c>
      <c r="D97" s="3" t="s">
        <v>123</v>
      </c>
      <c r="E97" s="4">
        <v>36342</v>
      </c>
      <c r="F97" s="4">
        <v>36707</v>
      </c>
      <c r="G97" s="1" t="s">
        <v>37</v>
      </c>
      <c r="H97" s="1" t="s">
        <v>30</v>
      </c>
      <c r="I97" s="3" t="s">
        <v>122</v>
      </c>
      <c r="J97" s="8">
        <f t="shared" si="8"/>
        <v>0.10483333333333333</v>
      </c>
      <c r="K97" s="5">
        <v>1.32E-2</v>
      </c>
      <c r="L97" s="5">
        <v>2.2000000000000001E-3</v>
      </c>
      <c r="M97" s="5">
        <v>0</v>
      </c>
      <c r="N97" s="5">
        <v>0</v>
      </c>
      <c r="O97" s="43">
        <v>2.1160000000000002E-2</v>
      </c>
      <c r="P97" s="5">
        <f t="shared" si="9"/>
        <v>0.12023333333333333</v>
      </c>
      <c r="Q97" s="24">
        <v>64035</v>
      </c>
      <c r="R97" s="3">
        <v>931</v>
      </c>
      <c r="S97" s="1"/>
      <c r="T97" s="9">
        <f t="shared" si="10"/>
        <v>2927.9949999999999</v>
      </c>
      <c r="U97" s="9"/>
      <c r="V97" s="56">
        <v>156620</v>
      </c>
      <c r="W97" s="1"/>
      <c r="X97" s="36"/>
      <c r="Y97" s="36"/>
    </row>
    <row r="98" spans="2:25" s="62" customFormat="1" x14ac:dyDescent="0.25">
      <c r="B98" s="1" t="s">
        <v>183</v>
      </c>
      <c r="C98" s="3" t="s">
        <v>36</v>
      </c>
      <c r="D98" s="3" t="s">
        <v>46</v>
      </c>
      <c r="E98" s="4">
        <v>36373</v>
      </c>
      <c r="F98" s="4">
        <v>36738</v>
      </c>
      <c r="G98" s="1" t="s">
        <v>37</v>
      </c>
      <c r="H98" s="1" t="s">
        <v>30</v>
      </c>
      <c r="I98" s="3" t="s">
        <v>122</v>
      </c>
      <c r="J98" s="8">
        <f t="shared" si="8"/>
        <v>0.10483333333333333</v>
      </c>
      <c r="K98" s="5">
        <v>1.32E-2</v>
      </c>
      <c r="L98" s="5">
        <v>2.2000000000000001E-3</v>
      </c>
      <c r="M98" s="5">
        <v>0</v>
      </c>
      <c r="N98" s="5">
        <v>0</v>
      </c>
      <c r="O98" s="43">
        <v>2.1160000000000002E-2</v>
      </c>
      <c r="P98" s="5">
        <f t="shared" si="9"/>
        <v>0.12023333333333333</v>
      </c>
      <c r="Q98" s="24">
        <v>64332</v>
      </c>
      <c r="R98" s="3">
        <v>12</v>
      </c>
      <c r="S98" s="1"/>
      <c r="T98" s="9">
        <f t="shared" si="10"/>
        <v>37.74</v>
      </c>
      <c r="U98" s="9"/>
      <c r="V98" s="56">
        <v>156621</v>
      </c>
      <c r="W98" s="1"/>
      <c r="X98" s="36"/>
      <c r="Y98" s="36"/>
    </row>
    <row r="99" spans="2:25" s="62" customFormat="1" x14ac:dyDescent="0.25">
      <c r="B99" s="1" t="s">
        <v>183</v>
      </c>
      <c r="C99" s="3" t="s">
        <v>36</v>
      </c>
      <c r="D99" s="3" t="s">
        <v>123</v>
      </c>
      <c r="E99" s="4">
        <v>36373</v>
      </c>
      <c r="F99" s="4">
        <v>36738</v>
      </c>
      <c r="G99" s="1" t="s">
        <v>37</v>
      </c>
      <c r="H99" s="1" t="s">
        <v>30</v>
      </c>
      <c r="I99" s="3" t="s">
        <v>122</v>
      </c>
      <c r="J99" s="8">
        <f t="shared" si="8"/>
        <v>0.10483333333333333</v>
      </c>
      <c r="K99" s="5">
        <v>1.32E-2</v>
      </c>
      <c r="L99" s="5">
        <v>2.2000000000000001E-3</v>
      </c>
      <c r="M99" s="5">
        <v>0</v>
      </c>
      <c r="N99" s="5">
        <v>0</v>
      </c>
      <c r="O99" s="43">
        <v>2.1160000000000002E-2</v>
      </c>
      <c r="P99" s="5">
        <f t="shared" si="9"/>
        <v>0.12023333333333333</v>
      </c>
      <c r="Q99" s="24">
        <v>64334</v>
      </c>
      <c r="R99" s="3">
        <v>52</v>
      </c>
      <c r="S99" s="1"/>
      <c r="T99" s="9">
        <f t="shared" si="10"/>
        <v>163.54</v>
      </c>
      <c r="U99" s="9"/>
      <c r="V99" s="56">
        <v>221878</v>
      </c>
      <c r="W99" s="1"/>
      <c r="X99" s="36"/>
      <c r="Y99" s="36"/>
    </row>
    <row r="100" spans="2:25" s="62" customFormat="1" x14ac:dyDescent="0.25">
      <c r="B100" s="1" t="s">
        <v>183</v>
      </c>
      <c r="C100" s="3" t="s">
        <v>36</v>
      </c>
      <c r="D100" s="3"/>
      <c r="E100" s="4">
        <v>36373</v>
      </c>
      <c r="F100" s="4">
        <v>36738</v>
      </c>
      <c r="G100" s="1" t="s">
        <v>37</v>
      </c>
      <c r="H100" s="1" t="s">
        <v>300</v>
      </c>
      <c r="I100" s="3" t="s">
        <v>122</v>
      </c>
      <c r="J100" s="8">
        <f t="shared" si="8"/>
        <v>0.10483333333333333</v>
      </c>
      <c r="K100" s="5">
        <v>1.32E-2</v>
      </c>
      <c r="L100" s="5">
        <v>2.2000000000000001E-3</v>
      </c>
      <c r="M100" s="5">
        <v>0</v>
      </c>
      <c r="N100" s="5">
        <v>0</v>
      </c>
      <c r="O100" s="43">
        <v>2.1160000000000002E-2</v>
      </c>
      <c r="P100" s="5">
        <f>SUM(J100:N100)</f>
        <v>0.12023333333333333</v>
      </c>
      <c r="Q100" s="24">
        <v>64446</v>
      </c>
      <c r="R100" s="3">
        <v>142</v>
      </c>
      <c r="S100" s="1"/>
      <c r="T100" s="9">
        <f t="shared" si="10"/>
        <v>446.59</v>
      </c>
      <c r="U100" s="9"/>
      <c r="V100" s="56">
        <v>221881</v>
      </c>
      <c r="W100" s="1"/>
      <c r="X100" s="36"/>
      <c r="Y100" s="36"/>
    </row>
    <row r="101" spans="2:25" s="62" customFormat="1" x14ac:dyDescent="0.25">
      <c r="B101" s="1" t="s">
        <v>183</v>
      </c>
      <c r="C101" s="3" t="s">
        <v>36</v>
      </c>
      <c r="D101" s="3" t="s">
        <v>46</v>
      </c>
      <c r="E101" s="4">
        <v>36404</v>
      </c>
      <c r="F101" s="4">
        <v>36769</v>
      </c>
      <c r="G101" s="1" t="s">
        <v>37</v>
      </c>
      <c r="H101" s="1" t="s">
        <v>30</v>
      </c>
      <c r="I101" s="3" t="s">
        <v>122</v>
      </c>
      <c r="J101" s="8">
        <f t="shared" si="8"/>
        <v>0.10483333333333333</v>
      </c>
      <c r="K101" s="5">
        <v>1.32E-2</v>
      </c>
      <c r="L101" s="5">
        <v>2.2000000000000001E-3</v>
      </c>
      <c r="M101" s="5">
        <v>0</v>
      </c>
      <c r="N101" s="5">
        <v>0</v>
      </c>
      <c r="O101" s="43">
        <v>2.1160000000000002E-2</v>
      </c>
      <c r="P101" s="5">
        <f t="shared" si="9"/>
        <v>0.12023333333333333</v>
      </c>
      <c r="Q101" s="24">
        <v>64652</v>
      </c>
      <c r="R101" s="3">
        <v>65</v>
      </c>
      <c r="S101" s="1"/>
      <c r="T101" s="9">
        <f t="shared" si="10"/>
        <v>204.42500000000001</v>
      </c>
      <c r="U101" s="9"/>
      <c r="V101" s="56">
        <v>156623</v>
      </c>
      <c r="W101" s="1"/>
      <c r="X101" s="36"/>
      <c r="Y101" s="36"/>
    </row>
    <row r="102" spans="2:25" s="62" customFormat="1" x14ac:dyDescent="0.25">
      <c r="B102" s="1" t="s">
        <v>183</v>
      </c>
      <c r="C102" s="3" t="s">
        <v>36</v>
      </c>
      <c r="D102" s="3" t="s">
        <v>46</v>
      </c>
      <c r="E102" s="4">
        <v>36434</v>
      </c>
      <c r="F102" s="4">
        <v>36799</v>
      </c>
      <c r="G102" s="1" t="s">
        <v>37</v>
      </c>
      <c r="H102" s="1" t="s">
        <v>30</v>
      </c>
      <c r="I102" s="3" t="s">
        <v>122</v>
      </c>
      <c r="J102" s="8">
        <f t="shared" si="8"/>
        <v>0.10483333333333333</v>
      </c>
      <c r="K102" s="5">
        <v>1.32E-2</v>
      </c>
      <c r="L102" s="5">
        <v>2.2000000000000001E-3</v>
      </c>
      <c r="M102" s="5">
        <v>0</v>
      </c>
      <c r="N102" s="5">
        <v>0</v>
      </c>
      <c r="O102" s="43">
        <v>2.1160000000000002E-2</v>
      </c>
      <c r="P102" s="5">
        <f t="shared" si="9"/>
        <v>0.12023333333333333</v>
      </c>
      <c r="Q102" s="24">
        <v>64863</v>
      </c>
      <c r="R102" s="3">
        <v>13</v>
      </c>
      <c r="S102" s="1"/>
      <c r="T102" s="9">
        <f t="shared" si="10"/>
        <v>40.884999999999998</v>
      </c>
      <c r="U102" s="9"/>
      <c r="V102" s="56">
        <v>156625</v>
      </c>
      <c r="W102" s="1"/>
      <c r="X102" s="36"/>
      <c r="Y102" s="36"/>
    </row>
    <row r="103" spans="2:25" s="62" customFormat="1" x14ac:dyDescent="0.25">
      <c r="B103" s="1" t="s">
        <v>183</v>
      </c>
      <c r="C103" s="3" t="s">
        <v>36</v>
      </c>
      <c r="D103" s="3" t="s">
        <v>46</v>
      </c>
      <c r="E103" s="4">
        <v>36465</v>
      </c>
      <c r="F103" s="4">
        <v>36830</v>
      </c>
      <c r="G103" s="1" t="s">
        <v>37</v>
      </c>
      <c r="H103" s="1" t="s">
        <v>30</v>
      </c>
      <c r="I103" s="3"/>
      <c r="J103" s="8">
        <f>3.145/J$1</f>
        <v>0.10483333333333333</v>
      </c>
      <c r="K103" s="5">
        <v>1.32E-2</v>
      </c>
      <c r="L103" s="5">
        <v>2.2000000000000001E-3</v>
      </c>
      <c r="M103" s="5">
        <v>0</v>
      </c>
      <c r="N103" s="5">
        <v>0</v>
      </c>
      <c r="O103" s="43">
        <v>2.1160000000000002E-2</v>
      </c>
      <c r="P103" s="5">
        <f>SUM(J103:N103)</f>
        <v>0.12023333333333333</v>
      </c>
      <c r="Q103" s="24">
        <v>65027</v>
      </c>
      <c r="R103" s="3">
        <v>131</v>
      </c>
      <c r="S103" s="1" t="s">
        <v>43</v>
      </c>
      <c r="T103" s="9">
        <f t="shared" si="10"/>
        <v>411.995</v>
      </c>
      <c r="U103" s="9"/>
      <c r="V103" s="56">
        <v>156666</v>
      </c>
      <c r="W103" s="1" t="s">
        <v>42</v>
      </c>
      <c r="X103" s="36"/>
      <c r="Y103" s="36"/>
    </row>
    <row r="104" spans="2:25" s="62" customFormat="1" x14ac:dyDescent="0.25">
      <c r="B104" s="1" t="s">
        <v>183</v>
      </c>
      <c r="C104" s="3" t="s">
        <v>36</v>
      </c>
      <c r="D104" s="3" t="s">
        <v>46</v>
      </c>
      <c r="E104" s="4">
        <v>36495</v>
      </c>
      <c r="F104" s="4">
        <v>36860</v>
      </c>
      <c r="G104" s="1" t="s">
        <v>37</v>
      </c>
      <c r="H104" s="1" t="s">
        <v>30</v>
      </c>
      <c r="I104" s="3" t="s">
        <v>122</v>
      </c>
      <c r="J104" s="8">
        <f>3.145/J$1</f>
        <v>0.10483333333333333</v>
      </c>
      <c r="K104" s="5">
        <v>1.32E-2</v>
      </c>
      <c r="L104" s="5">
        <v>2.2000000000000001E-3</v>
      </c>
      <c r="M104" s="5">
        <v>0</v>
      </c>
      <c r="N104" s="5">
        <v>0</v>
      </c>
      <c r="O104" s="43">
        <v>2.1160000000000002E-2</v>
      </c>
      <c r="P104" s="5">
        <f>SUM(J104:N104)</f>
        <v>0.12023333333333333</v>
      </c>
      <c r="Q104" s="24">
        <v>65557</v>
      </c>
      <c r="R104" s="3">
        <v>3</v>
      </c>
      <c r="S104" s="1"/>
      <c r="T104" s="9">
        <f t="shared" si="10"/>
        <v>9.4350000000000005</v>
      </c>
      <c r="U104" s="9"/>
      <c r="V104" s="56">
        <v>156669</v>
      </c>
      <c r="W104" s="1"/>
      <c r="X104" s="36"/>
      <c r="Y104" s="36"/>
    </row>
    <row r="105" spans="2:25" s="62" customFormat="1" x14ac:dyDescent="0.25">
      <c r="B105" s="1" t="s">
        <v>183</v>
      </c>
      <c r="C105" s="3" t="s">
        <v>36</v>
      </c>
      <c r="D105" s="3" t="s">
        <v>46</v>
      </c>
      <c r="E105" s="4">
        <v>36617</v>
      </c>
      <c r="F105" s="4">
        <v>36616</v>
      </c>
      <c r="G105" s="1" t="s">
        <v>37</v>
      </c>
      <c r="H105" s="1" t="s">
        <v>30</v>
      </c>
      <c r="I105" s="3" t="s">
        <v>122</v>
      </c>
      <c r="J105" s="8">
        <f>3.145/J1</f>
        <v>0.10483333333333333</v>
      </c>
      <c r="K105" s="5"/>
      <c r="L105" s="5"/>
      <c r="M105" s="5"/>
      <c r="N105" s="5"/>
      <c r="O105" s="43"/>
      <c r="P105" s="5"/>
      <c r="Q105" s="24">
        <v>66941</v>
      </c>
      <c r="R105" s="3">
        <v>53</v>
      </c>
      <c r="S105" s="1"/>
      <c r="T105" s="9">
        <f t="shared" si="10"/>
        <v>166.685</v>
      </c>
      <c r="U105" s="9"/>
      <c r="V105" s="56">
        <v>228122</v>
      </c>
      <c r="W105" s="1"/>
      <c r="X105" s="36"/>
      <c r="Y105" s="36"/>
    </row>
    <row r="106" spans="2:25" s="62" customFormat="1" x14ac:dyDescent="0.25">
      <c r="B106" s="1" t="s">
        <v>183</v>
      </c>
      <c r="C106" s="3" t="s">
        <v>36</v>
      </c>
      <c r="D106" s="3" t="s">
        <v>112</v>
      </c>
      <c r="E106" s="4">
        <v>36617</v>
      </c>
      <c r="F106" s="4">
        <v>36646</v>
      </c>
      <c r="G106" s="1" t="s">
        <v>207</v>
      </c>
      <c r="H106" s="1" t="s">
        <v>208</v>
      </c>
      <c r="I106" s="3" t="s">
        <v>124</v>
      </c>
      <c r="J106" s="8">
        <f>1.0603/30</f>
        <v>3.5343333333333331E-2</v>
      </c>
      <c r="K106" s="5">
        <v>0</v>
      </c>
      <c r="L106" s="5">
        <v>2.2000000000000001E-3</v>
      </c>
      <c r="M106" s="5">
        <v>7.1999999999999998E-3</v>
      </c>
      <c r="N106" s="5">
        <v>0</v>
      </c>
      <c r="O106" s="43">
        <v>0</v>
      </c>
      <c r="P106" s="5">
        <f>SUM(J106:N106)</f>
        <v>4.4743333333333329E-2</v>
      </c>
      <c r="Q106" s="24">
        <v>66938</v>
      </c>
      <c r="R106" s="3">
        <v>177</v>
      </c>
      <c r="S106" s="1"/>
      <c r="T106" s="9">
        <f t="shared" si="10"/>
        <v>187.67310000000001</v>
      </c>
      <c r="U106" s="9"/>
      <c r="V106" s="56">
        <v>228160</v>
      </c>
      <c r="W106" s="1"/>
      <c r="X106" s="36"/>
      <c r="Y106" s="36"/>
    </row>
    <row r="107" spans="2:25" s="62" customFormat="1" x14ac:dyDescent="0.25">
      <c r="B107" s="1" t="s">
        <v>183</v>
      </c>
      <c r="C107" s="3" t="s">
        <v>36</v>
      </c>
      <c r="D107" s="3" t="s">
        <v>112</v>
      </c>
      <c r="E107" s="4">
        <v>36617</v>
      </c>
      <c r="F107" s="4">
        <v>36646</v>
      </c>
      <c r="G107" s="1" t="s">
        <v>37</v>
      </c>
      <c r="H107" s="1" t="s">
        <v>30</v>
      </c>
      <c r="I107" s="3" t="s">
        <v>122</v>
      </c>
      <c r="J107" s="8">
        <f>3.145/J1</f>
        <v>0.10483333333333333</v>
      </c>
      <c r="K107" s="5">
        <v>0</v>
      </c>
      <c r="L107" s="5">
        <v>2.2000000000000001E-3</v>
      </c>
      <c r="M107" s="5">
        <v>7.1999999999999998E-3</v>
      </c>
      <c r="N107" s="5">
        <v>0</v>
      </c>
      <c r="O107" s="43">
        <v>0</v>
      </c>
      <c r="P107" s="5">
        <f>SUM(J107:N107)</f>
        <v>0.11423333333333333</v>
      </c>
      <c r="Q107" s="24">
        <v>66937</v>
      </c>
      <c r="R107" s="3">
        <v>172</v>
      </c>
      <c r="S107" s="1"/>
      <c r="T107" s="9">
        <f t="shared" si="10"/>
        <v>540.94000000000005</v>
      </c>
      <c r="U107" s="9"/>
      <c r="V107" s="56">
        <v>228163</v>
      </c>
      <c r="W107" s="1"/>
      <c r="X107" s="36"/>
      <c r="Y107" s="36"/>
    </row>
    <row r="108" spans="2:25" s="62" customFormat="1" x14ac:dyDescent="0.25">
      <c r="B108" s="1" t="s">
        <v>183</v>
      </c>
      <c r="C108" s="3" t="s">
        <v>36</v>
      </c>
      <c r="D108" s="3" t="s">
        <v>46</v>
      </c>
      <c r="E108" s="4">
        <v>36557</v>
      </c>
      <c r="F108" s="4">
        <v>36922</v>
      </c>
      <c r="G108" s="1" t="s">
        <v>37</v>
      </c>
      <c r="H108" s="1" t="s">
        <v>30</v>
      </c>
      <c r="I108" s="3" t="s">
        <v>122</v>
      </c>
      <c r="J108" s="8">
        <f>3.145/31</f>
        <v>0.10145161290322581</v>
      </c>
      <c r="K108" s="5"/>
      <c r="L108" s="5"/>
      <c r="M108" s="5"/>
      <c r="N108" s="5"/>
      <c r="O108" s="43"/>
      <c r="P108" s="5"/>
      <c r="Q108" s="24">
        <v>66283</v>
      </c>
      <c r="R108" s="3">
        <v>5</v>
      </c>
      <c r="S108" s="1"/>
      <c r="T108" s="100">
        <f>+J108*R108*31</f>
        <v>15.725000000000001</v>
      </c>
      <c r="U108" s="9"/>
      <c r="V108" s="56">
        <v>156674</v>
      </c>
      <c r="W108" s="1"/>
      <c r="X108" s="36"/>
      <c r="Y108" s="36"/>
    </row>
    <row r="109" spans="2:25" s="62" customFormat="1" x14ac:dyDescent="0.25">
      <c r="B109" s="1" t="s">
        <v>183</v>
      </c>
      <c r="C109" s="3" t="s">
        <v>36</v>
      </c>
      <c r="D109" s="3" t="s">
        <v>306</v>
      </c>
      <c r="E109" s="4">
        <v>36617</v>
      </c>
      <c r="F109" s="4">
        <v>36981</v>
      </c>
      <c r="G109" s="1" t="s">
        <v>37</v>
      </c>
      <c r="H109" s="1" t="s">
        <v>30</v>
      </c>
      <c r="I109" s="3" t="s">
        <v>122</v>
      </c>
      <c r="J109" s="8">
        <f>3.15/J1</f>
        <v>0.105</v>
      </c>
      <c r="K109" s="5"/>
      <c r="L109" s="5"/>
      <c r="M109" s="5"/>
      <c r="N109" s="5"/>
      <c r="O109" s="43"/>
      <c r="P109" s="5"/>
      <c r="Q109" s="24">
        <v>66941</v>
      </c>
      <c r="R109" s="3">
        <v>53</v>
      </c>
      <c r="S109" s="1"/>
      <c r="T109" s="100">
        <f>+J109*R109*31</f>
        <v>172.51499999999999</v>
      </c>
      <c r="U109" s="9"/>
      <c r="V109" s="56">
        <v>228122</v>
      </c>
      <c r="W109" s="1"/>
      <c r="X109" s="36"/>
      <c r="Y109" s="36"/>
    </row>
    <row r="110" spans="2:25" s="62" customFormat="1" x14ac:dyDescent="0.25">
      <c r="B110" s="1" t="s">
        <v>183</v>
      </c>
      <c r="C110" s="3" t="s">
        <v>36</v>
      </c>
      <c r="D110" s="3" t="s">
        <v>46</v>
      </c>
      <c r="E110" s="4">
        <v>36656</v>
      </c>
      <c r="F110" s="4">
        <v>36950</v>
      </c>
      <c r="G110" s="1" t="s">
        <v>37</v>
      </c>
      <c r="H110" s="1" t="s">
        <v>30</v>
      </c>
      <c r="I110" s="3" t="s">
        <v>122</v>
      </c>
      <c r="J110" s="8">
        <v>3.145</v>
      </c>
      <c r="K110" s="5"/>
      <c r="L110" s="5"/>
      <c r="M110" s="5"/>
      <c r="N110" s="5"/>
      <c r="O110" s="43"/>
      <c r="P110" s="5"/>
      <c r="Q110" s="24">
        <v>68308</v>
      </c>
      <c r="R110" s="3">
        <v>9</v>
      </c>
      <c r="S110" s="1"/>
      <c r="T110" s="9">
        <f>+R110*J110/31*21</f>
        <v>19.174354838709679</v>
      </c>
      <c r="U110" s="9"/>
      <c r="V110" s="56">
        <v>262090</v>
      </c>
      <c r="W110" s="1" t="s">
        <v>217</v>
      </c>
      <c r="X110" s="36"/>
      <c r="Y110" s="36"/>
    </row>
    <row r="111" spans="2:25" s="62" customFormat="1" x14ac:dyDescent="0.25">
      <c r="B111" s="1" t="s">
        <v>183</v>
      </c>
      <c r="C111" s="3" t="s">
        <v>36</v>
      </c>
      <c r="D111" s="3" t="s">
        <v>46</v>
      </c>
      <c r="E111" s="4">
        <v>36617</v>
      </c>
      <c r="F111" s="4">
        <v>36655</v>
      </c>
      <c r="G111" s="1" t="s">
        <v>37</v>
      </c>
      <c r="H111" s="1" t="s">
        <v>30</v>
      </c>
      <c r="I111" s="3" t="s">
        <v>122</v>
      </c>
      <c r="J111" s="8">
        <v>3.145</v>
      </c>
      <c r="K111" s="5"/>
      <c r="L111" s="5"/>
      <c r="M111" s="5"/>
      <c r="N111" s="5"/>
      <c r="O111" s="43"/>
      <c r="P111" s="5"/>
      <c r="Q111" s="24">
        <v>66615</v>
      </c>
      <c r="R111" s="3">
        <v>9</v>
      </c>
      <c r="S111" s="1"/>
      <c r="T111" s="9">
        <f>+R111*J111/31*9</f>
        <v>8.2175806451612914</v>
      </c>
      <c r="U111" s="9"/>
      <c r="V111" s="56">
        <v>262082</v>
      </c>
      <c r="W111" s="1" t="s">
        <v>217</v>
      </c>
      <c r="X111" s="36"/>
      <c r="Y111" s="36"/>
    </row>
    <row r="112" spans="2:25" s="62" customFormat="1" x14ac:dyDescent="0.25">
      <c r="B112" s="1" t="s">
        <v>183</v>
      </c>
      <c r="C112" s="3" t="s">
        <v>36</v>
      </c>
      <c r="D112" s="3" t="s">
        <v>123</v>
      </c>
      <c r="E112" s="4">
        <v>36647</v>
      </c>
      <c r="F112" s="4">
        <v>37011</v>
      </c>
      <c r="G112" s="1" t="s">
        <v>37</v>
      </c>
      <c r="H112" s="1" t="s">
        <v>30</v>
      </c>
      <c r="I112" s="3" t="s">
        <v>122</v>
      </c>
      <c r="J112" s="8">
        <v>3.1539999999999999</v>
      </c>
      <c r="K112" s="5"/>
      <c r="L112" s="5"/>
      <c r="M112" s="5"/>
      <c r="N112" s="5"/>
      <c r="O112" s="43"/>
      <c r="P112" s="5"/>
      <c r="Q112" s="24">
        <v>68281</v>
      </c>
      <c r="R112" s="3">
        <v>21</v>
      </c>
      <c r="S112" s="1" t="s">
        <v>421</v>
      </c>
      <c r="T112" s="9">
        <f>+J112*R112</f>
        <v>66.233999999999995</v>
      </c>
      <c r="U112" s="9"/>
      <c r="V112" s="56">
        <v>256413</v>
      </c>
      <c r="W112" s="1"/>
      <c r="X112" s="36"/>
      <c r="Y112" s="36"/>
    </row>
    <row r="114" spans="2:25" s="62" customFormat="1" x14ac:dyDescent="0.25">
      <c r="B114" s="1"/>
      <c r="C114" s="3"/>
      <c r="D114" s="3"/>
      <c r="E114" s="4"/>
      <c r="F114" s="4"/>
      <c r="G114" s="1"/>
      <c r="H114" s="1"/>
      <c r="I114" s="3"/>
      <c r="J114" s="8"/>
      <c r="K114" s="5"/>
      <c r="L114" s="5"/>
      <c r="M114" s="5"/>
      <c r="N114" s="5"/>
      <c r="O114" s="43"/>
      <c r="P114" s="5"/>
      <c r="Q114" s="24"/>
      <c r="R114" s="3"/>
      <c r="S114" s="1"/>
      <c r="T114" s="9"/>
      <c r="U114" s="9"/>
      <c r="V114" s="56"/>
      <c r="W114" s="1"/>
      <c r="X114" s="36"/>
      <c r="Y114" s="36"/>
    </row>
    <row r="115" spans="2:25" x14ac:dyDescent="0.25">
      <c r="B115" s="1"/>
      <c r="C115" s="3"/>
      <c r="D115" s="3"/>
      <c r="E115" s="4"/>
      <c r="F115" s="4"/>
      <c r="G115" s="1"/>
      <c r="H115" s="1"/>
      <c r="I115" s="3"/>
      <c r="J115" s="8"/>
      <c r="K115" s="5"/>
      <c r="L115" s="23"/>
      <c r="M115" s="5"/>
      <c r="N115" s="5"/>
      <c r="O115" s="43"/>
      <c r="P115" s="5"/>
      <c r="Q115" s="24"/>
      <c r="R115" s="2">
        <f>SUM(R93:R113)</f>
        <v>2411</v>
      </c>
      <c r="S115" s="3"/>
      <c r="T115" s="9">
        <f>SUM(T93:T114)</f>
        <v>7190.4040354838735</v>
      </c>
      <c r="U115" s="9"/>
      <c r="V115" s="56"/>
      <c r="W115" s="1"/>
      <c r="X115" s="36"/>
      <c r="Y115" s="36"/>
    </row>
    <row r="116" spans="2:25" x14ac:dyDescent="0.25">
      <c r="B116" s="16" t="s">
        <v>4</v>
      </c>
      <c r="C116" s="17" t="s">
        <v>5</v>
      </c>
      <c r="D116" s="17" t="s">
        <v>6</v>
      </c>
      <c r="E116" s="18" t="s">
        <v>7</v>
      </c>
      <c r="F116" s="18"/>
      <c r="G116" s="16" t="s">
        <v>8</v>
      </c>
      <c r="H116" s="16" t="s">
        <v>9</v>
      </c>
      <c r="I116" s="17" t="s">
        <v>49</v>
      </c>
      <c r="J116" s="19" t="s">
        <v>10</v>
      </c>
      <c r="K116" s="17" t="s">
        <v>11</v>
      </c>
      <c r="L116" s="17" t="s">
        <v>12</v>
      </c>
      <c r="M116" s="17" t="s">
        <v>13</v>
      </c>
      <c r="N116" s="17" t="s">
        <v>14</v>
      </c>
      <c r="O116" s="44" t="s">
        <v>15</v>
      </c>
      <c r="P116" s="17" t="s">
        <v>16</v>
      </c>
      <c r="Q116" s="20" t="s">
        <v>181</v>
      </c>
      <c r="R116" s="17" t="s">
        <v>17</v>
      </c>
      <c r="S116" s="16" t="s">
        <v>18</v>
      </c>
      <c r="T116" s="21" t="s">
        <v>48</v>
      </c>
      <c r="U116" s="21" t="s">
        <v>47</v>
      </c>
      <c r="V116" s="54" t="s">
        <v>182</v>
      </c>
      <c r="W116" s="59">
        <f>+W56</f>
        <v>0</v>
      </c>
      <c r="X116" s="36"/>
      <c r="Y116" s="36"/>
    </row>
    <row r="117" spans="2:25" s="62" customFormat="1" ht="12" customHeight="1" x14ac:dyDescent="0.25">
      <c r="B117" s="1" t="s">
        <v>183</v>
      </c>
      <c r="C117" s="3" t="s">
        <v>262</v>
      </c>
      <c r="D117" s="3" t="s">
        <v>447</v>
      </c>
      <c r="E117" s="4">
        <v>35612</v>
      </c>
      <c r="F117" s="4">
        <v>37437</v>
      </c>
      <c r="G117" s="29" t="s">
        <v>263</v>
      </c>
      <c r="H117" s="1" t="s">
        <v>264</v>
      </c>
      <c r="I117" s="3" t="s">
        <v>53</v>
      </c>
      <c r="J117" s="8">
        <f>+(5.6195+1.3875+0.2)/J$1</f>
        <v>0.24023333333333335</v>
      </c>
      <c r="K117" s="5">
        <v>0</v>
      </c>
      <c r="L117" s="5">
        <v>2.2000000000000001E-3</v>
      </c>
      <c r="M117" s="5">
        <v>7.1999999999999998E-3</v>
      </c>
      <c r="N117" s="5">
        <v>0</v>
      </c>
      <c r="O117" s="43">
        <v>0</v>
      </c>
      <c r="P117" s="5">
        <f>SUM(J117:N117)</f>
        <v>0.24963333333333337</v>
      </c>
      <c r="Q117" s="24">
        <v>270</v>
      </c>
      <c r="R117" s="3">
        <v>1000</v>
      </c>
      <c r="S117" s="1"/>
      <c r="T117" s="9">
        <f>J117*J$1*R117</f>
        <v>7207.0000000000009</v>
      </c>
      <c r="U117" s="9"/>
      <c r="V117" s="56">
        <v>149901</v>
      </c>
      <c r="W117" s="1" t="s">
        <v>448</v>
      </c>
      <c r="X117" s="36"/>
      <c r="Y117" s="36"/>
    </row>
    <row r="118" spans="2:25" s="62" customFormat="1" ht="12" customHeight="1" x14ac:dyDescent="0.25">
      <c r="B118" s="1"/>
      <c r="C118" s="3"/>
      <c r="D118" s="3"/>
      <c r="E118" s="4"/>
      <c r="F118" s="4"/>
      <c r="G118" s="29"/>
      <c r="H118" s="29"/>
      <c r="I118" s="3"/>
      <c r="J118" s="8"/>
      <c r="K118" s="5"/>
      <c r="L118" s="5"/>
      <c r="M118" s="5"/>
      <c r="N118" s="5"/>
      <c r="O118" s="43"/>
      <c r="P118" s="5"/>
      <c r="Q118" s="24"/>
      <c r="R118" s="3"/>
      <c r="S118" s="1"/>
      <c r="T118" s="9">
        <f>SUM(T117)</f>
        <v>7207.0000000000009</v>
      </c>
      <c r="U118" s="9"/>
      <c r="V118" s="56"/>
      <c r="W118" s="1"/>
      <c r="X118" s="36"/>
      <c r="Y118" s="36"/>
    </row>
    <row r="119" spans="2:25" x14ac:dyDescent="0.25">
      <c r="B119" s="16" t="s">
        <v>4</v>
      </c>
      <c r="C119" s="17" t="s">
        <v>5</v>
      </c>
      <c r="D119" s="17" t="s">
        <v>6</v>
      </c>
      <c r="E119" s="18" t="s">
        <v>7</v>
      </c>
      <c r="F119" s="18"/>
      <c r="G119" s="16" t="s">
        <v>8</v>
      </c>
      <c r="H119" s="16" t="s">
        <v>9</v>
      </c>
      <c r="I119" s="17" t="s">
        <v>49</v>
      </c>
      <c r="J119" s="19" t="s">
        <v>10</v>
      </c>
      <c r="K119" s="17" t="s">
        <v>11</v>
      </c>
      <c r="L119" s="17" t="s">
        <v>12</v>
      </c>
      <c r="M119" s="17" t="s">
        <v>13</v>
      </c>
      <c r="N119" s="17" t="s">
        <v>14</v>
      </c>
      <c r="O119" s="44" t="s">
        <v>15</v>
      </c>
      <c r="P119" s="17" t="s">
        <v>16</v>
      </c>
      <c r="Q119" s="20" t="s">
        <v>181</v>
      </c>
      <c r="R119" s="17" t="s">
        <v>17</v>
      </c>
      <c r="S119" s="16" t="s">
        <v>18</v>
      </c>
      <c r="T119" s="21" t="s">
        <v>48</v>
      </c>
      <c r="U119" s="21" t="s">
        <v>47</v>
      </c>
      <c r="V119" s="54" t="s">
        <v>182</v>
      </c>
      <c r="W119" s="59">
        <f>+W59</f>
        <v>0</v>
      </c>
      <c r="X119" s="36"/>
      <c r="Y119" s="36"/>
    </row>
    <row r="120" spans="2:25" s="62" customFormat="1" ht="12" customHeight="1" x14ac:dyDescent="0.25">
      <c r="B120" s="1" t="s">
        <v>183</v>
      </c>
      <c r="C120" s="3" t="s">
        <v>204</v>
      </c>
      <c r="D120" s="3" t="s">
        <v>205</v>
      </c>
      <c r="E120" s="4">
        <v>36647</v>
      </c>
      <c r="F120" s="4">
        <v>36677</v>
      </c>
      <c r="G120" s="29"/>
      <c r="H120" s="29"/>
      <c r="I120" s="3" t="s">
        <v>206</v>
      </c>
      <c r="J120" s="8">
        <v>2.8340000000000001E-2</v>
      </c>
      <c r="K120" s="5">
        <v>0</v>
      </c>
      <c r="L120" s="5">
        <v>2.2000000000000001E-3</v>
      </c>
      <c r="M120" s="5">
        <v>7.1999999999999998E-3</v>
      </c>
      <c r="N120" s="5">
        <v>0</v>
      </c>
      <c r="O120" s="43">
        <v>0</v>
      </c>
      <c r="P120" s="5">
        <f>SUM(J120:N120)</f>
        <v>3.7740000000000003E-2</v>
      </c>
      <c r="Q120" s="24" t="s">
        <v>383</v>
      </c>
      <c r="R120" s="3">
        <v>811143</v>
      </c>
      <c r="S120" s="1"/>
      <c r="T120" s="9">
        <f>+J120*R120</f>
        <v>22987.79262</v>
      </c>
      <c r="U120" s="9"/>
      <c r="V120" s="56">
        <v>254358</v>
      </c>
      <c r="W120" s="1" t="s">
        <v>431</v>
      </c>
      <c r="X120" s="36"/>
      <c r="Y120" s="36"/>
    </row>
    <row r="121" spans="2:25" s="62" customFormat="1" ht="12" customHeight="1" x14ac:dyDescent="0.25">
      <c r="B121" s="1" t="s">
        <v>183</v>
      </c>
      <c r="C121" s="3" t="s">
        <v>204</v>
      </c>
      <c r="D121" s="3" t="s">
        <v>205</v>
      </c>
      <c r="E121" s="4">
        <v>36647</v>
      </c>
      <c r="F121" s="4">
        <v>36677</v>
      </c>
      <c r="G121" s="29"/>
      <c r="H121" s="29"/>
      <c r="I121" s="3" t="s">
        <v>206</v>
      </c>
      <c r="J121" s="8">
        <f>1.544/30</f>
        <v>5.1466666666666668E-2</v>
      </c>
      <c r="K121" s="5">
        <v>0</v>
      </c>
      <c r="L121" s="5">
        <v>2.2000000000000001E-3</v>
      </c>
      <c r="M121" s="5">
        <v>7.1999999999999998E-3</v>
      </c>
      <c r="N121" s="5">
        <v>0</v>
      </c>
      <c r="O121" s="43">
        <v>0</v>
      </c>
      <c r="P121" s="5">
        <f>SUM(J121:N121)</f>
        <v>6.0866666666666666E-2</v>
      </c>
      <c r="Q121" s="24" t="s">
        <v>383</v>
      </c>
      <c r="R121" s="3">
        <v>16379</v>
      </c>
      <c r="S121" s="1"/>
      <c r="T121" s="9">
        <f>+J121*R121*30</f>
        <v>25289.175999999999</v>
      </c>
      <c r="U121" s="9"/>
      <c r="V121" s="56">
        <v>254358</v>
      </c>
      <c r="W121" s="1" t="s">
        <v>431</v>
      </c>
      <c r="X121" s="36"/>
      <c r="Y121" s="36"/>
    </row>
    <row r="122" spans="2:25" s="62" customFormat="1" ht="12" customHeight="1" x14ac:dyDescent="0.25">
      <c r="B122" s="1" t="s">
        <v>183</v>
      </c>
      <c r="C122" s="3" t="s">
        <v>204</v>
      </c>
      <c r="D122" s="3" t="s">
        <v>205</v>
      </c>
      <c r="E122" s="4">
        <v>36647</v>
      </c>
      <c r="F122" s="4">
        <v>36677</v>
      </c>
      <c r="G122" s="29"/>
      <c r="H122" s="29"/>
      <c r="I122" s="3" t="s">
        <v>206</v>
      </c>
      <c r="J122" s="8">
        <v>2.8340000000000001E-2</v>
      </c>
      <c r="K122" s="5">
        <v>0</v>
      </c>
      <c r="L122" s="5">
        <v>2.2000000000000001E-3</v>
      </c>
      <c r="M122" s="5">
        <v>7.1999999999999998E-3</v>
      </c>
      <c r="N122" s="5">
        <v>0</v>
      </c>
      <c r="O122" s="43">
        <v>0</v>
      </c>
      <c r="P122" s="5">
        <f>SUM(J122:N122)</f>
        <v>3.7740000000000003E-2</v>
      </c>
      <c r="Q122" s="24" t="s">
        <v>383</v>
      </c>
      <c r="R122" s="3">
        <v>12718</v>
      </c>
      <c r="S122" s="1"/>
      <c r="T122" s="9">
        <f>+J122*R122</f>
        <v>360.42812000000004</v>
      </c>
      <c r="U122" s="9"/>
      <c r="V122" s="56">
        <v>254331</v>
      </c>
      <c r="W122" s="1" t="s">
        <v>430</v>
      </c>
      <c r="X122" s="36"/>
      <c r="Y122" s="36"/>
    </row>
    <row r="123" spans="2:25" s="62" customFormat="1" ht="12" customHeight="1" x14ac:dyDescent="0.25">
      <c r="B123" s="1" t="s">
        <v>183</v>
      </c>
      <c r="C123" s="3" t="s">
        <v>204</v>
      </c>
      <c r="D123" s="3" t="s">
        <v>205</v>
      </c>
      <c r="E123" s="4">
        <v>36647</v>
      </c>
      <c r="F123" s="4">
        <v>36677</v>
      </c>
      <c r="G123" s="29"/>
      <c r="H123" s="29"/>
      <c r="I123" s="3" t="s">
        <v>206</v>
      </c>
      <c r="J123" s="8">
        <f>1.544/30</f>
        <v>5.1466666666666668E-2</v>
      </c>
      <c r="K123" s="5">
        <v>0</v>
      </c>
      <c r="L123" s="5">
        <v>2.2000000000000001E-3</v>
      </c>
      <c r="M123" s="5">
        <v>7.1999999999999998E-3</v>
      </c>
      <c r="N123" s="5">
        <v>0</v>
      </c>
      <c r="O123" s="43">
        <v>0</v>
      </c>
      <c r="P123" s="5">
        <f>SUM(J123:N123)</f>
        <v>6.0866666666666666E-2</v>
      </c>
      <c r="Q123" s="24" t="s">
        <v>383</v>
      </c>
      <c r="R123" s="3">
        <v>256</v>
      </c>
      <c r="S123" s="1"/>
      <c r="T123" s="9">
        <f>+J123*R123*30</f>
        <v>395.26400000000001</v>
      </c>
      <c r="U123" s="9"/>
      <c r="V123" s="56">
        <v>254331</v>
      </c>
      <c r="W123" s="1" t="s">
        <v>430</v>
      </c>
      <c r="X123" s="36"/>
      <c r="Y123" s="36"/>
    </row>
    <row r="124" spans="2:25" s="62" customFormat="1" ht="12" customHeight="1" x14ac:dyDescent="0.25">
      <c r="B124" s="1" t="s">
        <v>183</v>
      </c>
      <c r="C124" s="3" t="s">
        <v>204</v>
      </c>
      <c r="D124" s="3" t="s">
        <v>205</v>
      </c>
      <c r="E124" s="4">
        <v>36647</v>
      </c>
      <c r="F124" s="4">
        <v>36677</v>
      </c>
      <c r="G124" s="29"/>
      <c r="H124" s="29"/>
      <c r="I124" s="3" t="s">
        <v>132</v>
      </c>
      <c r="J124" s="8">
        <f>11.2024/31</f>
        <v>0.36136774193548388</v>
      </c>
      <c r="K124" s="5"/>
      <c r="L124" s="5"/>
      <c r="M124" s="5"/>
      <c r="N124" s="5"/>
      <c r="O124" s="43"/>
      <c r="P124" s="5"/>
      <c r="Q124" s="24" t="s">
        <v>310</v>
      </c>
      <c r="R124" s="3">
        <v>6626</v>
      </c>
      <c r="S124" s="1"/>
      <c r="T124" s="9">
        <f>J124*J$1*R124</f>
        <v>71832.679741935484</v>
      </c>
      <c r="U124" s="9"/>
      <c r="V124" s="56">
        <v>254292</v>
      </c>
      <c r="W124" s="1" t="s">
        <v>432</v>
      </c>
      <c r="X124" s="36"/>
      <c r="Y124" s="36"/>
    </row>
    <row r="125" spans="2:25" s="62" customFormat="1" ht="12" customHeight="1" x14ac:dyDescent="0.25">
      <c r="B125" s="1" t="s">
        <v>183</v>
      </c>
      <c r="C125" s="3" t="s">
        <v>204</v>
      </c>
      <c r="D125" s="3" t="s">
        <v>205</v>
      </c>
      <c r="E125" s="4">
        <v>36647</v>
      </c>
      <c r="F125" s="4">
        <v>36677</v>
      </c>
      <c r="G125" s="29"/>
      <c r="H125" s="29"/>
      <c r="I125" s="3" t="s">
        <v>132</v>
      </c>
      <c r="J125" s="8">
        <f>8.5094/31</f>
        <v>0.27449677419354834</v>
      </c>
      <c r="K125" s="5"/>
      <c r="L125" s="5"/>
      <c r="M125" s="5"/>
      <c r="N125" s="5"/>
      <c r="O125" s="43"/>
      <c r="P125" s="5"/>
      <c r="Q125" s="24" t="s">
        <v>310</v>
      </c>
      <c r="R125" s="3">
        <f>445+60</f>
        <v>505</v>
      </c>
      <c r="S125" s="1"/>
      <c r="T125" s="9">
        <f>J125*J$1*R125</f>
        <v>4158.6261290322573</v>
      </c>
      <c r="U125" s="9"/>
      <c r="V125" s="56">
        <v>254284</v>
      </c>
      <c r="W125" s="1" t="s">
        <v>433</v>
      </c>
      <c r="X125" s="36"/>
      <c r="Y125" s="36"/>
    </row>
    <row r="126" spans="2:25" s="62" customFormat="1" ht="12" customHeight="1" x14ac:dyDescent="0.25">
      <c r="B126" s="1" t="s">
        <v>183</v>
      </c>
      <c r="C126" s="3" t="s">
        <v>204</v>
      </c>
      <c r="D126" s="3" t="s">
        <v>205</v>
      </c>
      <c r="E126" s="4">
        <v>36647</v>
      </c>
      <c r="F126" s="4">
        <v>36677</v>
      </c>
      <c r="G126" s="29"/>
      <c r="H126" s="29"/>
      <c r="I126" s="3" t="s">
        <v>132</v>
      </c>
      <c r="J126" s="8">
        <f>11.2024/J1</f>
        <v>0.37341333333333337</v>
      </c>
      <c r="K126" s="5"/>
      <c r="L126" s="5"/>
      <c r="M126" s="5"/>
      <c r="N126" s="5"/>
      <c r="O126" s="43"/>
      <c r="P126" s="5"/>
      <c r="Q126" s="24" t="s">
        <v>310</v>
      </c>
      <c r="R126" s="3">
        <v>30750</v>
      </c>
      <c r="S126" s="1"/>
      <c r="T126" s="9">
        <f>J126*J$1*R126</f>
        <v>344473.80000000005</v>
      </c>
      <c r="U126" s="9"/>
      <c r="V126" s="56">
        <v>254277</v>
      </c>
      <c r="W126" s="1" t="s">
        <v>434</v>
      </c>
      <c r="X126" s="36"/>
      <c r="Y126" s="36"/>
    </row>
    <row r="127" spans="2:25" s="62" customFormat="1" ht="12" customHeight="1" x14ac:dyDescent="0.25">
      <c r="B127" s="1" t="s">
        <v>183</v>
      </c>
      <c r="C127" s="3" t="s">
        <v>220</v>
      </c>
      <c r="D127" s="3" t="s">
        <v>205</v>
      </c>
      <c r="E127" s="4">
        <v>36647</v>
      </c>
      <c r="F127" s="4">
        <v>36677</v>
      </c>
      <c r="G127" s="1" t="s">
        <v>164</v>
      </c>
      <c r="H127" s="1" t="s">
        <v>164</v>
      </c>
      <c r="I127" s="3" t="s">
        <v>132</v>
      </c>
      <c r="J127" s="8">
        <f>5.406/31</f>
        <v>0.17438709677419353</v>
      </c>
      <c r="K127" s="5"/>
      <c r="L127" s="5"/>
      <c r="M127" s="5"/>
      <c r="N127" s="5"/>
      <c r="O127" s="43"/>
      <c r="P127" s="5"/>
      <c r="Q127" s="24" t="s">
        <v>437</v>
      </c>
      <c r="R127" s="3">
        <v>504</v>
      </c>
      <c r="S127" s="1"/>
      <c r="T127" s="9">
        <f>J127*J$1*R127</f>
        <v>2636.7329032258062</v>
      </c>
      <c r="U127" s="9"/>
      <c r="V127" s="56">
        <v>254270</v>
      </c>
      <c r="W127" s="1" t="s">
        <v>435</v>
      </c>
      <c r="X127" s="36"/>
      <c r="Y127" s="36"/>
    </row>
    <row r="128" spans="2:25" s="62" customFormat="1" ht="12" customHeight="1" x14ac:dyDescent="0.25">
      <c r="B128" s="1" t="s">
        <v>183</v>
      </c>
      <c r="C128" s="3" t="s">
        <v>220</v>
      </c>
      <c r="D128" s="3" t="s">
        <v>205</v>
      </c>
      <c r="E128" s="4">
        <v>36649</v>
      </c>
      <c r="F128" s="4">
        <v>36677</v>
      </c>
      <c r="G128" s="1"/>
      <c r="H128" s="1"/>
      <c r="I128" s="3" t="s">
        <v>132</v>
      </c>
      <c r="J128" s="8">
        <v>0.03</v>
      </c>
      <c r="K128" s="5"/>
      <c r="L128" s="5"/>
      <c r="M128" s="5"/>
      <c r="N128" s="5"/>
      <c r="O128" s="43"/>
      <c r="P128" s="5"/>
      <c r="Q128" s="24" t="s">
        <v>437</v>
      </c>
      <c r="R128" s="3">
        <v>-200</v>
      </c>
      <c r="S128" s="1"/>
      <c r="T128" s="9"/>
      <c r="U128" s="9"/>
      <c r="V128" s="56">
        <v>266810</v>
      </c>
      <c r="W128" s="1" t="s">
        <v>451</v>
      </c>
      <c r="X128" s="36"/>
      <c r="Y128" s="36"/>
    </row>
    <row r="129" spans="2:25" s="62" customFormat="1" x14ac:dyDescent="0.25">
      <c r="B129" s="1"/>
      <c r="C129" s="3"/>
      <c r="D129" s="3"/>
      <c r="E129" s="4"/>
      <c r="F129" s="4"/>
      <c r="G129" s="29"/>
      <c r="H129" s="29"/>
      <c r="I129" s="3"/>
      <c r="J129" s="8"/>
      <c r="K129" s="5"/>
      <c r="L129" s="5"/>
      <c r="M129" s="5"/>
      <c r="N129" s="5"/>
      <c r="O129" s="43"/>
      <c r="P129" s="5"/>
      <c r="Q129" s="24"/>
      <c r="R129" s="3"/>
      <c r="S129" s="1"/>
      <c r="T129" s="9">
        <f>SUM(T120:T127)</f>
        <v>472134.49951419362</v>
      </c>
      <c r="U129" s="9"/>
      <c r="V129" s="56"/>
      <c r="W129" s="1"/>
      <c r="X129" s="36"/>
      <c r="Y129" s="36"/>
    </row>
    <row r="130" spans="2:25" x14ac:dyDescent="0.25">
      <c r="B130" s="16" t="s">
        <v>4</v>
      </c>
      <c r="C130" s="17" t="s">
        <v>5</v>
      </c>
      <c r="D130" s="17" t="s">
        <v>6</v>
      </c>
      <c r="E130" s="18" t="s">
        <v>7</v>
      </c>
      <c r="F130" s="18"/>
      <c r="G130" s="16" t="s">
        <v>8</v>
      </c>
      <c r="H130" s="16" t="s">
        <v>9</v>
      </c>
      <c r="I130" s="17" t="s">
        <v>49</v>
      </c>
      <c r="J130" s="19" t="s">
        <v>10</v>
      </c>
      <c r="K130" s="17" t="s">
        <v>11</v>
      </c>
      <c r="L130" s="17" t="s">
        <v>12</v>
      </c>
      <c r="M130" s="17" t="s">
        <v>13</v>
      </c>
      <c r="N130" s="17" t="s">
        <v>14</v>
      </c>
      <c r="O130" s="44" t="s">
        <v>15</v>
      </c>
      <c r="P130" s="17" t="s">
        <v>16</v>
      </c>
      <c r="Q130" s="20" t="s">
        <v>181</v>
      </c>
      <c r="R130" s="17" t="s">
        <v>17</v>
      </c>
      <c r="S130" s="16" t="s">
        <v>18</v>
      </c>
      <c r="T130" s="21" t="s">
        <v>48</v>
      </c>
      <c r="U130" s="21" t="s">
        <v>47</v>
      </c>
      <c r="V130" s="54" t="s">
        <v>182</v>
      </c>
      <c r="W130" s="59">
        <f>+W62</f>
        <v>0</v>
      </c>
      <c r="X130" s="36"/>
      <c r="Y130" s="36"/>
    </row>
    <row r="131" spans="2:25" s="80" customFormat="1" x14ac:dyDescent="0.25">
      <c r="B131" s="42" t="s">
        <v>183</v>
      </c>
      <c r="C131" s="72" t="s">
        <v>2</v>
      </c>
      <c r="D131" s="72" t="s">
        <v>112</v>
      </c>
      <c r="E131" s="73">
        <v>36557</v>
      </c>
      <c r="F131" s="73">
        <v>36677</v>
      </c>
      <c r="G131" s="126" t="s">
        <v>113</v>
      </c>
      <c r="H131" s="126" t="s">
        <v>114</v>
      </c>
      <c r="I131" s="72" t="s">
        <v>115</v>
      </c>
      <c r="J131" s="74">
        <f>14.76/J$1</f>
        <v>0.49199999999999999</v>
      </c>
      <c r="K131" s="75">
        <v>0</v>
      </c>
      <c r="L131" s="75">
        <v>2.2000000000000001E-3</v>
      </c>
      <c r="M131" s="75">
        <v>7.1999999999999998E-3</v>
      </c>
      <c r="N131" s="75">
        <v>0</v>
      </c>
      <c r="O131" s="76">
        <v>0</v>
      </c>
      <c r="P131" s="75">
        <f>SUM(J131:N131)</f>
        <v>0.50139999999999996</v>
      </c>
      <c r="Q131" s="77">
        <v>32337</v>
      </c>
      <c r="R131" s="72">
        <v>431</v>
      </c>
      <c r="S131" s="42" t="s">
        <v>28</v>
      </c>
      <c r="T131" s="78">
        <f t="shared" ref="T131:T136" si="11">J131*J$1*R131</f>
        <v>6361.5599999999995</v>
      </c>
      <c r="U131" s="78"/>
      <c r="V131" s="110">
        <v>157612</v>
      </c>
      <c r="W131" s="42"/>
      <c r="X131" s="79"/>
      <c r="Y131" s="79"/>
    </row>
    <row r="132" spans="2:25" s="80" customFormat="1" x14ac:dyDescent="0.25">
      <c r="B132" s="42" t="s">
        <v>183</v>
      </c>
      <c r="C132" s="72" t="s">
        <v>2</v>
      </c>
      <c r="D132" s="72" t="s">
        <v>86</v>
      </c>
      <c r="E132" s="73">
        <v>36557</v>
      </c>
      <c r="F132" s="73">
        <v>36677</v>
      </c>
      <c r="G132" s="126" t="s">
        <v>117</v>
      </c>
      <c r="H132" s="126" t="s">
        <v>116</v>
      </c>
      <c r="I132" s="72" t="s">
        <v>115</v>
      </c>
      <c r="J132" s="74">
        <f>13.28/J$1</f>
        <v>0.44266666666666665</v>
      </c>
      <c r="K132" s="75">
        <v>0</v>
      </c>
      <c r="L132" s="75">
        <v>2.2000000000000001E-3</v>
      </c>
      <c r="M132" s="75">
        <v>7.1999999999999998E-3</v>
      </c>
      <c r="N132" s="75">
        <v>0</v>
      </c>
      <c r="O132" s="76">
        <v>0</v>
      </c>
      <c r="P132" s="75">
        <f>SUM(J132:N132)</f>
        <v>0.45206666666666662</v>
      </c>
      <c r="Q132" s="77">
        <v>32336</v>
      </c>
      <c r="R132" s="72">
        <v>48</v>
      </c>
      <c r="S132" s="42" t="s">
        <v>28</v>
      </c>
      <c r="T132" s="78">
        <f t="shared" si="11"/>
        <v>637.43999999999994</v>
      </c>
      <c r="U132" s="78"/>
      <c r="V132" s="110">
        <v>157613</v>
      </c>
      <c r="W132" s="42"/>
      <c r="X132" s="79"/>
      <c r="Y132" s="79"/>
    </row>
    <row r="133" spans="2:25" s="62" customFormat="1" x14ac:dyDescent="0.25">
      <c r="B133" s="1" t="s">
        <v>183</v>
      </c>
      <c r="C133" s="3" t="s">
        <v>2</v>
      </c>
      <c r="D133" s="3" t="s">
        <v>118</v>
      </c>
      <c r="E133" s="4">
        <v>36647</v>
      </c>
      <c r="F133" s="4">
        <v>36677</v>
      </c>
      <c r="G133" s="1" t="s">
        <v>119</v>
      </c>
      <c r="H133" s="29" t="s">
        <v>120</v>
      </c>
      <c r="I133" s="3" t="s">
        <v>115</v>
      </c>
      <c r="J133" s="8">
        <f>6.79/30</f>
        <v>0.22633333333333333</v>
      </c>
      <c r="K133" s="5">
        <v>7.6300000000000007E-2</v>
      </c>
      <c r="L133" s="5">
        <v>2.2000000000000001E-3</v>
      </c>
      <c r="M133" s="5">
        <v>7.1999999999999998E-3</v>
      </c>
      <c r="N133" s="5">
        <v>0</v>
      </c>
      <c r="O133" s="43">
        <v>2.7900000000000001E-2</v>
      </c>
      <c r="P133" s="5">
        <f>SUM(J133:N133)</f>
        <v>0.31203333333333327</v>
      </c>
      <c r="Q133" s="24">
        <v>33331</v>
      </c>
      <c r="R133" s="3">
        <v>3561</v>
      </c>
      <c r="S133" s="1" t="s">
        <v>28</v>
      </c>
      <c r="T133" s="9">
        <f t="shared" si="11"/>
        <v>24179.19</v>
      </c>
      <c r="U133" s="9"/>
      <c r="V133" s="56">
        <v>253605</v>
      </c>
      <c r="W133" s="1" t="s">
        <v>121</v>
      </c>
      <c r="X133" s="36"/>
      <c r="Y133" s="36"/>
    </row>
    <row r="134" spans="2:25" s="62" customFormat="1" x14ac:dyDescent="0.25">
      <c r="B134" s="1" t="s">
        <v>183</v>
      </c>
      <c r="C134" s="3" t="s">
        <v>162</v>
      </c>
      <c r="D134" s="3" t="s">
        <v>118</v>
      </c>
      <c r="E134" s="4">
        <v>36647</v>
      </c>
      <c r="F134" s="4">
        <v>36677</v>
      </c>
      <c r="G134" s="1" t="s">
        <v>163</v>
      </c>
      <c r="H134" s="1" t="s">
        <v>118</v>
      </c>
      <c r="I134" s="3" t="s">
        <v>115</v>
      </c>
      <c r="J134" s="8">
        <f>11.95/30</f>
        <v>0.39833333333333332</v>
      </c>
      <c r="K134" s="5">
        <v>0</v>
      </c>
      <c r="L134" s="5">
        <v>2.2000000000000001E-3</v>
      </c>
      <c r="M134" s="5">
        <v>7.1999999999999998E-3</v>
      </c>
      <c r="N134" s="5">
        <v>0</v>
      </c>
      <c r="O134" s="43">
        <v>2.2200000000000001E-2</v>
      </c>
      <c r="P134" s="5">
        <f>SUM(J134:N134)</f>
        <v>0.40773333333333328</v>
      </c>
      <c r="Q134" s="24">
        <v>33324</v>
      </c>
      <c r="R134" s="3">
        <v>3972</v>
      </c>
      <c r="S134" s="1" t="s">
        <v>28</v>
      </c>
      <c r="T134" s="9">
        <f t="shared" si="11"/>
        <v>47465.399999999994</v>
      </c>
      <c r="U134" s="9"/>
      <c r="V134" s="56">
        <v>253584</v>
      </c>
      <c r="W134" s="1" t="s">
        <v>121</v>
      </c>
      <c r="X134" s="36"/>
      <c r="Y134" s="36"/>
    </row>
    <row r="135" spans="2:25" s="62" customFormat="1" x14ac:dyDescent="0.25">
      <c r="B135" s="1" t="s">
        <v>183</v>
      </c>
      <c r="C135" s="3" t="s">
        <v>2</v>
      </c>
      <c r="D135" s="3" t="s">
        <v>118</v>
      </c>
      <c r="E135" s="4">
        <v>36647</v>
      </c>
      <c r="F135" s="4">
        <v>36677</v>
      </c>
      <c r="G135" s="1" t="s">
        <v>215</v>
      </c>
      <c r="H135" s="1"/>
      <c r="I135" s="3" t="s">
        <v>216</v>
      </c>
      <c r="J135" s="8">
        <v>2.4799999999999999E-2</v>
      </c>
      <c r="K135" s="5"/>
      <c r="L135" s="5"/>
      <c r="M135" s="5"/>
      <c r="N135" s="5"/>
      <c r="O135" s="43"/>
      <c r="P135" s="5"/>
      <c r="Q135" s="24">
        <v>33498</v>
      </c>
      <c r="R135" s="3">
        <v>212519</v>
      </c>
      <c r="S135" s="1"/>
      <c r="T135" s="9">
        <f>J135*R135</f>
        <v>5270.4712</v>
      </c>
      <c r="U135" s="9"/>
      <c r="V135" s="56">
        <v>254812</v>
      </c>
      <c r="W135" s="1"/>
      <c r="X135" s="36"/>
      <c r="Y135" s="36"/>
    </row>
    <row r="136" spans="2:25" s="62" customFormat="1" x14ac:dyDescent="0.25">
      <c r="B136" s="1" t="s">
        <v>183</v>
      </c>
      <c r="C136" s="3" t="s">
        <v>2</v>
      </c>
      <c r="D136" s="3" t="s">
        <v>118</v>
      </c>
      <c r="E136" s="4">
        <v>36647</v>
      </c>
      <c r="F136" s="4">
        <v>36677</v>
      </c>
      <c r="G136" s="1" t="s">
        <v>215</v>
      </c>
      <c r="H136" s="1"/>
      <c r="I136" s="3" t="s">
        <v>216</v>
      </c>
      <c r="J136" s="8">
        <f>2.02/J1</f>
        <v>6.7333333333333328E-2</v>
      </c>
      <c r="K136" s="5"/>
      <c r="L136" s="5"/>
      <c r="M136" s="5"/>
      <c r="N136" s="5"/>
      <c r="O136" s="43"/>
      <c r="P136" s="5"/>
      <c r="Q136" s="24">
        <v>33498</v>
      </c>
      <c r="R136" s="3">
        <v>1412</v>
      </c>
      <c r="S136" s="1"/>
      <c r="T136" s="9">
        <f t="shared" si="11"/>
        <v>2852.2400000000002</v>
      </c>
      <c r="U136" s="9"/>
      <c r="V136" s="56">
        <v>254812</v>
      </c>
      <c r="W136" s="1"/>
      <c r="X136" s="36"/>
      <c r="Y136" s="36"/>
    </row>
    <row r="137" spans="2:25" s="62" customFormat="1" x14ac:dyDescent="0.25">
      <c r="B137" s="1" t="s">
        <v>183</v>
      </c>
      <c r="C137" s="3" t="s">
        <v>2</v>
      </c>
      <c r="D137" s="3" t="s">
        <v>118</v>
      </c>
      <c r="E137" s="4">
        <v>36647</v>
      </c>
      <c r="F137" s="4">
        <v>36677</v>
      </c>
      <c r="G137" s="1" t="s">
        <v>260</v>
      </c>
      <c r="H137" s="1"/>
      <c r="I137" s="3" t="s">
        <v>261</v>
      </c>
      <c r="J137" s="8">
        <v>1.8700000000000001E-2</v>
      </c>
      <c r="K137" s="5"/>
      <c r="L137" s="5"/>
      <c r="M137" s="5"/>
      <c r="N137" s="5"/>
      <c r="O137" s="43"/>
      <c r="P137" s="5"/>
      <c r="Q137" s="24">
        <v>33494</v>
      </c>
      <c r="R137" s="155">
        <v>76770</v>
      </c>
      <c r="S137" s="1"/>
      <c r="T137" s="9">
        <f>+R137*J137</f>
        <v>1435.5990000000002</v>
      </c>
      <c r="U137" s="9"/>
      <c r="V137" s="56">
        <v>254803</v>
      </c>
      <c r="W137" s="1"/>
      <c r="X137" s="36"/>
      <c r="Y137" s="36"/>
    </row>
    <row r="138" spans="2:25" s="62" customFormat="1" x14ac:dyDescent="0.25">
      <c r="B138" s="1" t="s">
        <v>183</v>
      </c>
      <c r="C138" s="3" t="s">
        <v>2</v>
      </c>
      <c r="D138" s="3" t="s">
        <v>118</v>
      </c>
      <c r="E138" s="4">
        <v>36647</v>
      </c>
      <c r="F138" s="4">
        <v>36677</v>
      </c>
      <c r="G138" s="1" t="s">
        <v>260</v>
      </c>
      <c r="H138" s="1"/>
      <c r="I138" s="3" t="s">
        <v>261</v>
      </c>
      <c r="J138" s="8">
        <v>1.17</v>
      </c>
      <c r="K138" s="5"/>
      <c r="L138" s="5"/>
      <c r="M138" s="5"/>
      <c r="N138" s="5"/>
      <c r="O138" s="43"/>
      <c r="P138" s="5"/>
      <c r="Q138" s="24">
        <v>33494</v>
      </c>
      <c r="R138" s="155">
        <v>565</v>
      </c>
      <c r="S138" s="1"/>
      <c r="T138" s="9">
        <f>+R138*J138</f>
        <v>661.05</v>
      </c>
      <c r="U138" s="9"/>
      <c r="V138" s="56">
        <v>254803</v>
      </c>
      <c r="W138" s="1"/>
      <c r="X138" s="36"/>
      <c r="Y138" s="36"/>
    </row>
    <row r="139" spans="2:25" x14ac:dyDescent="0.25">
      <c r="B139" s="1"/>
      <c r="C139" s="3"/>
      <c r="D139" s="3"/>
      <c r="E139" s="4"/>
      <c r="F139" s="4"/>
      <c r="G139" s="1"/>
      <c r="H139" s="1"/>
      <c r="I139" s="3"/>
      <c r="J139" s="8"/>
      <c r="K139" s="5"/>
      <c r="L139" s="23"/>
      <c r="M139" s="5"/>
      <c r="N139" s="5"/>
      <c r="O139" s="43"/>
      <c r="P139" s="5"/>
      <c r="Q139" s="24"/>
      <c r="R139" s="2"/>
      <c r="S139" s="3"/>
      <c r="T139" s="9"/>
      <c r="U139" s="9"/>
      <c r="V139" s="56"/>
      <c r="W139" s="1"/>
      <c r="X139" s="36"/>
      <c r="Y139" s="36"/>
    </row>
    <row r="140" spans="2:25" x14ac:dyDescent="0.25">
      <c r="B140" s="1"/>
      <c r="C140" s="3"/>
      <c r="D140" s="3"/>
      <c r="E140" s="4"/>
      <c r="F140" s="4"/>
      <c r="G140" s="1"/>
      <c r="H140" s="1"/>
      <c r="I140" s="3"/>
      <c r="J140" s="8"/>
      <c r="K140" s="5"/>
      <c r="L140" s="23"/>
      <c r="M140" s="5"/>
      <c r="N140" s="5"/>
      <c r="O140" s="46"/>
      <c r="P140" s="5"/>
      <c r="Q140" s="24"/>
      <c r="R140" s="3"/>
      <c r="S140" s="3"/>
      <c r="T140" s="81">
        <f>SUM(T131:T139)</f>
        <v>88862.950200000007</v>
      </c>
      <c r="W140" s="29"/>
      <c r="X140" s="37"/>
      <c r="Y140" s="37"/>
    </row>
    <row r="141" spans="2:25" x14ac:dyDescent="0.25">
      <c r="B141" s="16" t="s">
        <v>4</v>
      </c>
      <c r="C141" s="17" t="s">
        <v>5</v>
      </c>
      <c r="D141" s="17" t="s">
        <v>6</v>
      </c>
      <c r="E141" s="18" t="s">
        <v>7</v>
      </c>
      <c r="F141" s="18"/>
      <c r="G141" s="16" t="s">
        <v>8</v>
      </c>
      <c r="H141" s="16" t="s">
        <v>9</v>
      </c>
      <c r="I141" s="17" t="s">
        <v>49</v>
      </c>
      <c r="J141" s="19" t="s">
        <v>10</v>
      </c>
      <c r="K141" s="17" t="s">
        <v>11</v>
      </c>
      <c r="L141" s="17" t="s">
        <v>12</v>
      </c>
      <c r="M141" s="17" t="s">
        <v>13</v>
      </c>
      <c r="N141" s="17" t="s">
        <v>14</v>
      </c>
      <c r="O141" s="44" t="s">
        <v>15</v>
      </c>
      <c r="P141" s="17" t="s">
        <v>16</v>
      </c>
      <c r="Q141" s="20" t="s">
        <v>181</v>
      </c>
      <c r="R141" s="17" t="s">
        <v>17</v>
      </c>
      <c r="S141" s="16" t="s">
        <v>18</v>
      </c>
      <c r="T141" s="21" t="s">
        <v>48</v>
      </c>
      <c r="U141" s="21" t="s">
        <v>47</v>
      </c>
      <c r="V141" s="54" t="s">
        <v>182</v>
      </c>
      <c r="W141" s="59" t="e">
        <f>+#REF!</f>
        <v>#REF!</v>
      </c>
      <c r="X141" s="36"/>
      <c r="Y141" s="36"/>
    </row>
    <row r="142" spans="2:25" s="62" customFormat="1" hidden="1" x14ac:dyDescent="0.25">
      <c r="B142" s="1" t="s">
        <v>90</v>
      </c>
      <c r="C142" s="3" t="s">
        <v>25</v>
      </c>
      <c r="D142" s="3" t="s">
        <v>125</v>
      </c>
      <c r="E142" s="4">
        <v>35977</v>
      </c>
      <c r="F142" s="4">
        <v>36585</v>
      </c>
      <c r="G142" s="1" t="s">
        <v>126</v>
      </c>
      <c r="H142" s="1" t="s">
        <v>127</v>
      </c>
      <c r="I142" s="3" t="s">
        <v>22</v>
      </c>
      <c r="J142" s="8"/>
      <c r="K142" s="5">
        <v>0</v>
      </c>
      <c r="L142" s="5">
        <v>2.2000000000000001E-3</v>
      </c>
      <c r="M142" s="5">
        <v>0</v>
      </c>
      <c r="N142" s="5">
        <v>0</v>
      </c>
      <c r="O142" s="43">
        <v>0</v>
      </c>
      <c r="P142" s="5">
        <f t="shared" ref="P142:P149" si="12">SUM(J142:N142)</f>
        <v>2.2000000000000001E-3</v>
      </c>
      <c r="Q142" s="24">
        <v>892591</v>
      </c>
      <c r="R142" s="3">
        <v>74</v>
      </c>
      <c r="S142" s="1"/>
      <c r="T142" s="9">
        <f t="shared" ref="T142:T149" si="13">J142*J$1*R142</f>
        <v>0</v>
      </c>
      <c r="U142" s="9"/>
      <c r="V142" s="56">
        <v>157553</v>
      </c>
      <c r="W142" s="1" t="s">
        <v>384</v>
      </c>
      <c r="X142" s="36"/>
      <c r="Y142" s="36"/>
    </row>
    <row r="143" spans="2:25" s="62" customFormat="1" hidden="1" x14ac:dyDescent="0.25">
      <c r="B143" s="1" t="s">
        <v>90</v>
      </c>
      <c r="C143" s="3" t="s">
        <v>25</v>
      </c>
      <c r="D143" s="3" t="s">
        <v>125</v>
      </c>
      <c r="E143" s="4">
        <v>36130</v>
      </c>
      <c r="F143" s="4">
        <v>41029</v>
      </c>
      <c r="G143" s="1" t="s">
        <v>126</v>
      </c>
      <c r="H143" s="1" t="s">
        <v>127</v>
      </c>
      <c r="I143" s="3" t="s">
        <v>22</v>
      </c>
      <c r="J143" s="8"/>
      <c r="K143" s="5">
        <v>0</v>
      </c>
      <c r="L143" s="5">
        <v>2.2000000000000001E-3</v>
      </c>
      <c r="M143" s="5">
        <v>0</v>
      </c>
      <c r="N143" s="5">
        <v>0</v>
      </c>
      <c r="O143" s="43">
        <v>0</v>
      </c>
      <c r="P143" s="5">
        <f t="shared" si="12"/>
        <v>2.2000000000000001E-3</v>
      </c>
      <c r="Q143" s="24" t="s">
        <v>203</v>
      </c>
      <c r="R143" s="3">
        <v>0</v>
      </c>
      <c r="S143" s="1"/>
      <c r="T143" s="9">
        <f t="shared" si="13"/>
        <v>0</v>
      </c>
      <c r="U143" s="9"/>
      <c r="V143" s="56">
        <v>143310</v>
      </c>
      <c r="W143" s="1" t="s">
        <v>201</v>
      </c>
      <c r="X143" s="36"/>
      <c r="Y143" s="36"/>
    </row>
    <row r="144" spans="2:25" s="62" customFormat="1" hidden="1" x14ac:dyDescent="0.25">
      <c r="B144" s="1" t="s">
        <v>90</v>
      </c>
      <c r="C144" s="3" t="s">
        <v>25</v>
      </c>
      <c r="D144" s="3" t="s">
        <v>125</v>
      </c>
      <c r="E144" s="4">
        <v>36220</v>
      </c>
      <c r="F144" s="4">
        <v>41029</v>
      </c>
      <c r="G144" s="1" t="s">
        <v>126</v>
      </c>
      <c r="H144" s="1" t="s">
        <v>128</v>
      </c>
      <c r="I144" s="3" t="s">
        <v>22</v>
      </c>
      <c r="J144" s="8"/>
      <c r="K144" s="5">
        <v>0</v>
      </c>
      <c r="L144" s="5">
        <v>2.2000000000000001E-3</v>
      </c>
      <c r="M144" s="5">
        <v>0</v>
      </c>
      <c r="N144" s="5">
        <v>0</v>
      </c>
      <c r="O144" s="43">
        <v>0</v>
      </c>
      <c r="P144" s="5">
        <f t="shared" si="12"/>
        <v>2.2000000000000001E-3</v>
      </c>
      <c r="Q144" s="24" t="s">
        <v>203</v>
      </c>
      <c r="R144" s="3">
        <v>0</v>
      </c>
      <c r="S144" s="1"/>
      <c r="T144" s="9">
        <f t="shared" si="13"/>
        <v>0</v>
      </c>
      <c r="U144" s="9"/>
      <c r="V144" s="56">
        <v>143311</v>
      </c>
      <c r="W144" s="1" t="s">
        <v>202</v>
      </c>
      <c r="X144" s="36"/>
      <c r="Y144" s="36"/>
    </row>
    <row r="145" spans="2:25" s="62" customFormat="1" hidden="1" x14ac:dyDescent="0.25">
      <c r="B145" s="1" t="s">
        <v>90</v>
      </c>
      <c r="C145" s="3" t="s">
        <v>25</v>
      </c>
      <c r="D145" s="3" t="s">
        <v>125</v>
      </c>
      <c r="E145" s="4">
        <v>36465</v>
      </c>
      <c r="F145" s="4">
        <v>39021</v>
      </c>
      <c r="G145" s="1" t="s">
        <v>21</v>
      </c>
      <c r="H145" s="1" t="s">
        <v>24</v>
      </c>
      <c r="I145" s="3" t="s">
        <v>22</v>
      </c>
      <c r="J145" s="8"/>
      <c r="K145" s="5">
        <v>0</v>
      </c>
      <c r="L145" s="5">
        <v>2.2000000000000001E-3</v>
      </c>
      <c r="M145" s="5">
        <v>0</v>
      </c>
      <c r="N145" s="5">
        <v>0</v>
      </c>
      <c r="O145" s="43">
        <v>0</v>
      </c>
      <c r="P145" s="5">
        <f t="shared" si="12"/>
        <v>2.2000000000000001E-3</v>
      </c>
      <c r="Q145" s="24">
        <v>892596</v>
      </c>
      <c r="R145" s="3">
        <v>139</v>
      </c>
      <c r="S145" s="1" t="s">
        <v>197</v>
      </c>
      <c r="T145" s="9">
        <f t="shared" si="13"/>
        <v>0</v>
      </c>
      <c r="U145" s="9"/>
      <c r="V145" s="56">
        <v>157537</v>
      </c>
      <c r="W145" s="1" t="s">
        <v>385</v>
      </c>
      <c r="X145" s="36"/>
      <c r="Y145" s="36"/>
    </row>
    <row r="146" spans="2:25" s="62" customFormat="1" hidden="1" x14ac:dyDescent="0.25">
      <c r="B146" s="1" t="s">
        <v>90</v>
      </c>
      <c r="C146" s="3" t="s">
        <v>25</v>
      </c>
      <c r="D146" s="3" t="s">
        <v>125</v>
      </c>
      <c r="E146" s="4">
        <v>36465</v>
      </c>
      <c r="F146" s="4">
        <v>36830</v>
      </c>
      <c r="G146" s="1" t="s">
        <v>29</v>
      </c>
      <c r="H146" s="1" t="s">
        <v>24</v>
      </c>
      <c r="I146" s="3" t="s">
        <v>23</v>
      </c>
      <c r="J146" s="8"/>
      <c r="K146" s="5">
        <v>0</v>
      </c>
      <c r="L146" s="5">
        <v>2.2000000000000001E-3</v>
      </c>
      <c r="M146" s="5">
        <v>0</v>
      </c>
      <c r="N146" s="5">
        <v>0</v>
      </c>
      <c r="O146" s="43">
        <v>0</v>
      </c>
      <c r="P146" s="5">
        <f t="shared" si="12"/>
        <v>2.2000000000000001E-3</v>
      </c>
      <c r="Q146" s="24">
        <v>892594</v>
      </c>
      <c r="R146" s="3">
        <v>11</v>
      </c>
      <c r="S146" s="1" t="s">
        <v>198</v>
      </c>
      <c r="T146" s="9">
        <f t="shared" si="13"/>
        <v>0</v>
      </c>
      <c r="U146" s="9"/>
      <c r="V146" s="56">
        <v>157539</v>
      </c>
      <c r="W146" s="1" t="s">
        <v>386</v>
      </c>
      <c r="X146" s="36"/>
      <c r="Y146" s="36"/>
    </row>
    <row r="147" spans="2:25" s="62" customFormat="1" hidden="1" x14ac:dyDescent="0.25">
      <c r="B147" s="1" t="s">
        <v>90</v>
      </c>
      <c r="C147" s="3" t="s">
        <v>25</v>
      </c>
      <c r="D147" s="3" t="s">
        <v>125</v>
      </c>
      <c r="E147" s="4">
        <v>36465</v>
      </c>
      <c r="F147" s="4">
        <v>37560</v>
      </c>
      <c r="G147" s="1" t="s">
        <v>21</v>
      </c>
      <c r="H147" s="1" t="s">
        <v>29</v>
      </c>
      <c r="I147" s="3" t="s">
        <v>22</v>
      </c>
      <c r="J147" s="8"/>
      <c r="K147" s="5">
        <v>0</v>
      </c>
      <c r="L147" s="5">
        <v>2.2000000000000001E-3</v>
      </c>
      <c r="M147" s="5">
        <v>0</v>
      </c>
      <c r="N147" s="5">
        <v>0</v>
      </c>
      <c r="O147" s="43">
        <v>0</v>
      </c>
      <c r="P147" s="5">
        <f t="shared" si="12"/>
        <v>2.2000000000000001E-3</v>
      </c>
      <c r="Q147" s="24">
        <v>892593</v>
      </c>
      <c r="R147" s="3">
        <v>18</v>
      </c>
      <c r="S147" s="1" t="s">
        <v>199</v>
      </c>
      <c r="T147" s="9">
        <f t="shared" si="13"/>
        <v>0</v>
      </c>
      <c r="U147" s="9"/>
      <c r="V147" s="56">
        <v>157543</v>
      </c>
      <c r="W147" s="1" t="s">
        <v>387</v>
      </c>
      <c r="X147" s="36"/>
      <c r="Y147" s="36"/>
    </row>
    <row r="148" spans="2:25" s="62" customFormat="1" hidden="1" x14ac:dyDescent="0.25">
      <c r="B148" s="1" t="s">
        <v>90</v>
      </c>
      <c r="C148" s="3" t="s">
        <v>25</v>
      </c>
      <c r="D148" s="3" t="s">
        <v>125</v>
      </c>
      <c r="E148" s="4">
        <v>36465</v>
      </c>
      <c r="F148" s="4">
        <v>39021</v>
      </c>
      <c r="G148" s="1" t="s">
        <v>21</v>
      </c>
      <c r="H148" s="1" t="s">
        <v>24</v>
      </c>
      <c r="I148" s="3" t="s">
        <v>22</v>
      </c>
      <c r="J148" s="8"/>
      <c r="K148" s="5">
        <v>0</v>
      </c>
      <c r="L148" s="5">
        <v>2.2000000000000001E-3</v>
      </c>
      <c r="M148" s="5">
        <v>0</v>
      </c>
      <c r="N148" s="5">
        <v>0</v>
      </c>
      <c r="O148" s="43">
        <v>0</v>
      </c>
      <c r="P148" s="5">
        <f>SUM(J148:N148)</f>
        <v>2.2000000000000001E-3</v>
      </c>
      <c r="Q148" s="24">
        <v>892597</v>
      </c>
      <c r="R148" s="3">
        <v>167</v>
      </c>
      <c r="S148" s="1" t="s">
        <v>200</v>
      </c>
      <c r="T148" s="9">
        <f t="shared" si="13"/>
        <v>0</v>
      </c>
      <c r="U148" s="9"/>
      <c r="V148" s="56">
        <v>157570</v>
      </c>
      <c r="W148" s="1" t="s">
        <v>388</v>
      </c>
      <c r="X148" s="36"/>
      <c r="Y148" s="36"/>
    </row>
    <row r="149" spans="2:25" s="62" customFormat="1" x14ac:dyDescent="0.25">
      <c r="B149" s="1" t="s">
        <v>183</v>
      </c>
      <c r="C149" s="3" t="s">
        <v>25</v>
      </c>
      <c r="D149" s="3" t="s">
        <v>125</v>
      </c>
      <c r="E149" s="4">
        <v>36586</v>
      </c>
      <c r="F149" s="4">
        <v>39021</v>
      </c>
      <c r="G149" s="1" t="s">
        <v>21</v>
      </c>
      <c r="H149" s="1" t="s">
        <v>24</v>
      </c>
      <c r="I149" s="3" t="s">
        <v>23</v>
      </c>
      <c r="J149" s="8">
        <v>0.55000000000000004</v>
      </c>
      <c r="K149" s="5">
        <v>0</v>
      </c>
      <c r="L149" s="5">
        <v>2.2000000000000001E-3</v>
      </c>
      <c r="M149" s="5">
        <v>0</v>
      </c>
      <c r="N149" s="5">
        <v>0</v>
      </c>
      <c r="O149" s="43">
        <v>0</v>
      </c>
      <c r="P149" s="5">
        <f t="shared" si="12"/>
        <v>0.55220000000000002</v>
      </c>
      <c r="Q149" s="24">
        <v>892722</v>
      </c>
      <c r="R149" s="3">
        <v>114</v>
      </c>
      <c r="S149" s="1" t="s">
        <v>214</v>
      </c>
      <c r="T149" s="9">
        <f t="shared" si="13"/>
        <v>1881</v>
      </c>
      <c r="U149" s="9"/>
      <c r="V149" s="56">
        <v>207137</v>
      </c>
      <c r="W149" s="1" t="s">
        <v>389</v>
      </c>
      <c r="X149" s="36"/>
      <c r="Y149" s="36"/>
    </row>
    <row r="150" spans="2:25" s="80" customFormat="1" x14ac:dyDescent="0.25">
      <c r="B150" s="42" t="s">
        <v>90</v>
      </c>
      <c r="C150" s="72" t="s">
        <v>25</v>
      </c>
      <c r="D150" s="72" t="s">
        <v>209</v>
      </c>
      <c r="E150" s="73">
        <v>36526</v>
      </c>
      <c r="F150" s="73">
        <v>36677</v>
      </c>
      <c r="G150" s="42" t="s">
        <v>210</v>
      </c>
      <c r="H150" s="42" t="s">
        <v>24</v>
      </c>
      <c r="I150" s="72" t="s">
        <v>23</v>
      </c>
      <c r="J150" s="74">
        <v>0.87390000000000001</v>
      </c>
      <c r="K150" s="75"/>
      <c r="L150" s="75"/>
      <c r="M150" s="75"/>
      <c r="N150" s="75"/>
      <c r="O150" s="76"/>
      <c r="P150" s="75"/>
      <c r="Q150" s="77">
        <v>891719</v>
      </c>
      <c r="R150" s="72">
        <v>300</v>
      </c>
      <c r="S150" s="42" t="s">
        <v>211</v>
      </c>
      <c r="T150" s="78">
        <f>(+R150*J150)*31</f>
        <v>8127.27</v>
      </c>
      <c r="U150" s="78"/>
      <c r="V150" s="110">
        <v>202419</v>
      </c>
      <c r="W150" s="42"/>
      <c r="X150" s="79"/>
      <c r="Y150" s="79"/>
    </row>
    <row r="151" spans="2:25" s="62" customFormat="1" x14ac:dyDescent="0.25">
      <c r="B151" s="1" t="s">
        <v>183</v>
      </c>
      <c r="C151" s="3" t="s">
        <v>25</v>
      </c>
      <c r="D151" s="3" t="s">
        <v>125</v>
      </c>
      <c r="E151" s="4">
        <v>36617</v>
      </c>
      <c r="F151" s="4">
        <v>37560</v>
      </c>
      <c r="G151" s="1" t="s">
        <v>381</v>
      </c>
      <c r="H151" s="1" t="s">
        <v>382</v>
      </c>
      <c r="I151" s="3" t="s">
        <v>22</v>
      </c>
      <c r="J151" s="8">
        <v>0.7</v>
      </c>
      <c r="K151" s="5"/>
      <c r="L151" s="5"/>
      <c r="M151" s="5"/>
      <c r="N151" s="5"/>
      <c r="O151" s="43"/>
      <c r="P151" s="5"/>
      <c r="Q151" s="24">
        <v>893067</v>
      </c>
      <c r="R151" s="3">
        <v>16</v>
      </c>
      <c r="S151" s="1" t="s">
        <v>445</v>
      </c>
      <c r="T151" s="9">
        <f t="shared" ref="T151:T158" si="14">J151*J$1*R151</f>
        <v>336</v>
      </c>
      <c r="U151" s="9"/>
      <c r="V151" s="56">
        <v>233233</v>
      </c>
      <c r="W151" s="1"/>
      <c r="X151" s="36"/>
      <c r="Y151" s="36"/>
    </row>
    <row r="152" spans="2:25" s="62" customFormat="1" x14ac:dyDescent="0.25">
      <c r="B152" s="1" t="s">
        <v>183</v>
      </c>
      <c r="C152" s="3" t="s">
        <v>25</v>
      </c>
      <c r="D152" s="3" t="s">
        <v>125</v>
      </c>
      <c r="E152" s="4">
        <v>36617</v>
      </c>
      <c r="F152" s="4">
        <v>41029</v>
      </c>
      <c r="G152" s="1" t="s">
        <v>24</v>
      </c>
      <c r="H152" s="1" t="s">
        <v>24</v>
      </c>
      <c r="I152" s="3" t="s">
        <v>22</v>
      </c>
      <c r="J152" s="8">
        <f>6.279/J1</f>
        <v>0.20929999999999999</v>
      </c>
      <c r="K152" s="5"/>
      <c r="L152" s="5"/>
      <c r="M152" s="5"/>
      <c r="N152" s="5"/>
      <c r="O152" s="43"/>
      <c r="P152" s="5"/>
      <c r="Q152" s="24">
        <v>893066</v>
      </c>
      <c r="R152" s="3">
        <v>67</v>
      </c>
      <c r="S152" s="1" t="s">
        <v>444</v>
      </c>
      <c r="T152" s="9">
        <f t="shared" si="14"/>
        <v>420.69299999999998</v>
      </c>
      <c r="U152" s="9"/>
      <c r="V152" s="56">
        <v>233232</v>
      </c>
      <c r="W152" s="1"/>
      <c r="X152" s="36"/>
      <c r="Y152" s="36"/>
    </row>
    <row r="153" spans="2:25" s="62" customFormat="1" x14ac:dyDescent="0.25">
      <c r="B153" s="1" t="s">
        <v>183</v>
      </c>
      <c r="C153" s="3" t="s">
        <v>25</v>
      </c>
      <c r="D153" s="3" t="s">
        <v>125</v>
      </c>
      <c r="E153" s="4">
        <v>36617</v>
      </c>
      <c r="F153" s="4">
        <v>39021</v>
      </c>
      <c r="G153" s="1" t="s">
        <v>381</v>
      </c>
      <c r="H153" s="1" t="s">
        <v>24</v>
      </c>
      <c r="I153" s="3" t="s">
        <v>23</v>
      </c>
      <c r="J153" s="8">
        <v>0.7</v>
      </c>
      <c r="K153" s="5"/>
      <c r="L153" s="5"/>
      <c r="M153" s="5"/>
      <c r="N153" s="5"/>
      <c r="O153" s="43"/>
      <c r="P153" s="5"/>
      <c r="Q153" s="24">
        <v>893064</v>
      </c>
      <c r="R153" s="3">
        <v>104</v>
      </c>
      <c r="S153" s="1" t="s">
        <v>443</v>
      </c>
      <c r="T153" s="9">
        <f t="shared" si="14"/>
        <v>2184</v>
      </c>
      <c r="U153" s="9"/>
      <c r="V153" s="56">
        <v>276559</v>
      </c>
      <c r="W153" s="1"/>
      <c r="X153" s="36"/>
      <c r="Y153" s="36"/>
    </row>
    <row r="154" spans="2:25" s="62" customFormat="1" x14ac:dyDescent="0.25">
      <c r="B154" s="1" t="s">
        <v>183</v>
      </c>
      <c r="C154" s="3" t="s">
        <v>25</v>
      </c>
      <c r="D154" s="3" t="s">
        <v>125</v>
      </c>
      <c r="E154" s="4">
        <v>36617</v>
      </c>
      <c r="F154" s="4">
        <v>39021</v>
      </c>
      <c r="G154" s="1" t="s">
        <v>381</v>
      </c>
      <c r="H154" s="1" t="s">
        <v>24</v>
      </c>
      <c r="I154" s="3" t="s">
        <v>22</v>
      </c>
      <c r="J154" s="8">
        <v>0.7</v>
      </c>
      <c r="K154" s="5"/>
      <c r="L154" s="5"/>
      <c r="M154" s="5"/>
      <c r="N154" s="5"/>
      <c r="O154" s="43"/>
      <c r="P154" s="5"/>
      <c r="Q154" s="24">
        <v>893062</v>
      </c>
      <c r="R154" s="3">
        <v>124</v>
      </c>
      <c r="S154" s="1" t="s">
        <v>442</v>
      </c>
      <c r="T154" s="9">
        <f t="shared" si="14"/>
        <v>2604</v>
      </c>
      <c r="U154" s="9"/>
      <c r="V154" s="56">
        <v>233230</v>
      </c>
      <c r="W154" s="1"/>
      <c r="X154" s="36"/>
      <c r="Y154" s="36"/>
    </row>
    <row r="155" spans="2:25" s="62" customFormat="1" x14ac:dyDescent="0.25">
      <c r="B155" s="1" t="s">
        <v>183</v>
      </c>
      <c r="C155" s="3" t="s">
        <v>25</v>
      </c>
      <c r="D155" s="3" t="s">
        <v>125</v>
      </c>
      <c r="E155" s="4">
        <v>36617</v>
      </c>
      <c r="F155" s="4">
        <v>41394</v>
      </c>
      <c r="G155" s="1"/>
      <c r="H155" s="1" t="s">
        <v>439</v>
      </c>
      <c r="I155" s="3" t="s">
        <v>129</v>
      </c>
      <c r="J155" s="8">
        <f>5.643/J1</f>
        <v>0.18809999999999999</v>
      </c>
      <c r="K155" s="5"/>
      <c r="L155" s="5"/>
      <c r="M155" s="5"/>
      <c r="N155" s="5"/>
      <c r="O155" s="43"/>
      <c r="P155" s="5"/>
      <c r="Q155" s="24">
        <v>893061</v>
      </c>
      <c r="R155" s="3">
        <v>151</v>
      </c>
      <c r="S155" s="1" t="s">
        <v>441</v>
      </c>
      <c r="T155" s="9">
        <f t="shared" si="14"/>
        <v>852.09299999999996</v>
      </c>
      <c r="U155" s="9"/>
      <c r="V155" s="56">
        <v>233229</v>
      </c>
      <c r="W155" s="1"/>
      <c r="X155" s="36"/>
      <c r="Y155" s="36"/>
    </row>
    <row r="156" spans="2:25" s="62" customFormat="1" x14ac:dyDescent="0.25">
      <c r="B156" s="1" t="s">
        <v>183</v>
      </c>
      <c r="C156" s="3" t="s">
        <v>25</v>
      </c>
      <c r="D156" s="3" t="s">
        <v>125</v>
      </c>
      <c r="E156" s="4">
        <v>36617</v>
      </c>
      <c r="F156" s="4">
        <v>41394</v>
      </c>
      <c r="G156" s="1"/>
      <c r="H156" s="1" t="s">
        <v>439</v>
      </c>
      <c r="I156" s="3" t="s">
        <v>129</v>
      </c>
      <c r="J156" s="8">
        <v>0.1343</v>
      </c>
      <c r="K156" s="5"/>
      <c r="L156" s="5"/>
      <c r="M156" s="5"/>
      <c r="N156" s="5"/>
      <c r="O156" s="43"/>
      <c r="P156" s="5"/>
      <c r="Q156" s="24">
        <v>893061</v>
      </c>
      <c r="R156" s="3">
        <v>10843</v>
      </c>
      <c r="S156" s="1" t="s">
        <v>441</v>
      </c>
      <c r="T156" s="9">
        <f>+J156*R156</f>
        <v>1456.2148999999999</v>
      </c>
      <c r="U156" s="9"/>
      <c r="V156" s="56">
        <v>233229</v>
      </c>
      <c r="W156" s="1"/>
      <c r="X156" s="36"/>
      <c r="Y156" s="36"/>
    </row>
    <row r="157" spans="2:25" s="62" customFormat="1" x14ac:dyDescent="0.25">
      <c r="B157" s="1" t="s">
        <v>183</v>
      </c>
      <c r="C157" s="3" t="s">
        <v>25</v>
      </c>
      <c r="D157" s="3" t="s">
        <v>125</v>
      </c>
      <c r="E157" s="4">
        <v>36617</v>
      </c>
      <c r="F157" s="4">
        <v>36830</v>
      </c>
      <c r="G157" s="1" t="s">
        <v>29</v>
      </c>
      <c r="H157" s="1" t="s">
        <v>24</v>
      </c>
      <c r="I157" s="3" t="s">
        <v>23</v>
      </c>
      <c r="J157" s="8">
        <f>7.136/J1</f>
        <v>0.23786666666666667</v>
      </c>
      <c r="K157" s="5"/>
      <c r="L157" s="5"/>
      <c r="M157" s="5"/>
      <c r="N157" s="5"/>
      <c r="O157" s="43"/>
      <c r="P157" s="5"/>
      <c r="Q157" s="24">
        <v>893068</v>
      </c>
      <c r="R157" s="3">
        <v>10</v>
      </c>
      <c r="S157" s="1" t="s">
        <v>446</v>
      </c>
      <c r="T157" s="9">
        <f t="shared" si="14"/>
        <v>71.36</v>
      </c>
      <c r="U157" s="9"/>
      <c r="V157" s="56">
        <v>233228</v>
      </c>
      <c r="W157" s="1"/>
      <c r="X157" s="36"/>
      <c r="Y157" s="36"/>
    </row>
    <row r="158" spans="2:25" s="62" customFormat="1" x14ac:dyDescent="0.25">
      <c r="B158" s="1" t="s">
        <v>183</v>
      </c>
      <c r="C158" s="3" t="s">
        <v>25</v>
      </c>
      <c r="D158" s="3" t="s">
        <v>125</v>
      </c>
      <c r="E158" s="4">
        <v>36617</v>
      </c>
      <c r="F158" s="4">
        <v>39021</v>
      </c>
      <c r="G158" s="1" t="s">
        <v>381</v>
      </c>
      <c r="H158" s="1" t="s">
        <v>24</v>
      </c>
      <c r="I158" s="3" t="s">
        <v>22</v>
      </c>
      <c r="J158" s="8">
        <v>0.7</v>
      </c>
      <c r="K158" s="5"/>
      <c r="L158" s="5"/>
      <c r="M158" s="5"/>
      <c r="N158" s="5"/>
      <c r="O158" s="43"/>
      <c r="P158" s="5"/>
      <c r="Q158" s="24">
        <v>893069</v>
      </c>
      <c r="R158" s="3">
        <v>150</v>
      </c>
      <c r="S158" s="1" t="s">
        <v>440</v>
      </c>
      <c r="T158" s="9">
        <f t="shared" si="14"/>
        <v>3150</v>
      </c>
      <c r="U158" s="9"/>
      <c r="V158" s="56">
        <v>233219</v>
      </c>
      <c r="W158" s="1"/>
      <c r="X158" s="36"/>
      <c r="Y158" s="36"/>
    </row>
    <row r="159" spans="2:25" s="80" customFormat="1" x14ac:dyDescent="0.25">
      <c r="B159" s="42" t="s">
        <v>183</v>
      </c>
      <c r="C159" s="72" t="s">
        <v>25</v>
      </c>
      <c r="D159" s="72" t="s">
        <v>161</v>
      </c>
      <c r="E159" s="73">
        <v>36647</v>
      </c>
      <c r="F159" s="73">
        <v>36677</v>
      </c>
      <c r="G159" s="42" t="s">
        <v>21</v>
      </c>
      <c r="H159" s="42" t="s">
        <v>24</v>
      </c>
      <c r="I159" s="72" t="s">
        <v>23</v>
      </c>
      <c r="J159" s="74">
        <v>0.65</v>
      </c>
      <c r="K159" s="75">
        <v>0</v>
      </c>
      <c r="L159" s="75">
        <v>2.2000000000000001E-3</v>
      </c>
      <c r="M159" s="75">
        <v>0</v>
      </c>
      <c r="N159" s="75">
        <v>0</v>
      </c>
      <c r="O159" s="76">
        <v>0</v>
      </c>
      <c r="P159" s="75">
        <f>SUM(J159:N159)</f>
        <v>0.6522</v>
      </c>
      <c r="Q159" s="77">
        <v>893255</v>
      </c>
      <c r="R159" s="72">
        <v>103</v>
      </c>
      <c r="S159" s="42" t="s">
        <v>404</v>
      </c>
      <c r="T159" s="78">
        <f>J159*J$1*R159</f>
        <v>2008.5</v>
      </c>
      <c r="U159" s="78"/>
      <c r="V159" s="165" t="s">
        <v>405</v>
      </c>
      <c r="W159" s="42"/>
      <c r="X159" s="79"/>
      <c r="Y159" s="79"/>
    </row>
    <row r="160" spans="2:25" s="80" customFormat="1" x14ac:dyDescent="0.25">
      <c r="B160" s="42" t="s">
        <v>183</v>
      </c>
      <c r="C160" s="72" t="s">
        <v>25</v>
      </c>
      <c r="D160" s="72" t="s">
        <v>195</v>
      </c>
      <c r="E160" s="73">
        <v>36647</v>
      </c>
      <c r="F160" s="73">
        <v>36677</v>
      </c>
      <c r="G160" s="42" t="s">
        <v>29</v>
      </c>
      <c r="H160" s="42" t="s">
        <v>29</v>
      </c>
      <c r="I160" s="72" t="s">
        <v>219</v>
      </c>
      <c r="J160" s="74">
        <f>1.2167/30</f>
        <v>4.0556666666666664E-2</v>
      </c>
      <c r="K160" s="75"/>
      <c r="L160" s="75"/>
      <c r="M160" s="75"/>
      <c r="N160" s="75"/>
      <c r="O160" s="76"/>
      <c r="P160" s="75"/>
      <c r="Q160" s="77">
        <v>893310</v>
      </c>
      <c r="R160" s="72">
        <v>41</v>
      </c>
      <c r="S160" s="42" t="s">
        <v>428</v>
      </c>
      <c r="T160" s="78">
        <f>+J160*R160*J$1</f>
        <v>49.884700000000002</v>
      </c>
      <c r="U160" s="78"/>
      <c r="V160" s="110">
        <v>254436</v>
      </c>
      <c r="W160" s="42"/>
      <c r="X160" s="79"/>
      <c r="Y160" s="79"/>
    </row>
    <row r="161" spans="2:25" s="80" customFormat="1" x14ac:dyDescent="0.25">
      <c r="B161" s="42" t="s">
        <v>183</v>
      </c>
      <c r="C161" s="72" t="s">
        <v>25</v>
      </c>
      <c r="D161" s="72" t="s">
        <v>195</v>
      </c>
      <c r="E161" s="73">
        <v>36617</v>
      </c>
      <c r="F161" s="73">
        <v>36646</v>
      </c>
      <c r="G161" s="42" t="s">
        <v>218</v>
      </c>
      <c r="H161" s="42" t="s">
        <v>29</v>
      </c>
      <c r="I161" s="72" t="s">
        <v>22</v>
      </c>
      <c r="J161" s="74">
        <f>5.075/30</f>
        <v>0.16916666666666666</v>
      </c>
      <c r="K161" s="75"/>
      <c r="L161" s="75"/>
      <c r="M161" s="75"/>
      <c r="N161" s="75"/>
      <c r="O161" s="76"/>
      <c r="P161" s="75"/>
      <c r="Q161" s="77">
        <v>893309</v>
      </c>
      <c r="R161" s="72">
        <v>41</v>
      </c>
      <c r="S161" s="42" t="s">
        <v>427</v>
      </c>
      <c r="T161" s="78">
        <f>+J161*R161*J$1</f>
        <v>208.07499999999999</v>
      </c>
      <c r="U161" s="78"/>
      <c r="V161" s="110">
        <v>254432</v>
      </c>
      <c r="W161" s="42"/>
      <c r="X161" s="79"/>
      <c r="Y161" s="79"/>
    </row>
    <row r="162" spans="2:25" s="62" customFormat="1" x14ac:dyDescent="0.25">
      <c r="B162" s="1" t="s">
        <v>90</v>
      </c>
      <c r="C162" s="3" t="s">
        <v>25</v>
      </c>
      <c r="D162" s="3" t="s">
        <v>125</v>
      </c>
      <c r="E162" s="4">
        <v>36617</v>
      </c>
      <c r="F162" s="4">
        <v>36830</v>
      </c>
      <c r="G162" s="1" t="s">
        <v>29</v>
      </c>
      <c r="H162" s="1" t="s">
        <v>24</v>
      </c>
      <c r="I162" s="3" t="s">
        <v>23</v>
      </c>
      <c r="J162" s="8">
        <f>7.136/J$1</f>
        <v>0.23786666666666667</v>
      </c>
      <c r="K162" s="5"/>
      <c r="L162" s="5"/>
      <c r="M162" s="5"/>
      <c r="N162" s="5"/>
      <c r="O162" s="43"/>
      <c r="P162" s="5"/>
      <c r="Q162" s="24">
        <v>889165</v>
      </c>
      <c r="R162" s="3">
        <v>10</v>
      </c>
      <c r="S162" s="1" t="s">
        <v>483</v>
      </c>
      <c r="T162" s="9">
        <f t="shared" ref="T162:T169" si="15">J162*J$1*R162</f>
        <v>71.36</v>
      </c>
      <c r="U162" s="9"/>
      <c r="V162" s="56">
        <v>276479</v>
      </c>
      <c r="W162" s="1"/>
      <c r="X162" s="36"/>
      <c r="Y162" s="36"/>
    </row>
    <row r="163" spans="2:25" s="62" customFormat="1" x14ac:dyDescent="0.25">
      <c r="B163" s="1" t="s">
        <v>90</v>
      </c>
      <c r="C163" s="3" t="s">
        <v>25</v>
      </c>
      <c r="D163" s="3" t="s">
        <v>125</v>
      </c>
      <c r="E163" s="4">
        <v>36617</v>
      </c>
      <c r="F163" s="4">
        <v>36830</v>
      </c>
      <c r="G163" s="1" t="s">
        <v>29</v>
      </c>
      <c r="H163" s="1" t="s">
        <v>24</v>
      </c>
      <c r="I163" s="3" t="s">
        <v>23</v>
      </c>
      <c r="J163" s="8">
        <f>7.136/J$1</f>
        <v>0.23786666666666667</v>
      </c>
      <c r="K163" s="5"/>
      <c r="L163" s="5"/>
      <c r="M163" s="5"/>
      <c r="N163" s="5"/>
      <c r="O163" s="43"/>
      <c r="P163" s="5"/>
      <c r="Q163" s="24">
        <v>889165</v>
      </c>
      <c r="R163" s="3">
        <v>-10</v>
      </c>
      <c r="S163" s="1" t="s">
        <v>484</v>
      </c>
      <c r="T163" s="9">
        <f t="shared" si="15"/>
        <v>-71.36</v>
      </c>
      <c r="U163" s="9"/>
      <c r="V163" s="56"/>
      <c r="W163" s="1"/>
      <c r="X163" s="36"/>
      <c r="Y163" s="36"/>
    </row>
    <row r="164" spans="2:25" s="62" customFormat="1" x14ac:dyDescent="0.25">
      <c r="B164" s="1" t="s">
        <v>183</v>
      </c>
      <c r="C164" s="3" t="s">
        <v>25</v>
      </c>
      <c r="D164" s="3" t="s">
        <v>125</v>
      </c>
      <c r="E164" s="4">
        <v>36617</v>
      </c>
      <c r="F164" s="4">
        <v>37560</v>
      </c>
      <c r="G164" s="1" t="s">
        <v>381</v>
      </c>
      <c r="H164" s="1" t="s">
        <v>382</v>
      </c>
      <c r="I164" s="3" t="s">
        <v>22</v>
      </c>
      <c r="J164" s="8">
        <v>0.50829999999999997</v>
      </c>
      <c r="K164" s="5"/>
      <c r="L164" s="5"/>
      <c r="M164" s="5"/>
      <c r="N164" s="5"/>
      <c r="O164" s="43"/>
      <c r="P164" s="5"/>
      <c r="Q164" s="24">
        <v>889122</v>
      </c>
      <c r="R164" s="3">
        <v>16</v>
      </c>
      <c r="S164" s="1" t="s">
        <v>485</v>
      </c>
      <c r="T164" s="9">
        <f t="shared" si="15"/>
        <v>243.98399999999998</v>
      </c>
      <c r="U164" s="9"/>
      <c r="V164" s="56">
        <v>276496</v>
      </c>
      <c r="W164" s="1"/>
      <c r="X164" s="36"/>
      <c r="Y164" s="36"/>
    </row>
    <row r="165" spans="2:25" s="62" customFormat="1" x14ac:dyDescent="0.25">
      <c r="B165" s="1" t="s">
        <v>183</v>
      </c>
      <c r="C165" s="3" t="s">
        <v>25</v>
      </c>
      <c r="D165" s="3" t="s">
        <v>125</v>
      </c>
      <c r="E165" s="4">
        <v>36617</v>
      </c>
      <c r="F165" s="4">
        <v>37560</v>
      </c>
      <c r="G165" s="1" t="s">
        <v>381</v>
      </c>
      <c r="H165" s="1" t="s">
        <v>382</v>
      </c>
      <c r="I165" s="3" t="s">
        <v>22</v>
      </c>
      <c r="J165" s="8">
        <v>0.50829999999999997</v>
      </c>
      <c r="K165" s="5"/>
      <c r="L165" s="5"/>
      <c r="M165" s="5"/>
      <c r="N165" s="5"/>
      <c r="O165" s="43"/>
      <c r="P165" s="5"/>
      <c r="Q165" s="24">
        <v>889122</v>
      </c>
      <c r="R165" s="3">
        <v>-16</v>
      </c>
      <c r="S165" s="1" t="s">
        <v>486</v>
      </c>
      <c r="T165" s="9">
        <f t="shared" si="15"/>
        <v>-243.98399999999998</v>
      </c>
      <c r="U165" s="9"/>
      <c r="V165" s="56"/>
      <c r="W165" s="1"/>
      <c r="X165" s="36"/>
      <c r="Y165" s="36"/>
    </row>
    <row r="166" spans="2:25" s="62" customFormat="1" x14ac:dyDescent="0.25">
      <c r="B166" s="1" t="s">
        <v>183</v>
      </c>
      <c r="C166" s="3" t="s">
        <v>25</v>
      </c>
      <c r="D166" s="3" t="s">
        <v>125</v>
      </c>
      <c r="E166" s="4">
        <v>36617</v>
      </c>
      <c r="F166" s="4">
        <v>39021</v>
      </c>
      <c r="G166" s="1" t="s">
        <v>381</v>
      </c>
      <c r="H166" s="1" t="s">
        <v>24</v>
      </c>
      <c r="I166" s="3" t="s">
        <v>22</v>
      </c>
      <c r="J166" s="8">
        <v>0.77500000000000002</v>
      </c>
      <c r="K166" s="5"/>
      <c r="L166" s="5"/>
      <c r="M166" s="5"/>
      <c r="N166" s="5"/>
      <c r="O166" s="43"/>
      <c r="P166" s="5"/>
      <c r="Q166" s="24">
        <v>889124</v>
      </c>
      <c r="R166" s="3">
        <v>124</v>
      </c>
      <c r="S166" s="1" t="s">
        <v>487</v>
      </c>
      <c r="T166" s="9">
        <f t="shared" si="15"/>
        <v>2883</v>
      </c>
      <c r="U166" s="9"/>
      <c r="V166" s="56">
        <v>276504</v>
      </c>
      <c r="W166" s="1"/>
      <c r="X166" s="36"/>
      <c r="Y166" s="36"/>
    </row>
    <row r="167" spans="2:25" s="62" customFormat="1" x14ac:dyDescent="0.25">
      <c r="B167" s="1" t="s">
        <v>183</v>
      </c>
      <c r="C167" s="3" t="s">
        <v>25</v>
      </c>
      <c r="D167" s="3" t="s">
        <v>125</v>
      </c>
      <c r="E167" s="4">
        <v>36617</v>
      </c>
      <c r="F167" s="4">
        <v>39021</v>
      </c>
      <c r="G167" s="1" t="s">
        <v>381</v>
      </c>
      <c r="H167" s="1" t="s">
        <v>24</v>
      </c>
      <c r="I167" s="3" t="s">
        <v>22</v>
      </c>
      <c r="J167" s="8">
        <v>0.6</v>
      </c>
      <c r="K167" s="5"/>
      <c r="L167" s="5"/>
      <c r="M167" s="5"/>
      <c r="N167" s="5"/>
      <c r="O167" s="43"/>
      <c r="P167" s="5"/>
      <c r="Q167" s="24">
        <v>889124</v>
      </c>
      <c r="R167" s="3">
        <v>-124</v>
      </c>
      <c r="S167" s="1" t="s">
        <v>488</v>
      </c>
      <c r="T167" s="9">
        <f t="shared" si="15"/>
        <v>-2232</v>
      </c>
      <c r="U167" s="9"/>
      <c r="V167" s="56"/>
      <c r="W167" s="1"/>
      <c r="X167" s="36"/>
      <c r="Y167" s="36"/>
    </row>
    <row r="168" spans="2:25" s="62" customFormat="1" x14ac:dyDescent="0.25">
      <c r="B168" s="1" t="s">
        <v>90</v>
      </c>
      <c r="C168" s="3" t="s">
        <v>25</v>
      </c>
      <c r="D168" s="3" t="s">
        <v>125</v>
      </c>
      <c r="E168" s="4">
        <v>36617</v>
      </c>
      <c r="F168" s="4">
        <v>39021</v>
      </c>
      <c r="G168" s="1" t="s">
        <v>381</v>
      </c>
      <c r="H168" s="1" t="s">
        <v>24</v>
      </c>
      <c r="I168" s="3" t="s">
        <v>22</v>
      </c>
      <c r="J168" s="8">
        <v>0.61</v>
      </c>
      <c r="K168" s="5"/>
      <c r="L168" s="5"/>
      <c r="M168" s="5"/>
      <c r="N168" s="5"/>
      <c r="O168" s="43"/>
      <c r="P168" s="5"/>
      <c r="Q168" s="24">
        <v>889126</v>
      </c>
      <c r="R168" s="3">
        <v>150</v>
      </c>
      <c r="S168" s="1" t="s">
        <v>489</v>
      </c>
      <c r="T168" s="9">
        <f t="shared" si="15"/>
        <v>2745</v>
      </c>
      <c r="U168" s="9"/>
      <c r="V168" s="56">
        <v>276512</v>
      </c>
      <c r="W168" s="1"/>
      <c r="X168" s="36"/>
      <c r="Y168" s="36"/>
    </row>
    <row r="169" spans="2:25" s="62" customFormat="1" x14ac:dyDescent="0.25">
      <c r="B169" s="1" t="s">
        <v>90</v>
      </c>
      <c r="C169" s="3" t="s">
        <v>25</v>
      </c>
      <c r="D169" s="3" t="s">
        <v>125</v>
      </c>
      <c r="E169" s="4">
        <v>36617</v>
      </c>
      <c r="F169" s="4">
        <v>39021</v>
      </c>
      <c r="G169" s="1" t="s">
        <v>381</v>
      </c>
      <c r="H169" s="1" t="s">
        <v>24</v>
      </c>
      <c r="I169" s="3" t="s">
        <v>22</v>
      </c>
      <c r="J169" s="8">
        <v>0.84399999999999997</v>
      </c>
      <c r="K169" s="5"/>
      <c r="L169" s="5"/>
      <c r="M169" s="5"/>
      <c r="N169" s="5"/>
      <c r="O169" s="43"/>
      <c r="P169" s="5"/>
      <c r="Q169" s="24">
        <v>889126</v>
      </c>
      <c r="R169" s="3">
        <v>-150</v>
      </c>
      <c r="S169" s="1" t="s">
        <v>440</v>
      </c>
      <c r="T169" s="9">
        <f t="shared" si="15"/>
        <v>-3798</v>
      </c>
      <c r="U169" s="9"/>
      <c r="V169" s="56"/>
      <c r="W169" s="1"/>
      <c r="X169" s="36"/>
      <c r="Y169" s="36"/>
    </row>
    <row r="170" spans="2:25" ht="11.25" customHeight="1" x14ac:dyDescent="0.25">
      <c r="B170" s="1"/>
      <c r="C170" s="3"/>
      <c r="D170" s="3"/>
      <c r="E170" s="4"/>
      <c r="F170" s="4"/>
      <c r="G170" s="1"/>
      <c r="H170" s="1"/>
      <c r="I170" s="3"/>
      <c r="J170" s="8"/>
      <c r="K170" s="5"/>
      <c r="L170" s="23"/>
      <c r="M170" s="5"/>
      <c r="N170" s="5"/>
      <c r="O170" s="43"/>
      <c r="P170" s="5"/>
      <c r="Q170" s="24"/>
      <c r="R170" s="2">
        <f>SUM(R142:R161)</f>
        <v>12473</v>
      </c>
      <c r="S170" s="3"/>
      <c r="T170" s="9">
        <f>SUM(T142:T169)</f>
        <v>22947.0906</v>
      </c>
      <c r="U170" s="9"/>
      <c r="V170" s="56"/>
      <c r="W170" s="1"/>
      <c r="X170" s="36"/>
      <c r="Y170" s="36"/>
    </row>
    <row r="171" spans="2:25" x14ac:dyDescent="0.25">
      <c r="B171" s="16" t="s">
        <v>4</v>
      </c>
      <c r="C171" s="17" t="s">
        <v>5</v>
      </c>
      <c r="D171" s="17" t="s">
        <v>6</v>
      </c>
      <c r="E171" s="18" t="s">
        <v>7</v>
      </c>
      <c r="F171" s="18"/>
      <c r="G171" s="16" t="s">
        <v>8</v>
      </c>
      <c r="H171" s="16" t="s">
        <v>9</v>
      </c>
      <c r="I171" s="17" t="s">
        <v>49</v>
      </c>
      <c r="J171" s="19" t="s">
        <v>10</v>
      </c>
      <c r="K171" s="17" t="s">
        <v>11</v>
      </c>
      <c r="L171" s="17" t="s">
        <v>12</v>
      </c>
      <c r="M171" s="17" t="s">
        <v>13</v>
      </c>
      <c r="N171" s="17" t="s">
        <v>14</v>
      </c>
      <c r="O171" s="44" t="s">
        <v>15</v>
      </c>
      <c r="P171" s="17" t="s">
        <v>16</v>
      </c>
      <c r="Q171" s="20" t="s">
        <v>181</v>
      </c>
      <c r="R171" s="17" t="s">
        <v>17</v>
      </c>
      <c r="S171" s="16" t="s">
        <v>18</v>
      </c>
      <c r="T171" s="21" t="s">
        <v>48</v>
      </c>
      <c r="U171" s="21" t="s">
        <v>47</v>
      </c>
      <c r="V171" s="54" t="s">
        <v>182</v>
      </c>
      <c r="W171" s="59">
        <f>+W94</f>
        <v>0</v>
      </c>
      <c r="X171" s="36"/>
      <c r="Y171" s="36"/>
    </row>
    <row r="172" spans="2:25" s="62" customFormat="1" x14ac:dyDescent="0.25">
      <c r="B172" s="1" t="s">
        <v>183</v>
      </c>
      <c r="C172" s="3" t="s">
        <v>130</v>
      </c>
      <c r="D172" s="3" t="s">
        <v>125</v>
      </c>
      <c r="E172" s="4">
        <v>36220</v>
      </c>
      <c r="F172" s="4">
        <v>38656</v>
      </c>
      <c r="G172" s="1" t="s">
        <v>133</v>
      </c>
      <c r="H172" s="1" t="s">
        <v>131</v>
      </c>
      <c r="I172" s="3" t="s">
        <v>132</v>
      </c>
      <c r="J172" s="8">
        <v>0.30330000000000001</v>
      </c>
      <c r="K172" s="5">
        <v>0</v>
      </c>
      <c r="L172" s="5">
        <v>2.2000000000000001E-3</v>
      </c>
      <c r="M172" s="5">
        <v>0</v>
      </c>
      <c r="N172" s="5">
        <v>0</v>
      </c>
      <c r="O172" s="43">
        <v>0</v>
      </c>
      <c r="P172" s="5">
        <f>SUM(J172:N172)</f>
        <v>0.30549999999999999</v>
      </c>
      <c r="Q172" s="24" t="s">
        <v>196</v>
      </c>
      <c r="R172" s="3">
        <v>25</v>
      </c>
      <c r="S172" s="1" t="s">
        <v>194</v>
      </c>
      <c r="T172" s="9">
        <f>J172*J$1*R172</f>
        <v>227.47499999999999</v>
      </c>
      <c r="U172" s="9"/>
      <c r="V172" s="56">
        <v>157260</v>
      </c>
      <c r="W172" s="1"/>
      <c r="X172" s="36"/>
      <c r="Y172" s="36"/>
    </row>
    <row r="173" spans="2:25" s="62" customFormat="1" x14ac:dyDescent="0.25">
      <c r="B173" s="1" t="s">
        <v>183</v>
      </c>
      <c r="C173" s="3" t="s">
        <v>130</v>
      </c>
      <c r="D173" s="3" t="s">
        <v>125</v>
      </c>
      <c r="E173" s="4">
        <v>36220</v>
      </c>
      <c r="F173" s="4">
        <v>38656</v>
      </c>
      <c r="G173" s="1" t="s">
        <v>134</v>
      </c>
      <c r="H173" s="1" t="s">
        <v>131</v>
      </c>
      <c r="I173" s="3" t="s">
        <v>132</v>
      </c>
      <c r="J173" s="8">
        <v>0.30330000000000001</v>
      </c>
      <c r="K173" s="5">
        <v>0</v>
      </c>
      <c r="L173" s="5">
        <v>2.2000000000000001E-3</v>
      </c>
      <c r="M173" s="5">
        <v>0</v>
      </c>
      <c r="N173" s="5">
        <v>0</v>
      </c>
      <c r="O173" s="43">
        <v>0</v>
      </c>
      <c r="P173" s="5">
        <f>SUM(J173:N173)</f>
        <v>0.30549999999999999</v>
      </c>
      <c r="Q173" s="24" t="s">
        <v>196</v>
      </c>
      <c r="R173" s="3">
        <v>21</v>
      </c>
      <c r="S173" s="1" t="s">
        <v>194</v>
      </c>
      <c r="T173" s="9">
        <f>J173*J$1*R173</f>
        <v>191.07900000000001</v>
      </c>
      <c r="U173" s="9"/>
      <c r="V173" s="56">
        <v>157260</v>
      </c>
      <c r="W173" s="1"/>
      <c r="X173" s="36"/>
      <c r="Y173" s="36"/>
    </row>
    <row r="174" spans="2:25" s="62" customFormat="1" x14ac:dyDescent="0.25">
      <c r="B174" s="1" t="s">
        <v>183</v>
      </c>
      <c r="C174" s="3" t="s">
        <v>130</v>
      </c>
      <c r="D174" s="3" t="s">
        <v>195</v>
      </c>
      <c r="E174" s="4">
        <v>36647</v>
      </c>
      <c r="F174" s="4">
        <v>36677</v>
      </c>
      <c r="G174" s="1" t="s">
        <v>134</v>
      </c>
      <c r="H174" s="1" t="s">
        <v>131</v>
      </c>
      <c r="I174" s="3" t="s">
        <v>132</v>
      </c>
      <c r="J174" s="157">
        <v>0.30740000000000001</v>
      </c>
      <c r="K174" s="157">
        <v>2.7900000000000001E-2</v>
      </c>
      <c r="L174" s="157">
        <v>2.2000000000000001E-3</v>
      </c>
      <c r="M174" s="157">
        <v>7.1999999999999998E-3</v>
      </c>
      <c r="N174" s="157">
        <v>0</v>
      </c>
      <c r="O174" s="43">
        <v>0</v>
      </c>
      <c r="P174" s="5">
        <f>SUM(J174:N174)</f>
        <v>0.34469999999999995</v>
      </c>
      <c r="Q174" s="24" t="s">
        <v>425</v>
      </c>
      <c r="R174" s="24">
        <v>1405</v>
      </c>
      <c r="S174" s="3" t="s">
        <v>426</v>
      </c>
      <c r="T174" s="158">
        <f>+(0.3074*R174)*31</f>
        <v>13388.806999999999</v>
      </c>
      <c r="U174" s="158"/>
      <c r="V174" s="159">
        <v>254533</v>
      </c>
      <c r="W174" s="1"/>
      <c r="X174" s="36"/>
      <c r="Y174" s="36"/>
    </row>
    <row r="175" spans="2:25" x14ac:dyDescent="0.25">
      <c r="B175" s="1"/>
      <c r="C175" s="3"/>
      <c r="D175" s="3"/>
      <c r="E175" s="4" t="s">
        <v>3</v>
      </c>
      <c r="F175" s="4"/>
      <c r="G175" s="1"/>
      <c r="H175" s="1"/>
      <c r="I175" s="3"/>
      <c r="J175" s="8"/>
      <c r="K175" s="5"/>
      <c r="L175" s="23"/>
      <c r="M175" s="5"/>
      <c r="N175" s="5"/>
      <c r="O175" s="43"/>
      <c r="P175" s="5"/>
      <c r="Q175" s="49"/>
      <c r="R175" s="50">
        <f>SUM(R172:R174)</f>
        <v>1451</v>
      </c>
      <c r="S175" s="40"/>
      <c r="T175" s="39">
        <f>SUM(T172:T174)</f>
        <v>13807.360999999999</v>
      </c>
      <c r="U175" s="39"/>
      <c r="V175" s="57"/>
      <c r="W175" s="60"/>
      <c r="X175" s="35"/>
      <c r="Y175" s="35"/>
    </row>
    <row r="176" spans="2:25" x14ac:dyDescent="0.25">
      <c r="B176" s="16" t="s">
        <v>4</v>
      </c>
      <c r="C176" s="17" t="s">
        <v>5</v>
      </c>
      <c r="D176" s="17" t="s">
        <v>6</v>
      </c>
      <c r="E176" s="18" t="s">
        <v>7</v>
      </c>
      <c r="F176" s="18"/>
      <c r="G176" s="16" t="s">
        <v>8</v>
      </c>
      <c r="H176" s="16" t="s">
        <v>9</v>
      </c>
      <c r="I176" s="17" t="s">
        <v>49</v>
      </c>
      <c r="J176" s="19" t="s">
        <v>10</v>
      </c>
      <c r="K176" s="17" t="s">
        <v>11</v>
      </c>
      <c r="L176" s="17" t="s">
        <v>12</v>
      </c>
      <c r="M176" s="17" t="s">
        <v>13</v>
      </c>
      <c r="N176" s="17" t="s">
        <v>14</v>
      </c>
      <c r="O176" s="44" t="s">
        <v>15</v>
      </c>
      <c r="P176" s="17" t="s">
        <v>16</v>
      </c>
      <c r="Q176" s="20" t="s">
        <v>181</v>
      </c>
      <c r="R176" s="17" t="s">
        <v>17</v>
      </c>
      <c r="S176" s="16" t="s">
        <v>18</v>
      </c>
      <c r="T176" s="21" t="s">
        <v>48</v>
      </c>
      <c r="U176" s="21" t="s">
        <v>47</v>
      </c>
      <c r="V176" s="54" t="s">
        <v>182</v>
      </c>
      <c r="W176" s="59" t="e">
        <f>+#REF!</f>
        <v>#REF!</v>
      </c>
      <c r="X176" s="36"/>
      <c r="Y176" s="36"/>
    </row>
    <row r="177" spans="2:25" s="80" customFormat="1" x14ac:dyDescent="0.25">
      <c r="B177" s="42" t="s">
        <v>90</v>
      </c>
      <c r="C177" s="72" t="s">
        <v>1</v>
      </c>
      <c r="D177" s="72" t="s">
        <v>135</v>
      </c>
      <c r="E177" s="73">
        <v>36647</v>
      </c>
      <c r="F177" s="73">
        <v>36677</v>
      </c>
      <c r="G177" s="42" t="s">
        <v>32</v>
      </c>
      <c r="H177" s="42" t="s">
        <v>135</v>
      </c>
      <c r="I177" s="72" t="s">
        <v>136</v>
      </c>
      <c r="J177" s="74">
        <v>0</v>
      </c>
      <c r="K177" s="75">
        <v>0</v>
      </c>
      <c r="L177" s="75">
        <v>2.2000000000000001E-3</v>
      </c>
      <c r="M177" s="75">
        <v>0</v>
      </c>
      <c r="N177" s="75">
        <v>0</v>
      </c>
      <c r="O177" s="76">
        <v>0</v>
      </c>
      <c r="P177" s="75">
        <f>SUM(J177:N177)</f>
        <v>2.2000000000000001E-3</v>
      </c>
      <c r="Q177" s="77" t="s">
        <v>414</v>
      </c>
      <c r="R177" s="72">
        <v>15</v>
      </c>
      <c r="S177" s="126" t="s">
        <v>413</v>
      </c>
      <c r="T177" s="78">
        <f t="shared" ref="T177:T186" si="16">J177*J$1*R177</f>
        <v>0</v>
      </c>
      <c r="U177" s="78"/>
      <c r="V177" s="110">
        <v>229454</v>
      </c>
      <c r="W177" s="42"/>
      <c r="X177" s="79"/>
      <c r="Y177" s="79"/>
    </row>
    <row r="178" spans="2:25" s="80" customFormat="1" x14ac:dyDescent="0.25">
      <c r="B178" s="42" t="s">
        <v>90</v>
      </c>
      <c r="C178" s="72" t="s">
        <v>1</v>
      </c>
      <c r="D178" s="72" t="s">
        <v>135</v>
      </c>
      <c r="E178" s="73">
        <v>36647</v>
      </c>
      <c r="F178" s="73">
        <v>36677</v>
      </c>
      <c r="G178" s="42" t="s">
        <v>137</v>
      </c>
      <c r="H178" s="42" t="s">
        <v>135</v>
      </c>
      <c r="I178" s="72" t="s">
        <v>136</v>
      </c>
      <c r="J178" s="74">
        <v>0</v>
      </c>
      <c r="K178" s="75">
        <v>0</v>
      </c>
      <c r="L178" s="75">
        <v>2.2000000000000001E-3</v>
      </c>
      <c r="M178" s="75">
        <v>0</v>
      </c>
      <c r="N178" s="75">
        <v>0</v>
      </c>
      <c r="O178" s="76">
        <v>0</v>
      </c>
      <c r="P178" s="75">
        <f t="shared" ref="P178:P183" si="17">SUM(J178:N178)</f>
        <v>2.2000000000000001E-3</v>
      </c>
      <c r="Q178" s="77" t="s">
        <v>414</v>
      </c>
      <c r="R178" s="72">
        <v>21</v>
      </c>
      <c r="S178" s="126" t="s">
        <v>413</v>
      </c>
      <c r="T178" s="78">
        <f t="shared" si="16"/>
        <v>0</v>
      </c>
      <c r="U178" s="78"/>
      <c r="V178" s="110">
        <v>229454</v>
      </c>
      <c r="W178" s="42"/>
      <c r="X178" s="79"/>
      <c r="Y178" s="79"/>
    </row>
    <row r="179" spans="2:25" s="80" customFormat="1" x14ac:dyDescent="0.25">
      <c r="B179" s="42" t="s">
        <v>90</v>
      </c>
      <c r="C179" s="72" t="s">
        <v>1</v>
      </c>
      <c r="D179" s="72" t="s">
        <v>135</v>
      </c>
      <c r="E179" s="73">
        <v>36647</v>
      </c>
      <c r="F179" s="73">
        <v>36677</v>
      </c>
      <c r="G179" s="42" t="s">
        <v>138</v>
      </c>
      <c r="H179" s="42" t="s">
        <v>135</v>
      </c>
      <c r="I179" s="72" t="s">
        <v>136</v>
      </c>
      <c r="J179" s="74">
        <v>0</v>
      </c>
      <c r="K179" s="75">
        <v>0</v>
      </c>
      <c r="L179" s="75">
        <v>2.2000000000000001E-3</v>
      </c>
      <c r="M179" s="75">
        <v>0</v>
      </c>
      <c r="N179" s="75">
        <v>0</v>
      </c>
      <c r="O179" s="76">
        <v>0</v>
      </c>
      <c r="P179" s="75">
        <f t="shared" si="17"/>
        <v>2.2000000000000001E-3</v>
      </c>
      <c r="Q179" s="77" t="s">
        <v>414</v>
      </c>
      <c r="R179" s="72">
        <f>16+34</f>
        <v>50</v>
      </c>
      <c r="S179" s="126" t="s">
        <v>413</v>
      </c>
      <c r="T179" s="78">
        <f t="shared" si="16"/>
        <v>0</v>
      </c>
      <c r="U179" s="78"/>
      <c r="V179" s="110">
        <v>229454</v>
      </c>
      <c r="W179" s="42"/>
      <c r="X179" s="79"/>
      <c r="Y179" s="79"/>
    </row>
    <row r="180" spans="2:25" s="62" customFormat="1" x14ac:dyDescent="0.25">
      <c r="B180" s="1" t="s">
        <v>183</v>
      </c>
      <c r="C180" s="3" t="s">
        <v>1</v>
      </c>
      <c r="D180" s="3" t="s">
        <v>118</v>
      </c>
      <c r="E180" s="4">
        <v>36647</v>
      </c>
      <c r="F180" s="4">
        <v>36677</v>
      </c>
      <c r="G180" s="1" t="s">
        <v>32</v>
      </c>
      <c r="H180" s="29" t="s">
        <v>139</v>
      </c>
      <c r="I180" s="3" t="s">
        <v>136</v>
      </c>
      <c r="J180" s="8">
        <f t="shared" ref="J180:J185" si="18">7.5225/J$1</f>
        <v>0.25074999999999997</v>
      </c>
      <c r="K180" s="5">
        <v>0</v>
      </c>
      <c r="L180" s="5">
        <v>2.2000000000000001E-3</v>
      </c>
      <c r="M180" s="5">
        <v>0</v>
      </c>
      <c r="N180" s="5">
        <v>0</v>
      </c>
      <c r="O180" s="43">
        <v>0</v>
      </c>
      <c r="P180" s="5">
        <f>SUM(J180:N180)</f>
        <v>0.25294999999999995</v>
      </c>
      <c r="Q180" s="24" t="s">
        <v>411</v>
      </c>
      <c r="R180" s="3">
        <v>1115</v>
      </c>
      <c r="S180" s="1" t="s">
        <v>412</v>
      </c>
      <c r="T180" s="71">
        <f t="shared" si="16"/>
        <v>8387.5874999999996</v>
      </c>
      <c r="U180" s="9"/>
      <c r="V180" s="56">
        <v>252026</v>
      </c>
      <c r="W180" s="1"/>
      <c r="X180" s="36"/>
      <c r="Y180" s="36"/>
    </row>
    <row r="181" spans="2:25" s="62" customFormat="1" x14ac:dyDescent="0.25">
      <c r="B181" s="1" t="s">
        <v>183</v>
      </c>
      <c r="C181" s="3" t="s">
        <v>1</v>
      </c>
      <c r="D181" s="3" t="s">
        <v>118</v>
      </c>
      <c r="E181" s="4">
        <v>36647</v>
      </c>
      <c r="F181" s="4">
        <v>36677</v>
      </c>
      <c r="G181" s="1" t="s">
        <v>137</v>
      </c>
      <c r="H181" s="29" t="s">
        <v>139</v>
      </c>
      <c r="I181" s="3" t="s">
        <v>136</v>
      </c>
      <c r="J181" s="8">
        <f t="shared" si="18"/>
        <v>0.25074999999999997</v>
      </c>
      <c r="K181" s="5">
        <v>0</v>
      </c>
      <c r="L181" s="5">
        <v>2.2000000000000001E-3</v>
      </c>
      <c r="M181" s="5">
        <v>0</v>
      </c>
      <c r="N181" s="5">
        <v>0</v>
      </c>
      <c r="O181" s="43">
        <v>0</v>
      </c>
      <c r="P181" s="5">
        <f>SUM(J181:N181)</f>
        <v>0.25294999999999995</v>
      </c>
      <c r="Q181" s="24" t="s">
        <v>411</v>
      </c>
      <c r="R181" s="3">
        <v>1640</v>
      </c>
      <c r="S181" s="1" t="s">
        <v>412</v>
      </c>
      <c r="T181" s="71">
        <f t="shared" si="16"/>
        <v>12336.899999999998</v>
      </c>
      <c r="U181" s="9"/>
      <c r="V181" s="56">
        <v>252026</v>
      </c>
      <c r="W181" s="1"/>
      <c r="X181" s="36"/>
      <c r="Y181" s="36"/>
    </row>
    <row r="182" spans="2:25" s="62" customFormat="1" x14ac:dyDescent="0.25">
      <c r="B182" s="1" t="s">
        <v>183</v>
      </c>
      <c r="C182" s="3" t="s">
        <v>1</v>
      </c>
      <c r="D182" s="3" t="s">
        <v>118</v>
      </c>
      <c r="E182" s="4">
        <v>36647</v>
      </c>
      <c r="F182" s="4">
        <v>36677</v>
      </c>
      <c r="G182" s="1" t="s">
        <v>138</v>
      </c>
      <c r="H182" s="29" t="s">
        <v>139</v>
      </c>
      <c r="I182" s="3" t="s">
        <v>136</v>
      </c>
      <c r="J182" s="8">
        <f t="shared" si="18"/>
        <v>0.25074999999999997</v>
      </c>
      <c r="K182" s="5">
        <v>0</v>
      </c>
      <c r="L182" s="5">
        <v>2.2000000000000001E-3</v>
      </c>
      <c r="M182" s="5">
        <v>0</v>
      </c>
      <c r="N182" s="5">
        <v>0</v>
      </c>
      <c r="O182" s="43">
        <v>0</v>
      </c>
      <c r="P182" s="5">
        <f>SUM(J182:N182)</f>
        <v>0.25294999999999995</v>
      </c>
      <c r="Q182" s="24" t="s">
        <v>411</v>
      </c>
      <c r="R182" s="3">
        <f>1246+2558</f>
        <v>3804</v>
      </c>
      <c r="S182" s="1" t="s">
        <v>412</v>
      </c>
      <c r="T182" s="71">
        <f t="shared" si="16"/>
        <v>28615.589999999997</v>
      </c>
      <c r="U182" s="9"/>
      <c r="V182" s="56">
        <v>252026</v>
      </c>
      <c r="W182" s="1"/>
      <c r="X182" s="36"/>
      <c r="Y182" s="36"/>
    </row>
    <row r="183" spans="2:25" s="62" customFormat="1" x14ac:dyDescent="0.25">
      <c r="B183" s="1" t="s">
        <v>183</v>
      </c>
      <c r="C183" s="3" t="s">
        <v>1</v>
      </c>
      <c r="D183" s="3" t="s">
        <v>118</v>
      </c>
      <c r="E183" s="4">
        <v>36647</v>
      </c>
      <c r="F183" s="4">
        <v>36646</v>
      </c>
      <c r="G183" s="1" t="s">
        <v>32</v>
      </c>
      <c r="H183" s="29" t="s">
        <v>139</v>
      </c>
      <c r="I183" s="3" t="s">
        <v>136</v>
      </c>
      <c r="J183" s="8">
        <f t="shared" si="18"/>
        <v>0.25074999999999997</v>
      </c>
      <c r="K183" s="5">
        <v>0</v>
      </c>
      <c r="L183" s="5">
        <v>2.2000000000000001E-3</v>
      </c>
      <c r="M183" s="5">
        <v>0</v>
      </c>
      <c r="N183" s="5">
        <v>0</v>
      </c>
      <c r="O183" s="43">
        <v>0</v>
      </c>
      <c r="P183" s="5">
        <f t="shared" si="17"/>
        <v>0.25294999999999995</v>
      </c>
      <c r="Q183" s="24" t="s">
        <v>409</v>
      </c>
      <c r="R183" s="40">
        <v>67</v>
      </c>
      <c r="S183" s="1" t="s">
        <v>410</v>
      </c>
      <c r="T183" s="71">
        <f t="shared" si="16"/>
        <v>504.00749999999994</v>
      </c>
      <c r="U183" s="9"/>
      <c r="V183" s="56">
        <v>252020</v>
      </c>
      <c r="W183" s="1"/>
      <c r="X183" s="36"/>
      <c r="Y183" s="36"/>
    </row>
    <row r="184" spans="2:25" s="62" customFormat="1" x14ac:dyDescent="0.25">
      <c r="B184" s="1" t="s">
        <v>183</v>
      </c>
      <c r="C184" s="3" t="s">
        <v>1</v>
      </c>
      <c r="D184" s="3" t="s">
        <v>118</v>
      </c>
      <c r="E184" s="4">
        <v>36647</v>
      </c>
      <c r="F184" s="4">
        <v>36646</v>
      </c>
      <c r="G184" s="1" t="s">
        <v>137</v>
      </c>
      <c r="H184" s="29" t="s">
        <v>139</v>
      </c>
      <c r="I184" s="3" t="s">
        <v>136</v>
      </c>
      <c r="J184" s="8">
        <f t="shared" si="18"/>
        <v>0.25074999999999997</v>
      </c>
      <c r="K184" s="5">
        <v>0</v>
      </c>
      <c r="L184" s="5">
        <v>2.2000000000000001E-3</v>
      </c>
      <c r="M184" s="5">
        <v>0</v>
      </c>
      <c r="N184" s="5">
        <v>0</v>
      </c>
      <c r="O184" s="43">
        <v>0</v>
      </c>
      <c r="P184" s="5">
        <f>SUM(J184:N184)</f>
        <v>0.25294999999999995</v>
      </c>
      <c r="Q184" s="24" t="s">
        <v>409</v>
      </c>
      <c r="R184" s="3">
        <v>98</v>
      </c>
      <c r="S184" s="1" t="s">
        <v>410</v>
      </c>
      <c r="T184" s="71">
        <f t="shared" si="16"/>
        <v>737.20499999999993</v>
      </c>
      <c r="U184" s="9"/>
      <c r="V184" s="56">
        <v>252020</v>
      </c>
      <c r="W184" s="1"/>
      <c r="X184" s="36"/>
      <c r="Y184" s="36"/>
    </row>
    <row r="185" spans="2:25" s="62" customFormat="1" x14ac:dyDescent="0.25">
      <c r="B185" s="1" t="s">
        <v>183</v>
      </c>
      <c r="C185" s="3" t="s">
        <v>1</v>
      </c>
      <c r="D185" s="3" t="s">
        <v>118</v>
      </c>
      <c r="E185" s="4">
        <v>36647</v>
      </c>
      <c r="F185" s="4">
        <v>36646</v>
      </c>
      <c r="G185" s="1" t="s">
        <v>138</v>
      </c>
      <c r="H185" s="29" t="s">
        <v>139</v>
      </c>
      <c r="I185" s="3" t="s">
        <v>136</v>
      </c>
      <c r="J185" s="8">
        <f t="shared" si="18"/>
        <v>0.25074999999999997</v>
      </c>
      <c r="K185" s="5">
        <v>0</v>
      </c>
      <c r="L185" s="5">
        <v>2.2000000000000001E-3</v>
      </c>
      <c r="M185" s="5">
        <v>0</v>
      </c>
      <c r="N185" s="5">
        <v>0</v>
      </c>
      <c r="O185" s="43">
        <v>0</v>
      </c>
      <c r="P185" s="5">
        <f>SUM(J185:N185)</f>
        <v>0.25294999999999995</v>
      </c>
      <c r="Q185" s="24" t="s">
        <v>409</v>
      </c>
      <c r="R185" s="3">
        <f>75+154</f>
        <v>229</v>
      </c>
      <c r="S185" s="1" t="s">
        <v>410</v>
      </c>
      <c r="T185" s="71">
        <f t="shared" si="16"/>
        <v>1722.6524999999997</v>
      </c>
      <c r="U185" s="9"/>
      <c r="V185" s="56">
        <v>252020</v>
      </c>
      <c r="W185" s="1"/>
      <c r="X185" s="36"/>
      <c r="Y185" s="36"/>
    </row>
    <row r="186" spans="2:25" s="62" customFormat="1" x14ac:dyDescent="0.25">
      <c r="B186" s="1" t="s">
        <v>183</v>
      </c>
      <c r="C186" s="3" t="s">
        <v>1</v>
      </c>
      <c r="D186" s="3" t="s">
        <v>118</v>
      </c>
      <c r="E186" s="4">
        <v>36617</v>
      </c>
      <c r="F186" s="4">
        <v>36646</v>
      </c>
      <c r="G186" s="1" t="s">
        <v>140</v>
      </c>
      <c r="H186" s="29" t="s">
        <v>139</v>
      </c>
      <c r="I186" s="3" t="s">
        <v>141</v>
      </c>
      <c r="J186" s="8">
        <f>14.1875/30</f>
        <v>0.47291666666666665</v>
      </c>
      <c r="K186" s="5">
        <v>0</v>
      </c>
      <c r="L186" s="5">
        <v>2.2000000000000001E-3</v>
      </c>
      <c r="M186" s="5">
        <v>0</v>
      </c>
      <c r="N186" s="5">
        <v>0</v>
      </c>
      <c r="O186" s="43">
        <v>0</v>
      </c>
      <c r="P186" s="5">
        <f>SUM(J186:N186)</f>
        <v>0.47511666666666663</v>
      </c>
      <c r="Q186" s="160" t="s">
        <v>311</v>
      </c>
      <c r="R186" s="3">
        <v>5278</v>
      </c>
      <c r="S186" s="1" t="s">
        <v>429</v>
      </c>
      <c r="T186" s="71">
        <f t="shared" si="16"/>
        <v>74881.625</v>
      </c>
      <c r="U186" s="9"/>
      <c r="V186" s="56">
        <v>254375</v>
      </c>
      <c r="W186" s="1"/>
      <c r="X186" s="36"/>
      <c r="Y186" s="36"/>
    </row>
    <row r="187" spans="2:25" s="62" customFormat="1" x14ac:dyDescent="0.25">
      <c r="B187" s="1" t="s">
        <v>183</v>
      </c>
      <c r="C187" s="3" t="s">
        <v>1</v>
      </c>
      <c r="D187" s="3" t="s">
        <v>118</v>
      </c>
      <c r="E187" s="4">
        <v>36647</v>
      </c>
      <c r="F187" s="4">
        <v>36677</v>
      </c>
      <c r="G187" s="1" t="s">
        <v>154</v>
      </c>
      <c r="H187" s="29"/>
      <c r="I187" s="3" t="s">
        <v>153</v>
      </c>
      <c r="J187" s="8">
        <v>7.9000000000000008E-3</v>
      </c>
      <c r="K187" s="5">
        <v>0</v>
      </c>
      <c r="L187" s="5">
        <v>2.2000000000000001E-3</v>
      </c>
      <c r="M187" s="5">
        <v>0</v>
      </c>
      <c r="N187" s="5">
        <v>0</v>
      </c>
      <c r="O187" s="43">
        <v>0</v>
      </c>
      <c r="P187" s="5">
        <f t="shared" ref="P187:P193" si="19">SUM(J187:N187)</f>
        <v>1.0100000000000001E-2</v>
      </c>
      <c r="R187" s="3">
        <v>380338</v>
      </c>
      <c r="S187" s="1" t="s">
        <v>408</v>
      </c>
      <c r="T187" s="161">
        <f>+R187*J187</f>
        <v>3004.6702000000005</v>
      </c>
      <c r="U187" s="9"/>
      <c r="V187" s="56">
        <v>252030</v>
      </c>
      <c r="W187" s="1"/>
      <c r="X187" s="36"/>
      <c r="Y187" s="36"/>
    </row>
    <row r="188" spans="2:25" s="62" customFormat="1" x14ac:dyDescent="0.25">
      <c r="B188" s="1" t="s">
        <v>183</v>
      </c>
      <c r="C188" s="3" t="s">
        <v>1</v>
      </c>
      <c r="D188" s="3" t="s">
        <v>118</v>
      </c>
      <c r="E188" s="4">
        <v>36647</v>
      </c>
      <c r="F188" s="4">
        <v>36677</v>
      </c>
      <c r="G188" s="1" t="s">
        <v>152</v>
      </c>
      <c r="H188" s="29"/>
      <c r="I188" s="3" t="s">
        <v>153</v>
      </c>
      <c r="J188" s="8">
        <v>0.6673</v>
      </c>
      <c r="K188" s="5">
        <v>0</v>
      </c>
      <c r="L188" s="5">
        <v>2.2000000000000001E-3</v>
      </c>
      <c r="M188" s="5">
        <v>0</v>
      </c>
      <c r="N188" s="5">
        <v>0</v>
      </c>
      <c r="O188" s="43">
        <v>0</v>
      </c>
      <c r="P188" s="5">
        <f t="shared" si="19"/>
        <v>0.66949999999999998</v>
      </c>
      <c r="R188" s="3">
        <v>4475</v>
      </c>
      <c r="S188" s="1" t="s">
        <v>408</v>
      </c>
      <c r="T188" s="161">
        <f>+R188*J188</f>
        <v>2986.1675</v>
      </c>
      <c r="U188" s="9"/>
      <c r="V188" s="56">
        <v>252030</v>
      </c>
      <c r="W188" s="1"/>
      <c r="X188" s="36"/>
      <c r="Y188" s="36"/>
    </row>
    <row r="189" spans="2:25" s="62" customFormat="1" x14ac:dyDescent="0.25">
      <c r="B189" s="1" t="s">
        <v>183</v>
      </c>
      <c r="C189" s="3" t="s">
        <v>1</v>
      </c>
      <c r="D189" s="3" t="s">
        <v>118</v>
      </c>
      <c r="E189" s="4">
        <v>36647</v>
      </c>
      <c r="F189" s="4">
        <v>36677</v>
      </c>
      <c r="G189" s="1" t="s">
        <v>155</v>
      </c>
      <c r="H189" s="29"/>
      <c r="I189" s="3" t="s">
        <v>157</v>
      </c>
      <c r="J189" s="8">
        <v>4.8099999999999997E-2</v>
      </c>
      <c r="K189" s="5">
        <v>0</v>
      </c>
      <c r="L189" s="5">
        <v>2.2000000000000001E-3</v>
      </c>
      <c r="M189" s="5">
        <v>0</v>
      </c>
      <c r="N189" s="5">
        <v>0</v>
      </c>
      <c r="O189" s="43">
        <v>0</v>
      </c>
      <c r="P189" s="5">
        <f t="shared" si="19"/>
        <v>5.0299999999999997E-2</v>
      </c>
      <c r="R189" s="3">
        <v>19323</v>
      </c>
      <c r="S189" s="1" t="s">
        <v>422</v>
      </c>
      <c r="T189" s="161">
        <f>+J189*R189</f>
        <v>929.43629999999996</v>
      </c>
      <c r="U189" s="9"/>
      <c r="V189" s="56">
        <v>260640</v>
      </c>
      <c r="W189" s="1"/>
      <c r="X189" s="36"/>
      <c r="Y189" s="36"/>
    </row>
    <row r="190" spans="2:25" s="62" customFormat="1" x14ac:dyDescent="0.25">
      <c r="B190" s="1" t="s">
        <v>183</v>
      </c>
      <c r="C190" s="3" t="s">
        <v>1</v>
      </c>
      <c r="D190" s="3" t="s">
        <v>118</v>
      </c>
      <c r="E190" s="4">
        <v>36647</v>
      </c>
      <c r="F190" s="4">
        <v>36677</v>
      </c>
      <c r="G190" s="1" t="s">
        <v>156</v>
      </c>
      <c r="H190" s="29"/>
      <c r="I190" s="3" t="s">
        <v>157</v>
      </c>
      <c r="J190" s="8">
        <v>0.48399999999999999</v>
      </c>
      <c r="K190" s="5">
        <v>0</v>
      </c>
      <c r="L190" s="5">
        <v>2.2000000000000001E-3</v>
      </c>
      <c r="M190" s="5">
        <v>0</v>
      </c>
      <c r="N190" s="5">
        <v>0</v>
      </c>
      <c r="O190" s="43">
        <v>0</v>
      </c>
      <c r="P190" s="5">
        <f t="shared" si="19"/>
        <v>0.48619999999999997</v>
      </c>
      <c r="R190" s="3">
        <v>1921</v>
      </c>
      <c r="S190" s="1" t="s">
        <v>422</v>
      </c>
      <c r="T190" s="161">
        <f>+J190*R190</f>
        <v>929.76400000000001</v>
      </c>
      <c r="U190" s="9"/>
      <c r="V190" s="56">
        <v>260640</v>
      </c>
      <c r="W190" s="1"/>
      <c r="X190" s="36"/>
      <c r="Y190" s="36"/>
    </row>
    <row r="191" spans="2:25" s="62" customFormat="1" x14ac:dyDescent="0.25">
      <c r="B191" s="1" t="s">
        <v>90</v>
      </c>
      <c r="C191" s="3" t="s">
        <v>1</v>
      </c>
      <c r="D191" s="3" t="s">
        <v>125</v>
      </c>
      <c r="E191" s="4">
        <v>35977</v>
      </c>
      <c r="F191" s="4">
        <v>39599</v>
      </c>
      <c r="G191" s="1" t="s">
        <v>143</v>
      </c>
      <c r="H191" s="1" t="s">
        <v>144</v>
      </c>
      <c r="I191" s="3" t="s">
        <v>146</v>
      </c>
      <c r="J191" s="8">
        <f>4.7713/J$1</f>
        <v>0.15904333333333334</v>
      </c>
      <c r="K191" s="5">
        <v>0</v>
      </c>
      <c r="L191" s="5">
        <v>2.2000000000000001E-3</v>
      </c>
      <c r="M191" s="5">
        <v>0</v>
      </c>
      <c r="N191" s="5">
        <v>0</v>
      </c>
      <c r="O191" s="43">
        <v>0</v>
      </c>
      <c r="P191" s="5">
        <f t="shared" si="19"/>
        <v>0.16124333333333335</v>
      </c>
      <c r="Q191" s="162" t="s">
        <v>145</v>
      </c>
      <c r="R191" s="3">
        <v>15</v>
      </c>
      <c r="S191" s="1" t="s">
        <v>147</v>
      </c>
      <c r="T191" s="71">
        <f>J191*J$1*R191</f>
        <v>71.569500000000005</v>
      </c>
      <c r="U191" s="9"/>
      <c r="V191" s="156" t="s">
        <v>158</v>
      </c>
      <c r="W191" s="1"/>
      <c r="X191" s="36"/>
      <c r="Y191" s="36"/>
    </row>
    <row r="192" spans="2:25" s="62" customFormat="1" x14ac:dyDescent="0.25">
      <c r="B192" s="1" t="s">
        <v>90</v>
      </c>
      <c r="C192" s="3" t="s">
        <v>1</v>
      </c>
      <c r="D192" s="3" t="s">
        <v>125</v>
      </c>
      <c r="E192" s="4">
        <v>36130</v>
      </c>
      <c r="F192" s="4">
        <v>39599</v>
      </c>
      <c r="G192" s="1" t="s">
        <v>143</v>
      </c>
      <c r="H192" s="1" t="s">
        <v>144</v>
      </c>
      <c r="I192" s="3" t="s">
        <v>146</v>
      </c>
      <c r="J192" s="8">
        <f>4.7713/J$1</f>
        <v>0.15904333333333334</v>
      </c>
      <c r="K192" s="5">
        <v>0</v>
      </c>
      <c r="L192" s="5">
        <v>2.2000000000000001E-3</v>
      </c>
      <c r="M192" s="5">
        <v>0</v>
      </c>
      <c r="N192" s="5">
        <v>0</v>
      </c>
      <c r="O192" s="43">
        <v>0</v>
      </c>
      <c r="P192" s="5">
        <f t="shared" si="19"/>
        <v>0.16124333333333335</v>
      </c>
      <c r="Q192" s="162" t="s">
        <v>148</v>
      </c>
      <c r="R192" s="3">
        <v>2</v>
      </c>
      <c r="S192" s="1" t="s">
        <v>149</v>
      </c>
      <c r="T192" s="71">
        <f>J192*J$1*R192</f>
        <v>9.5426000000000002</v>
      </c>
      <c r="U192" s="9"/>
      <c r="V192" s="156" t="s">
        <v>159</v>
      </c>
      <c r="W192" s="1"/>
      <c r="X192" s="36"/>
      <c r="Y192" s="36"/>
    </row>
    <row r="193" spans="2:25" s="62" customFormat="1" x14ac:dyDescent="0.25">
      <c r="B193" s="1" t="s">
        <v>90</v>
      </c>
      <c r="C193" s="3" t="s">
        <v>1</v>
      </c>
      <c r="D193" s="3" t="s">
        <v>125</v>
      </c>
      <c r="E193" s="4">
        <v>36220</v>
      </c>
      <c r="F193" s="4">
        <v>39599</v>
      </c>
      <c r="G193" s="1" t="s">
        <v>143</v>
      </c>
      <c r="H193" s="1" t="s">
        <v>144</v>
      </c>
      <c r="I193" s="3" t="s">
        <v>146</v>
      </c>
      <c r="J193" s="8">
        <f>4.7713/J$1</f>
        <v>0.15904333333333334</v>
      </c>
      <c r="K193" s="5">
        <v>0</v>
      </c>
      <c r="L193" s="5">
        <v>2.2000000000000001E-3</v>
      </c>
      <c r="M193" s="5">
        <v>0</v>
      </c>
      <c r="N193" s="5">
        <v>0</v>
      </c>
      <c r="O193" s="43">
        <v>0</v>
      </c>
      <c r="P193" s="5">
        <f t="shared" si="19"/>
        <v>0.16124333333333335</v>
      </c>
      <c r="Q193" s="162" t="s">
        <v>151</v>
      </c>
      <c r="R193" s="3">
        <v>5</v>
      </c>
      <c r="S193" s="1" t="s">
        <v>150</v>
      </c>
      <c r="T193" s="71">
        <f>J193*J$1*R193</f>
        <v>23.8565</v>
      </c>
      <c r="U193" s="9"/>
      <c r="V193" s="156" t="s">
        <v>160</v>
      </c>
      <c r="W193" s="1"/>
      <c r="X193" s="36"/>
      <c r="Y193" s="36"/>
    </row>
    <row r="194" spans="2:25" x14ac:dyDescent="0.25">
      <c r="B194" s="27"/>
      <c r="C194" s="3"/>
      <c r="D194" s="3"/>
      <c r="E194" s="4"/>
      <c r="F194" s="4"/>
      <c r="G194" s="1"/>
      <c r="H194" s="1"/>
      <c r="I194" s="3"/>
      <c r="J194" s="8"/>
      <c r="K194" s="5"/>
      <c r="L194" s="5"/>
      <c r="M194" s="5"/>
      <c r="N194" s="5"/>
      <c r="O194" s="43"/>
      <c r="P194" s="5"/>
      <c r="Q194" s="49"/>
      <c r="R194" s="50"/>
      <c r="S194" s="28"/>
      <c r="T194" s="28">
        <f>SUM(T177:T193)</f>
        <v>135140.5741</v>
      </c>
      <c r="U194" s="28"/>
      <c r="V194" s="52"/>
      <c r="W194" s="58"/>
      <c r="X194" s="35"/>
      <c r="Y194" s="35"/>
    </row>
    <row r="195" spans="2:25" x14ac:dyDescent="0.25">
      <c r="B195" s="27"/>
      <c r="C195" s="3"/>
      <c r="D195" s="3"/>
      <c r="E195" s="4"/>
      <c r="F195" s="4"/>
      <c r="G195" s="1"/>
      <c r="H195" s="1"/>
      <c r="I195" s="3"/>
      <c r="J195" s="5"/>
      <c r="K195" s="5"/>
      <c r="L195" s="5"/>
      <c r="M195" s="5"/>
      <c r="N195" s="5"/>
      <c r="O195" s="43"/>
      <c r="P195" s="5"/>
      <c r="Q195" s="49"/>
      <c r="R195" s="50"/>
      <c r="S195" s="28"/>
      <c r="T195" s="28"/>
      <c r="U195" s="28"/>
      <c r="V195" s="52"/>
      <c r="W195" s="58"/>
      <c r="X195" s="35"/>
      <c r="Y195" s="35"/>
    </row>
    <row r="196" spans="2:25" x14ac:dyDescent="0.25">
      <c r="B196" s="27"/>
      <c r="C196" s="3"/>
      <c r="D196" s="3"/>
      <c r="E196" s="4"/>
      <c r="F196" s="4"/>
      <c r="G196" s="1"/>
      <c r="H196" s="1"/>
      <c r="I196" s="3"/>
      <c r="J196" s="8"/>
      <c r="K196" s="5"/>
      <c r="L196" s="5"/>
      <c r="M196" s="5"/>
      <c r="N196" s="5"/>
      <c r="O196" s="43"/>
      <c r="P196" s="5"/>
      <c r="Q196" s="49"/>
      <c r="R196" s="50"/>
      <c r="S196" s="28"/>
      <c r="T196" s="28"/>
      <c r="U196" s="28"/>
      <c r="V196" s="52"/>
      <c r="W196" s="58"/>
      <c r="X196" s="35"/>
      <c r="Y196" s="35"/>
    </row>
    <row r="197" spans="2:25" ht="13.8" thickBot="1" x14ac:dyDescent="0.3">
      <c r="B197" s="27"/>
      <c r="C197" s="3"/>
      <c r="D197" s="3"/>
      <c r="E197" s="4"/>
      <c r="F197" s="4"/>
      <c r="G197" s="1"/>
      <c r="H197" s="1"/>
      <c r="I197" s="3"/>
      <c r="J197" s="5"/>
      <c r="K197" s="5"/>
      <c r="L197" s="5"/>
      <c r="M197" s="5"/>
      <c r="N197" s="5"/>
      <c r="O197" s="43"/>
      <c r="P197" s="5"/>
      <c r="Q197" s="49"/>
      <c r="R197" s="50"/>
      <c r="S197" s="28"/>
      <c r="T197" s="94">
        <f>SUM(T194,T175,T170,T140,T129,T118,T115,T91,T36,T20)</f>
        <v>1830783.0194163451</v>
      </c>
      <c r="U197" s="28" t="s">
        <v>213</v>
      </c>
      <c r="V197" s="52"/>
      <c r="W197" s="58"/>
      <c r="X197" s="35"/>
      <c r="Y197" s="35"/>
    </row>
    <row r="198" spans="2:25" ht="13.8" thickTop="1" x14ac:dyDescent="0.25">
      <c r="B198" s="27"/>
      <c r="C198" s="3"/>
      <c r="D198" s="3"/>
      <c r="E198" s="4"/>
      <c r="F198" s="4"/>
      <c r="G198" s="1"/>
      <c r="H198" s="1"/>
      <c r="I198" s="3"/>
      <c r="J198" s="5"/>
      <c r="K198" s="5"/>
      <c r="L198" s="5"/>
      <c r="M198" s="5"/>
      <c r="N198" s="5"/>
      <c r="O198" s="43"/>
      <c r="P198" s="5"/>
      <c r="Q198" s="49"/>
      <c r="R198" s="50"/>
      <c r="S198" s="28"/>
      <c r="T198" s="28"/>
      <c r="U198" s="58" t="s">
        <v>270</v>
      </c>
      <c r="V198" s="52"/>
      <c r="W198" s="58"/>
      <c r="X198" s="40"/>
      <c r="Y198" s="35"/>
    </row>
    <row r="199" spans="2:25" x14ac:dyDescent="0.25">
      <c r="B199" s="27"/>
      <c r="C199" s="3"/>
      <c r="D199" s="3"/>
      <c r="E199" s="4"/>
      <c r="F199" s="4"/>
      <c r="G199" s="1"/>
      <c r="H199" s="1"/>
      <c r="I199" s="3"/>
      <c r="J199" s="5"/>
      <c r="K199" s="5"/>
      <c r="L199" s="5"/>
      <c r="M199" s="5"/>
      <c r="N199" s="5"/>
      <c r="O199" s="43"/>
      <c r="P199" s="5"/>
      <c r="Q199" s="49"/>
      <c r="R199" s="50"/>
      <c r="S199" s="28"/>
      <c r="T199" s="28"/>
      <c r="U199" s="28"/>
      <c r="V199" s="52"/>
      <c r="W199" s="58"/>
      <c r="X199" s="35"/>
      <c r="Y199" s="35"/>
    </row>
    <row r="200" spans="2:25" x14ac:dyDescent="0.25">
      <c r="B200" s="27"/>
      <c r="C200" s="3"/>
      <c r="D200" s="3"/>
      <c r="E200" s="4"/>
      <c r="F200" s="4"/>
      <c r="G200" s="1"/>
      <c r="H200" s="1"/>
      <c r="I200" s="3"/>
      <c r="J200" s="5"/>
      <c r="K200" s="5"/>
      <c r="L200" s="5"/>
      <c r="M200" s="5"/>
      <c r="N200" s="5"/>
      <c r="O200" s="43"/>
      <c r="P200" s="5"/>
      <c r="Q200" s="49"/>
      <c r="R200" s="50"/>
      <c r="S200" s="28"/>
      <c r="T200" s="28">
        <f>SUM('CES Retail East'!T114)</f>
        <v>756023.30569548393</v>
      </c>
      <c r="U200" s="28" t="s">
        <v>481</v>
      </c>
      <c r="V200" s="52"/>
      <c r="W200" s="58"/>
      <c r="X200" s="35"/>
      <c r="Y200" s="35"/>
    </row>
    <row r="201" spans="2:25" x14ac:dyDescent="0.25">
      <c r="B201" s="27"/>
      <c r="C201" s="3"/>
      <c r="D201" s="3"/>
      <c r="E201" s="4"/>
      <c r="F201" s="4"/>
      <c r="G201" s="1"/>
      <c r="H201" s="1"/>
      <c r="I201" s="3"/>
      <c r="J201" s="8"/>
      <c r="K201" s="5"/>
      <c r="L201" s="5"/>
      <c r="M201" s="5"/>
      <c r="N201" s="5"/>
      <c r="O201" s="43"/>
      <c r="P201" s="5"/>
      <c r="Q201" s="49"/>
      <c r="R201" s="50"/>
      <c r="S201" s="40"/>
      <c r="T201" s="28">
        <f>SUM('CES Retail Mrkt'!T97)</f>
        <v>957665.52949032257</v>
      </c>
      <c r="U201" s="28" t="s">
        <v>482</v>
      </c>
      <c r="V201" s="52"/>
      <c r="W201" s="58"/>
      <c r="X201" s="35"/>
      <c r="Y201" s="35"/>
    </row>
    <row r="202" spans="2:25" ht="13.8" thickBot="1" x14ac:dyDescent="0.3">
      <c r="B202" s="27"/>
      <c r="C202" s="3"/>
      <c r="D202" s="3"/>
      <c r="E202" s="4"/>
      <c r="F202" s="4"/>
      <c r="G202" s="1"/>
      <c r="H202" s="1"/>
      <c r="I202" s="3"/>
      <c r="J202" s="8"/>
      <c r="K202" s="5"/>
      <c r="L202" s="5"/>
      <c r="M202" s="5"/>
      <c r="N202" s="5"/>
      <c r="O202" s="43"/>
      <c r="P202" s="5"/>
      <c r="Q202" s="49"/>
      <c r="R202" s="50"/>
      <c r="S202" s="40"/>
      <c r="T202" s="94">
        <f>SUM(T200:T201)</f>
        <v>1713688.8351858065</v>
      </c>
      <c r="U202" s="28" t="s">
        <v>249</v>
      </c>
      <c r="V202" s="52"/>
      <c r="W202" s="58"/>
      <c r="X202" s="35"/>
      <c r="Y202" s="35"/>
    </row>
    <row r="203" spans="2:25" ht="13.8" thickTop="1" x14ac:dyDescent="0.25">
      <c r="Q203" s="34"/>
      <c r="R203" s="34"/>
      <c r="S203" s="34"/>
      <c r="T203" s="34"/>
      <c r="U203" s="34"/>
      <c r="V203" s="51"/>
      <c r="W203" s="61"/>
      <c r="X203" s="51"/>
    </row>
    <row r="204" spans="2:25" x14ac:dyDescent="0.25">
      <c r="Q204" s="34"/>
      <c r="R204" s="34"/>
      <c r="S204" s="34"/>
      <c r="T204" s="34"/>
      <c r="U204" s="34"/>
      <c r="V204" s="51"/>
      <c r="W204" s="61"/>
      <c r="X204" s="51"/>
    </row>
  </sheetData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Pricing Notes</vt:lpstr>
      <vt:lpstr>CGAS</vt:lpstr>
      <vt:lpstr>Pricing</vt:lpstr>
      <vt:lpstr>CES Retail East</vt:lpstr>
      <vt:lpstr>CES Retail Mrkt</vt:lpstr>
      <vt:lpstr>MetroMedia</vt:lpstr>
      <vt:lpstr>Original</vt:lpstr>
      <vt:lpstr>'Pricing Notes'!Print_Area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</dc:creator>
  <cp:lastModifiedBy>Havlíček Jan</cp:lastModifiedBy>
  <cp:lastPrinted>2000-05-15T12:51:36Z</cp:lastPrinted>
  <dcterms:created xsi:type="dcterms:W3CDTF">1998-07-21T12:15:25Z</dcterms:created>
  <dcterms:modified xsi:type="dcterms:W3CDTF">2023-09-10T15:47:24Z</dcterms:modified>
</cp:coreProperties>
</file>