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36" windowWidth="15216" windowHeight="9600" activeTab="4"/>
  </bookViews>
  <sheets>
    <sheet name="Jan 2000" sheetId="2" r:id="rId1"/>
    <sheet name="Feb 2000" sheetId="3" r:id="rId2"/>
    <sheet name="Mar 2000" sheetId="4" r:id="rId3"/>
    <sheet name="Apr 2000" sheetId="5" r:id="rId4"/>
    <sheet name="MAY 2000" sheetId="7" r:id="rId5"/>
    <sheet name="NEW MASTER SHEET" sheetId="1" r:id="rId6"/>
  </sheets>
  <definedNames>
    <definedName name="_xlnm.Print_Area" localSheetId="3">'Apr 2000'!$A$1:$U$58</definedName>
    <definedName name="_xlnm.Print_Area" localSheetId="1">'Feb 2000'!$A$1:$Q$53</definedName>
    <definedName name="_xlnm.Print_Area" localSheetId="0">'Jan 2000'!$A$1:$Q$55</definedName>
    <definedName name="_xlnm.Print_Area" localSheetId="2">'Mar 2000'!$A$1:$Q$55</definedName>
    <definedName name="_xlnm.Print_Area" localSheetId="4">'MAY 2000'!$A$1:$Y$59</definedName>
    <definedName name="_xlnm.Print_Area" localSheetId="5">'NEW MASTER SHEET'!$A$1:$Q$55</definedName>
  </definedNames>
  <calcPr calcId="0"/>
</workbook>
</file>

<file path=xl/calcChain.xml><?xml version="1.0" encoding="utf-8"?>
<calcChain xmlns="http://schemas.openxmlformats.org/spreadsheetml/2006/main">
  <c r="S1" i="5" l="1"/>
  <c r="N7" i="5"/>
  <c r="A8" i="5"/>
  <c r="D8" i="5"/>
  <c r="H8" i="5"/>
  <c r="I8" i="5"/>
  <c r="M8" i="5"/>
  <c r="N8" i="5"/>
  <c r="Q8" i="5"/>
  <c r="U8" i="5"/>
  <c r="A9" i="5"/>
  <c r="D9" i="5"/>
  <c r="H9" i="5"/>
  <c r="I9" i="5"/>
  <c r="M9" i="5"/>
  <c r="N9" i="5"/>
  <c r="Q9" i="5"/>
  <c r="U9" i="5"/>
  <c r="A10" i="5"/>
  <c r="D10" i="5"/>
  <c r="H10" i="5"/>
  <c r="I10" i="5"/>
  <c r="M10" i="5"/>
  <c r="N10" i="5"/>
  <c r="Q10" i="5"/>
  <c r="U10" i="5"/>
  <c r="A11" i="5"/>
  <c r="D11" i="5"/>
  <c r="H11" i="5"/>
  <c r="I11" i="5"/>
  <c r="K11" i="5"/>
  <c r="M11" i="5"/>
  <c r="N11" i="5"/>
  <c r="O11" i="5"/>
  <c r="Q11" i="5"/>
  <c r="T11" i="5"/>
  <c r="U11" i="5"/>
  <c r="A12" i="5"/>
  <c r="D12" i="5"/>
  <c r="H12" i="5"/>
  <c r="I12" i="5"/>
  <c r="K12" i="5"/>
  <c r="M12" i="5"/>
  <c r="N12" i="5"/>
  <c r="O12" i="5"/>
  <c r="Q12" i="5"/>
  <c r="T12" i="5"/>
  <c r="U12" i="5"/>
  <c r="A13" i="5"/>
  <c r="D13" i="5"/>
  <c r="H13" i="5"/>
  <c r="I13" i="5"/>
  <c r="M13" i="5"/>
  <c r="N13" i="5"/>
  <c r="Q13" i="5"/>
  <c r="U13" i="5"/>
  <c r="A14" i="5"/>
  <c r="D14" i="5"/>
  <c r="H14" i="5"/>
  <c r="I14" i="5"/>
  <c r="M14" i="5"/>
  <c r="N14" i="5"/>
  <c r="Q14" i="5"/>
  <c r="U14" i="5"/>
  <c r="A15" i="5"/>
  <c r="D15" i="5"/>
  <c r="H15" i="5"/>
  <c r="I15" i="5"/>
  <c r="M15" i="5"/>
  <c r="N15" i="5"/>
  <c r="Q15" i="5"/>
  <c r="U15" i="5"/>
  <c r="A16" i="5"/>
  <c r="D16" i="5"/>
  <c r="H16" i="5"/>
  <c r="I16" i="5"/>
  <c r="M16" i="5"/>
  <c r="N16" i="5"/>
  <c r="Q16" i="5"/>
  <c r="U16" i="5"/>
  <c r="A17" i="5"/>
  <c r="D17" i="5"/>
  <c r="H17" i="5"/>
  <c r="I17" i="5"/>
  <c r="M17" i="5"/>
  <c r="N17" i="5"/>
  <c r="Q17" i="5"/>
  <c r="U17" i="5"/>
  <c r="A18" i="5"/>
  <c r="D18" i="5"/>
  <c r="H18" i="5"/>
  <c r="I18" i="5"/>
  <c r="M18" i="5"/>
  <c r="N18" i="5"/>
  <c r="Q18" i="5"/>
  <c r="U18" i="5"/>
  <c r="A19" i="5"/>
  <c r="D19" i="5"/>
  <c r="H19" i="5"/>
  <c r="I19" i="5"/>
  <c r="M19" i="5"/>
  <c r="N19" i="5"/>
  <c r="Q19" i="5"/>
  <c r="U19" i="5"/>
  <c r="A20" i="5"/>
  <c r="D20" i="5"/>
  <c r="H20" i="5"/>
  <c r="I20" i="5"/>
  <c r="M20" i="5"/>
  <c r="N20" i="5"/>
  <c r="Q20" i="5"/>
  <c r="U20" i="5"/>
  <c r="A21" i="5"/>
  <c r="D21" i="5"/>
  <c r="H21" i="5"/>
  <c r="I21" i="5"/>
  <c r="M21" i="5"/>
  <c r="N21" i="5"/>
  <c r="Q21" i="5"/>
  <c r="U21" i="5"/>
  <c r="A22" i="5"/>
  <c r="D22" i="5"/>
  <c r="H22" i="5"/>
  <c r="I22" i="5"/>
  <c r="M22" i="5"/>
  <c r="N22" i="5"/>
  <c r="Q22" i="5"/>
  <c r="U22" i="5"/>
  <c r="A23" i="5"/>
  <c r="D23" i="5"/>
  <c r="H23" i="5"/>
  <c r="I23" i="5"/>
  <c r="M23" i="5"/>
  <c r="N23" i="5"/>
  <c r="Q23" i="5"/>
  <c r="U23" i="5"/>
  <c r="A24" i="5"/>
  <c r="D24" i="5"/>
  <c r="H24" i="5"/>
  <c r="I24" i="5"/>
  <c r="K24" i="5"/>
  <c r="M24" i="5"/>
  <c r="N24" i="5"/>
  <c r="O24" i="5"/>
  <c r="Q24" i="5"/>
  <c r="T24" i="5"/>
  <c r="U24" i="5"/>
  <c r="A25" i="5"/>
  <c r="D25" i="5"/>
  <c r="H25" i="5"/>
  <c r="I25" i="5"/>
  <c r="K25" i="5"/>
  <c r="M25" i="5"/>
  <c r="N25" i="5"/>
  <c r="O25" i="5"/>
  <c r="P25" i="5"/>
  <c r="Q25" i="5"/>
  <c r="T25" i="5"/>
  <c r="U25" i="5"/>
  <c r="A26" i="5"/>
  <c r="D26" i="5"/>
  <c r="H26" i="5"/>
  <c r="I26" i="5"/>
  <c r="O26" i="5"/>
  <c r="U26" i="5"/>
  <c r="A27" i="5"/>
  <c r="D27" i="5"/>
  <c r="H27" i="5"/>
  <c r="I27" i="5"/>
  <c r="M27" i="5"/>
  <c r="N27" i="5"/>
  <c r="Q27" i="5"/>
  <c r="U27" i="5"/>
  <c r="A28" i="5"/>
  <c r="D28" i="5"/>
  <c r="H28" i="5"/>
  <c r="I28" i="5"/>
  <c r="M28" i="5"/>
  <c r="N28" i="5"/>
  <c r="Q28" i="5"/>
  <c r="U28" i="5"/>
  <c r="A29" i="5"/>
  <c r="D29" i="5"/>
  <c r="H29" i="5"/>
  <c r="I29" i="5"/>
  <c r="M29" i="5"/>
  <c r="N29" i="5"/>
  <c r="Q29" i="5"/>
  <c r="U29" i="5"/>
  <c r="A30" i="5"/>
  <c r="D30" i="5"/>
  <c r="H30" i="5"/>
  <c r="I30" i="5"/>
  <c r="M30" i="5"/>
  <c r="N30" i="5"/>
  <c r="Q30" i="5"/>
  <c r="U30" i="5"/>
  <c r="A31" i="5"/>
  <c r="D31" i="5"/>
  <c r="H31" i="5"/>
  <c r="I31" i="5"/>
  <c r="M31" i="5"/>
  <c r="N31" i="5"/>
  <c r="Q31" i="5"/>
  <c r="U31" i="5"/>
  <c r="A32" i="5"/>
  <c r="D32" i="5"/>
  <c r="H32" i="5"/>
  <c r="I32" i="5"/>
  <c r="M32" i="5"/>
  <c r="N32" i="5"/>
  <c r="Q32" i="5"/>
  <c r="U32" i="5"/>
  <c r="A33" i="5"/>
  <c r="D33" i="5"/>
  <c r="H33" i="5"/>
  <c r="I33" i="5"/>
  <c r="M33" i="5"/>
  <c r="N33" i="5"/>
  <c r="Q33" i="5"/>
  <c r="U33" i="5"/>
  <c r="A34" i="5"/>
  <c r="D34" i="5"/>
  <c r="H34" i="5"/>
  <c r="I34" i="5"/>
  <c r="M34" i="5"/>
  <c r="N34" i="5"/>
  <c r="Q34" i="5"/>
  <c r="U34" i="5"/>
  <c r="A35" i="5"/>
  <c r="D35" i="5"/>
  <c r="H35" i="5"/>
  <c r="I35" i="5"/>
  <c r="M35" i="5"/>
  <c r="N35" i="5"/>
  <c r="Q35" i="5"/>
  <c r="U35" i="5"/>
  <c r="A36" i="5"/>
  <c r="D36" i="5"/>
  <c r="H36" i="5"/>
  <c r="I36" i="5"/>
  <c r="M36" i="5"/>
  <c r="N36" i="5"/>
  <c r="Q36" i="5"/>
  <c r="U36" i="5"/>
  <c r="A37" i="5"/>
  <c r="D37" i="5"/>
  <c r="H37" i="5"/>
  <c r="I37" i="5"/>
  <c r="M37" i="5"/>
  <c r="N37" i="5"/>
  <c r="Q37" i="5"/>
  <c r="U37" i="5"/>
  <c r="B39" i="5"/>
  <c r="C39" i="5"/>
  <c r="E39" i="5"/>
  <c r="F39" i="5"/>
  <c r="G39" i="5"/>
  <c r="M39" i="5"/>
  <c r="N39" i="5"/>
  <c r="O39" i="5"/>
  <c r="P39" i="5"/>
  <c r="Q39" i="5"/>
  <c r="U39" i="5"/>
  <c r="G41" i="5"/>
  <c r="U42" i="5"/>
  <c r="U43" i="5"/>
  <c r="C44" i="5"/>
  <c r="U45" i="5"/>
  <c r="U46" i="5"/>
  <c r="U47" i="5"/>
  <c r="U48" i="5"/>
  <c r="U52" i="5"/>
  <c r="U57" i="5"/>
  <c r="P1" i="3"/>
  <c r="N7" i="3"/>
  <c r="A8" i="3"/>
  <c r="D8" i="3"/>
  <c r="H8" i="3"/>
  <c r="I8" i="3"/>
  <c r="L8" i="3"/>
  <c r="M8" i="3"/>
  <c r="N8" i="3"/>
  <c r="R8" i="3"/>
  <c r="A9" i="3"/>
  <c r="D9" i="3"/>
  <c r="H9" i="3"/>
  <c r="I9" i="3"/>
  <c r="L9" i="3"/>
  <c r="M9" i="3"/>
  <c r="N9" i="3"/>
  <c r="R9" i="3"/>
  <c r="A10" i="3"/>
  <c r="D10" i="3"/>
  <c r="H10" i="3"/>
  <c r="I10" i="3"/>
  <c r="L10" i="3"/>
  <c r="M10" i="3"/>
  <c r="N10" i="3"/>
  <c r="R10" i="3"/>
  <c r="A11" i="3"/>
  <c r="D11" i="3"/>
  <c r="H11" i="3"/>
  <c r="I11" i="3"/>
  <c r="L11" i="3"/>
  <c r="M11" i="3"/>
  <c r="N11" i="3"/>
  <c r="R11" i="3"/>
  <c r="A12" i="3"/>
  <c r="D12" i="3"/>
  <c r="H12" i="3"/>
  <c r="I12" i="3"/>
  <c r="L12" i="3"/>
  <c r="M12" i="3"/>
  <c r="N12" i="3"/>
  <c r="R12" i="3"/>
  <c r="A13" i="3"/>
  <c r="D13" i="3"/>
  <c r="H13" i="3"/>
  <c r="I13" i="3"/>
  <c r="L13" i="3"/>
  <c r="M13" i="3"/>
  <c r="N13" i="3"/>
  <c r="R13" i="3"/>
  <c r="A14" i="3"/>
  <c r="D14" i="3"/>
  <c r="H14" i="3"/>
  <c r="I14" i="3"/>
  <c r="L14" i="3"/>
  <c r="M14" i="3"/>
  <c r="N14" i="3"/>
  <c r="R14" i="3"/>
  <c r="A15" i="3"/>
  <c r="D15" i="3"/>
  <c r="H15" i="3"/>
  <c r="I15" i="3"/>
  <c r="L15" i="3"/>
  <c r="M15" i="3"/>
  <c r="N15" i="3"/>
  <c r="R15" i="3"/>
  <c r="A16" i="3"/>
  <c r="D16" i="3"/>
  <c r="H16" i="3"/>
  <c r="I16" i="3"/>
  <c r="L16" i="3"/>
  <c r="M16" i="3"/>
  <c r="N16" i="3"/>
  <c r="R16" i="3"/>
  <c r="A17" i="3"/>
  <c r="D17" i="3"/>
  <c r="H17" i="3"/>
  <c r="I17" i="3"/>
  <c r="L17" i="3"/>
  <c r="M17" i="3"/>
  <c r="N17" i="3"/>
  <c r="R17" i="3"/>
  <c r="A18" i="3"/>
  <c r="D18" i="3"/>
  <c r="H18" i="3"/>
  <c r="I18" i="3"/>
  <c r="L18" i="3"/>
  <c r="M18" i="3"/>
  <c r="N18" i="3"/>
  <c r="R18" i="3"/>
  <c r="A19" i="3"/>
  <c r="D19" i="3"/>
  <c r="H19" i="3"/>
  <c r="I19" i="3"/>
  <c r="L19" i="3"/>
  <c r="M19" i="3"/>
  <c r="N19" i="3"/>
  <c r="R19" i="3"/>
  <c r="A20" i="3"/>
  <c r="D20" i="3"/>
  <c r="H20" i="3"/>
  <c r="I20" i="3"/>
  <c r="L20" i="3"/>
  <c r="M20" i="3"/>
  <c r="N20" i="3"/>
  <c r="R20" i="3"/>
  <c r="A21" i="3"/>
  <c r="D21" i="3"/>
  <c r="H21" i="3"/>
  <c r="I21" i="3"/>
  <c r="L21" i="3"/>
  <c r="M21" i="3"/>
  <c r="N21" i="3"/>
  <c r="R21" i="3"/>
  <c r="A22" i="3"/>
  <c r="D22" i="3"/>
  <c r="H22" i="3"/>
  <c r="I22" i="3"/>
  <c r="L22" i="3"/>
  <c r="M22" i="3"/>
  <c r="N22" i="3"/>
  <c r="R22" i="3"/>
  <c r="A23" i="3"/>
  <c r="D23" i="3"/>
  <c r="H23" i="3"/>
  <c r="I23" i="3"/>
  <c r="L23" i="3"/>
  <c r="M23" i="3"/>
  <c r="N23" i="3"/>
  <c r="R23" i="3"/>
  <c r="A24" i="3"/>
  <c r="D24" i="3"/>
  <c r="H24" i="3"/>
  <c r="I24" i="3"/>
  <c r="L24" i="3"/>
  <c r="M24" i="3"/>
  <c r="N24" i="3"/>
  <c r="R24" i="3"/>
  <c r="A25" i="3"/>
  <c r="D25" i="3"/>
  <c r="H25" i="3"/>
  <c r="I25" i="3"/>
  <c r="L25" i="3"/>
  <c r="M25" i="3"/>
  <c r="N25" i="3"/>
  <c r="R25" i="3"/>
  <c r="A26" i="3"/>
  <c r="D26" i="3"/>
  <c r="H26" i="3"/>
  <c r="I26" i="3"/>
  <c r="L26" i="3"/>
  <c r="M26" i="3"/>
  <c r="N26" i="3"/>
  <c r="R26" i="3"/>
  <c r="A27" i="3"/>
  <c r="D27" i="3"/>
  <c r="H27" i="3"/>
  <c r="I27" i="3"/>
  <c r="L27" i="3"/>
  <c r="M27" i="3"/>
  <c r="N27" i="3"/>
  <c r="R27" i="3"/>
  <c r="A28" i="3"/>
  <c r="D28" i="3"/>
  <c r="H28" i="3"/>
  <c r="I28" i="3"/>
  <c r="L28" i="3"/>
  <c r="M28" i="3"/>
  <c r="N28" i="3"/>
  <c r="R28" i="3"/>
  <c r="A29" i="3"/>
  <c r="D29" i="3"/>
  <c r="H29" i="3"/>
  <c r="I29" i="3"/>
  <c r="L29" i="3"/>
  <c r="M29" i="3"/>
  <c r="N29" i="3"/>
  <c r="R29" i="3"/>
  <c r="A30" i="3"/>
  <c r="D30" i="3"/>
  <c r="H30" i="3"/>
  <c r="I30" i="3"/>
  <c r="L30" i="3"/>
  <c r="M30" i="3"/>
  <c r="N30" i="3"/>
  <c r="R30" i="3"/>
  <c r="A31" i="3"/>
  <c r="D31" i="3"/>
  <c r="H31" i="3"/>
  <c r="I31" i="3"/>
  <c r="L31" i="3"/>
  <c r="M31" i="3"/>
  <c r="N31" i="3"/>
  <c r="R31" i="3"/>
  <c r="A32" i="3"/>
  <c r="D32" i="3"/>
  <c r="H32" i="3"/>
  <c r="I32" i="3"/>
  <c r="L32" i="3"/>
  <c r="M32" i="3"/>
  <c r="N32" i="3"/>
  <c r="R32" i="3"/>
  <c r="A33" i="3"/>
  <c r="D33" i="3"/>
  <c r="H33" i="3"/>
  <c r="I33" i="3"/>
  <c r="L33" i="3"/>
  <c r="M33" i="3"/>
  <c r="N33" i="3"/>
  <c r="R33" i="3"/>
  <c r="A34" i="3"/>
  <c r="D34" i="3"/>
  <c r="H34" i="3"/>
  <c r="I34" i="3"/>
  <c r="L34" i="3"/>
  <c r="M34" i="3"/>
  <c r="N34" i="3"/>
  <c r="R34" i="3"/>
  <c r="A35" i="3"/>
  <c r="D35" i="3"/>
  <c r="H35" i="3"/>
  <c r="I35" i="3"/>
  <c r="L35" i="3"/>
  <c r="M35" i="3"/>
  <c r="N35" i="3"/>
  <c r="R35" i="3"/>
  <c r="A36" i="3"/>
  <c r="D36" i="3"/>
  <c r="H36" i="3"/>
  <c r="I36" i="3"/>
  <c r="L36" i="3"/>
  <c r="M36" i="3"/>
  <c r="N36" i="3"/>
  <c r="R36" i="3"/>
  <c r="B38" i="3"/>
  <c r="C38" i="3"/>
  <c r="E38" i="3"/>
  <c r="F38" i="3"/>
  <c r="G38" i="3"/>
  <c r="L38" i="3"/>
  <c r="M38" i="3"/>
  <c r="N38" i="3"/>
  <c r="R38" i="3"/>
  <c r="G40" i="3"/>
  <c r="R41" i="3"/>
  <c r="R42" i="3"/>
  <c r="C43" i="3"/>
  <c r="R45" i="3"/>
  <c r="R49" i="3"/>
  <c r="R51" i="3"/>
  <c r="R52" i="3"/>
  <c r="R54" i="3"/>
  <c r="P1" i="2"/>
  <c r="N7" i="2"/>
  <c r="A8" i="2"/>
  <c r="D8" i="2"/>
  <c r="H8" i="2"/>
  <c r="I8" i="2"/>
  <c r="L8" i="2"/>
  <c r="M8" i="2"/>
  <c r="N8" i="2"/>
  <c r="R8" i="2"/>
  <c r="A9" i="2"/>
  <c r="D9" i="2"/>
  <c r="H9" i="2"/>
  <c r="I9" i="2"/>
  <c r="L9" i="2"/>
  <c r="M9" i="2"/>
  <c r="N9" i="2"/>
  <c r="R9" i="2"/>
  <c r="A10" i="2"/>
  <c r="D10" i="2"/>
  <c r="H10" i="2"/>
  <c r="I10" i="2"/>
  <c r="L10" i="2"/>
  <c r="M10" i="2"/>
  <c r="N10" i="2"/>
  <c r="R10" i="2"/>
  <c r="A11" i="2"/>
  <c r="D11" i="2"/>
  <c r="H11" i="2"/>
  <c r="I11" i="2"/>
  <c r="L11" i="2"/>
  <c r="M11" i="2"/>
  <c r="N11" i="2"/>
  <c r="R11" i="2"/>
  <c r="A12" i="2"/>
  <c r="D12" i="2"/>
  <c r="H12" i="2"/>
  <c r="I12" i="2"/>
  <c r="L12" i="2"/>
  <c r="M12" i="2"/>
  <c r="N12" i="2"/>
  <c r="R12" i="2"/>
  <c r="A13" i="2"/>
  <c r="D13" i="2"/>
  <c r="H13" i="2"/>
  <c r="I13" i="2"/>
  <c r="L13" i="2"/>
  <c r="M13" i="2"/>
  <c r="N13" i="2"/>
  <c r="R13" i="2"/>
  <c r="A14" i="2"/>
  <c r="D14" i="2"/>
  <c r="H14" i="2"/>
  <c r="I14" i="2"/>
  <c r="L14" i="2"/>
  <c r="M14" i="2"/>
  <c r="N14" i="2"/>
  <c r="R14" i="2"/>
  <c r="A15" i="2"/>
  <c r="D15" i="2"/>
  <c r="H15" i="2"/>
  <c r="I15" i="2"/>
  <c r="L15" i="2"/>
  <c r="M15" i="2"/>
  <c r="N15" i="2"/>
  <c r="R15" i="2"/>
  <c r="A16" i="2"/>
  <c r="D16" i="2"/>
  <c r="H16" i="2"/>
  <c r="I16" i="2"/>
  <c r="L16" i="2"/>
  <c r="M16" i="2"/>
  <c r="N16" i="2"/>
  <c r="R16" i="2"/>
  <c r="A17" i="2"/>
  <c r="D17" i="2"/>
  <c r="H17" i="2"/>
  <c r="I17" i="2"/>
  <c r="L17" i="2"/>
  <c r="M17" i="2"/>
  <c r="N17" i="2"/>
  <c r="R17" i="2"/>
  <c r="A18" i="2"/>
  <c r="D18" i="2"/>
  <c r="H18" i="2"/>
  <c r="I18" i="2"/>
  <c r="L18" i="2"/>
  <c r="M18" i="2"/>
  <c r="N18" i="2"/>
  <c r="R18" i="2"/>
  <c r="A19" i="2"/>
  <c r="D19" i="2"/>
  <c r="H19" i="2"/>
  <c r="I19" i="2"/>
  <c r="L19" i="2"/>
  <c r="M19" i="2"/>
  <c r="N19" i="2"/>
  <c r="R19" i="2"/>
  <c r="A20" i="2"/>
  <c r="D20" i="2"/>
  <c r="H20" i="2"/>
  <c r="I20" i="2"/>
  <c r="L20" i="2"/>
  <c r="M20" i="2"/>
  <c r="N20" i="2"/>
  <c r="R20" i="2"/>
  <c r="A21" i="2"/>
  <c r="D21" i="2"/>
  <c r="H21" i="2"/>
  <c r="I21" i="2"/>
  <c r="L21" i="2"/>
  <c r="M21" i="2"/>
  <c r="N21" i="2"/>
  <c r="R21" i="2"/>
  <c r="A22" i="2"/>
  <c r="D22" i="2"/>
  <c r="H22" i="2"/>
  <c r="I22" i="2"/>
  <c r="L22" i="2"/>
  <c r="M22" i="2"/>
  <c r="N22" i="2"/>
  <c r="R22" i="2"/>
  <c r="A23" i="2"/>
  <c r="D23" i="2"/>
  <c r="H23" i="2"/>
  <c r="I23" i="2"/>
  <c r="L23" i="2"/>
  <c r="M23" i="2"/>
  <c r="N23" i="2"/>
  <c r="R23" i="2"/>
  <c r="A24" i="2"/>
  <c r="D24" i="2"/>
  <c r="H24" i="2"/>
  <c r="I24" i="2"/>
  <c r="L24" i="2"/>
  <c r="M24" i="2"/>
  <c r="N24" i="2"/>
  <c r="R24" i="2"/>
  <c r="A25" i="2"/>
  <c r="D25" i="2"/>
  <c r="H25" i="2"/>
  <c r="I25" i="2"/>
  <c r="L25" i="2"/>
  <c r="M25" i="2"/>
  <c r="N25" i="2"/>
  <c r="R25" i="2"/>
  <c r="A26" i="2"/>
  <c r="D26" i="2"/>
  <c r="H26" i="2"/>
  <c r="I26" i="2"/>
  <c r="L26" i="2"/>
  <c r="M26" i="2"/>
  <c r="N26" i="2"/>
  <c r="R26" i="2"/>
  <c r="A27" i="2"/>
  <c r="D27" i="2"/>
  <c r="H27" i="2"/>
  <c r="I27" i="2"/>
  <c r="L27" i="2"/>
  <c r="M27" i="2"/>
  <c r="N27" i="2"/>
  <c r="R27" i="2"/>
  <c r="A28" i="2"/>
  <c r="D28" i="2"/>
  <c r="H28" i="2"/>
  <c r="I28" i="2"/>
  <c r="L28" i="2"/>
  <c r="M28" i="2"/>
  <c r="N28" i="2"/>
  <c r="R28" i="2"/>
  <c r="A29" i="2"/>
  <c r="D29" i="2"/>
  <c r="H29" i="2"/>
  <c r="I29" i="2"/>
  <c r="L29" i="2"/>
  <c r="M29" i="2"/>
  <c r="N29" i="2"/>
  <c r="R29" i="2"/>
  <c r="A30" i="2"/>
  <c r="D30" i="2"/>
  <c r="H30" i="2"/>
  <c r="I30" i="2"/>
  <c r="L30" i="2"/>
  <c r="M30" i="2"/>
  <c r="N30" i="2"/>
  <c r="R30" i="2"/>
  <c r="A31" i="2"/>
  <c r="D31" i="2"/>
  <c r="H31" i="2"/>
  <c r="I31" i="2"/>
  <c r="L31" i="2"/>
  <c r="M31" i="2"/>
  <c r="N31" i="2"/>
  <c r="R31" i="2"/>
  <c r="A32" i="2"/>
  <c r="D32" i="2"/>
  <c r="H32" i="2"/>
  <c r="I32" i="2"/>
  <c r="L32" i="2"/>
  <c r="M32" i="2"/>
  <c r="N32" i="2"/>
  <c r="R32" i="2"/>
  <c r="A33" i="2"/>
  <c r="D33" i="2"/>
  <c r="H33" i="2"/>
  <c r="I33" i="2"/>
  <c r="L33" i="2"/>
  <c r="M33" i="2"/>
  <c r="N33" i="2"/>
  <c r="R33" i="2"/>
  <c r="A34" i="2"/>
  <c r="D34" i="2"/>
  <c r="H34" i="2"/>
  <c r="I34" i="2"/>
  <c r="L34" i="2"/>
  <c r="M34" i="2"/>
  <c r="N34" i="2"/>
  <c r="R34" i="2"/>
  <c r="A35" i="2"/>
  <c r="D35" i="2"/>
  <c r="H35" i="2"/>
  <c r="I35" i="2"/>
  <c r="L35" i="2"/>
  <c r="M35" i="2"/>
  <c r="N35" i="2"/>
  <c r="R35" i="2"/>
  <c r="A36" i="2"/>
  <c r="D36" i="2"/>
  <c r="H36" i="2"/>
  <c r="I36" i="2"/>
  <c r="L36" i="2"/>
  <c r="M36" i="2"/>
  <c r="N36" i="2"/>
  <c r="R36" i="2"/>
  <c r="A37" i="2"/>
  <c r="D37" i="2"/>
  <c r="H37" i="2"/>
  <c r="I37" i="2"/>
  <c r="L37" i="2"/>
  <c r="M37" i="2"/>
  <c r="N37" i="2"/>
  <c r="R37" i="2"/>
  <c r="A38" i="2"/>
  <c r="D38" i="2"/>
  <c r="H38" i="2"/>
  <c r="I38" i="2"/>
  <c r="L38" i="2"/>
  <c r="M38" i="2"/>
  <c r="N38" i="2"/>
  <c r="R38" i="2"/>
  <c r="B40" i="2"/>
  <c r="C40" i="2"/>
  <c r="E40" i="2"/>
  <c r="F40" i="2"/>
  <c r="G40" i="2"/>
  <c r="L40" i="2"/>
  <c r="M40" i="2"/>
  <c r="N40" i="2"/>
  <c r="R40" i="2"/>
  <c r="G42" i="2"/>
  <c r="R43" i="2"/>
  <c r="R44" i="2"/>
  <c r="C45" i="2"/>
  <c r="R47" i="2"/>
  <c r="R51" i="2"/>
  <c r="R53" i="2"/>
  <c r="R54" i="2"/>
  <c r="R56" i="2"/>
  <c r="P1" i="4"/>
  <c r="N7" i="4"/>
  <c r="A8" i="4"/>
  <c r="D8" i="4"/>
  <c r="H8" i="4"/>
  <c r="I8" i="4"/>
  <c r="L8" i="4"/>
  <c r="M8" i="4"/>
  <c r="N8" i="4"/>
  <c r="R8" i="4"/>
  <c r="A9" i="4"/>
  <c r="D9" i="4"/>
  <c r="H9" i="4"/>
  <c r="I9" i="4"/>
  <c r="L9" i="4"/>
  <c r="M9" i="4"/>
  <c r="N9" i="4"/>
  <c r="R9" i="4"/>
  <c r="A10" i="4"/>
  <c r="D10" i="4"/>
  <c r="H10" i="4"/>
  <c r="I10" i="4"/>
  <c r="L10" i="4"/>
  <c r="M10" i="4"/>
  <c r="N10" i="4"/>
  <c r="R10" i="4"/>
  <c r="A11" i="4"/>
  <c r="D11" i="4"/>
  <c r="H11" i="4"/>
  <c r="I11" i="4"/>
  <c r="L11" i="4"/>
  <c r="M11" i="4"/>
  <c r="N11" i="4"/>
  <c r="R11" i="4"/>
  <c r="A12" i="4"/>
  <c r="D12" i="4"/>
  <c r="H12" i="4"/>
  <c r="I12" i="4"/>
  <c r="L12" i="4"/>
  <c r="M12" i="4"/>
  <c r="N12" i="4"/>
  <c r="R12" i="4"/>
  <c r="A13" i="4"/>
  <c r="D13" i="4"/>
  <c r="H13" i="4"/>
  <c r="I13" i="4"/>
  <c r="L13" i="4"/>
  <c r="M13" i="4"/>
  <c r="N13" i="4"/>
  <c r="R13" i="4"/>
  <c r="A14" i="4"/>
  <c r="D14" i="4"/>
  <c r="H14" i="4"/>
  <c r="I14" i="4"/>
  <c r="L14" i="4"/>
  <c r="M14" i="4"/>
  <c r="N14" i="4"/>
  <c r="R14" i="4"/>
  <c r="A15" i="4"/>
  <c r="D15" i="4"/>
  <c r="H15" i="4"/>
  <c r="I15" i="4"/>
  <c r="L15" i="4"/>
  <c r="M15" i="4"/>
  <c r="N15" i="4"/>
  <c r="R15" i="4"/>
  <c r="A16" i="4"/>
  <c r="D16" i="4"/>
  <c r="H16" i="4"/>
  <c r="I16" i="4"/>
  <c r="L16" i="4"/>
  <c r="M16" i="4"/>
  <c r="N16" i="4"/>
  <c r="R16" i="4"/>
  <c r="A17" i="4"/>
  <c r="D17" i="4"/>
  <c r="H17" i="4"/>
  <c r="I17" i="4"/>
  <c r="L17" i="4"/>
  <c r="M17" i="4"/>
  <c r="N17" i="4"/>
  <c r="R17" i="4"/>
  <c r="A18" i="4"/>
  <c r="D18" i="4"/>
  <c r="H18" i="4"/>
  <c r="I18" i="4"/>
  <c r="L18" i="4"/>
  <c r="M18" i="4"/>
  <c r="N18" i="4"/>
  <c r="R18" i="4"/>
  <c r="A19" i="4"/>
  <c r="D19" i="4"/>
  <c r="H19" i="4"/>
  <c r="I19" i="4"/>
  <c r="L19" i="4"/>
  <c r="M19" i="4"/>
  <c r="N19" i="4"/>
  <c r="R19" i="4"/>
  <c r="A20" i="4"/>
  <c r="D20" i="4"/>
  <c r="H20" i="4"/>
  <c r="I20" i="4"/>
  <c r="L20" i="4"/>
  <c r="M20" i="4"/>
  <c r="N20" i="4"/>
  <c r="R20" i="4"/>
  <c r="A21" i="4"/>
  <c r="D21" i="4"/>
  <c r="H21" i="4"/>
  <c r="I21" i="4"/>
  <c r="L21" i="4"/>
  <c r="M21" i="4"/>
  <c r="N21" i="4"/>
  <c r="R21" i="4"/>
  <c r="A22" i="4"/>
  <c r="D22" i="4"/>
  <c r="H22" i="4"/>
  <c r="I22" i="4"/>
  <c r="L22" i="4"/>
  <c r="M22" i="4"/>
  <c r="N22" i="4"/>
  <c r="R22" i="4"/>
  <c r="A23" i="4"/>
  <c r="D23" i="4"/>
  <c r="H23" i="4"/>
  <c r="I23" i="4"/>
  <c r="L23" i="4"/>
  <c r="M23" i="4"/>
  <c r="N23" i="4"/>
  <c r="R23" i="4"/>
  <c r="A24" i="4"/>
  <c r="D24" i="4"/>
  <c r="H24" i="4"/>
  <c r="I24" i="4"/>
  <c r="L24" i="4"/>
  <c r="M24" i="4"/>
  <c r="N24" i="4"/>
  <c r="R24" i="4"/>
  <c r="A25" i="4"/>
  <c r="D25" i="4"/>
  <c r="H25" i="4"/>
  <c r="I25" i="4"/>
  <c r="L25" i="4"/>
  <c r="M25" i="4"/>
  <c r="N25" i="4"/>
  <c r="R25" i="4"/>
  <c r="A26" i="4"/>
  <c r="D26" i="4"/>
  <c r="H26" i="4"/>
  <c r="I26" i="4"/>
  <c r="L26" i="4"/>
  <c r="M26" i="4"/>
  <c r="N26" i="4"/>
  <c r="R26" i="4"/>
  <c r="A27" i="4"/>
  <c r="D27" i="4"/>
  <c r="H27" i="4"/>
  <c r="I27" i="4"/>
  <c r="L27" i="4"/>
  <c r="M27" i="4"/>
  <c r="N27" i="4"/>
  <c r="R27" i="4"/>
  <c r="A28" i="4"/>
  <c r="D28" i="4"/>
  <c r="H28" i="4"/>
  <c r="I28" i="4"/>
  <c r="J28" i="4"/>
  <c r="L28" i="4"/>
  <c r="M28" i="4"/>
  <c r="N28" i="4"/>
  <c r="R28" i="4"/>
  <c r="A29" i="4"/>
  <c r="D29" i="4"/>
  <c r="H29" i="4"/>
  <c r="I29" i="4"/>
  <c r="L29" i="4"/>
  <c r="M29" i="4"/>
  <c r="N29" i="4"/>
  <c r="R29" i="4"/>
  <c r="A30" i="4"/>
  <c r="D30" i="4"/>
  <c r="H30" i="4"/>
  <c r="I30" i="4"/>
  <c r="L30" i="4"/>
  <c r="M30" i="4"/>
  <c r="N30" i="4"/>
  <c r="R30" i="4"/>
  <c r="A31" i="4"/>
  <c r="D31" i="4"/>
  <c r="H31" i="4"/>
  <c r="I31" i="4"/>
  <c r="L31" i="4"/>
  <c r="M31" i="4"/>
  <c r="N31" i="4"/>
  <c r="R31" i="4"/>
  <c r="A32" i="4"/>
  <c r="D32" i="4"/>
  <c r="H32" i="4"/>
  <c r="I32" i="4"/>
  <c r="L32" i="4"/>
  <c r="M32" i="4"/>
  <c r="N32" i="4"/>
  <c r="R32" i="4"/>
  <c r="A33" i="4"/>
  <c r="D33" i="4"/>
  <c r="H33" i="4"/>
  <c r="I33" i="4"/>
  <c r="L33" i="4"/>
  <c r="M33" i="4"/>
  <c r="N33" i="4"/>
  <c r="R33" i="4"/>
  <c r="A34" i="4"/>
  <c r="D34" i="4"/>
  <c r="H34" i="4"/>
  <c r="I34" i="4"/>
  <c r="L34" i="4"/>
  <c r="M34" i="4"/>
  <c r="N34" i="4"/>
  <c r="R34" i="4"/>
  <c r="A35" i="4"/>
  <c r="D35" i="4"/>
  <c r="H35" i="4"/>
  <c r="I35" i="4"/>
  <c r="L35" i="4"/>
  <c r="M35" i="4"/>
  <c r="N35" i="4"/>
  <c r="R35" i="4"/>
  <c r="A36" i="4"/>
  <c r="D36" i="4"/>
  <c r="H36" i="4"/>
  <c r="I36" i="4"/>
  <c r="L36" i="4"/>
  <c r="M36" i="4"/>
  <c r="N36" i="4"/>
  <c r="R36" i="4"/>
  <c r="A37" i="4"/>
  <c r="D37" i="4"/>
  <c r="H37" i="4"/>
  <c r="I37" i="4"/>
  <c r="L37" i="4"/>
  <c r="M37" i="4"/>
  <c r="N37" i="4"/>
  <c r="R37" i="4"/>
  <c r="A38" i="4"/>
  <c r="D38" i="4"/>
  <c r="H38" i="4"/>
  <c r="I38" i="4"/>
  <c r="L38" i="4"/>
  <c r="M38" i="4"/>
  <c r="N38" i="4"/>
  <c r="R38" i="4"/>
  <c r="B40" i="4"/>
  <c r="C40" i="4"/>
  <c r="E40" i="4"/>
  <c r="F40" i="4"/>
  <c r="G40" i="4"/>
  <c r="L40" i="4"/>
  <c r="M40" i="4"/>
  <c r="N40" i="4"/>
  <c r="R40" i="4"/>
  <c r="G42" i="4"/>
  <c r="R43" i="4"/>
  <c r="R44" i="4"/>
  <c r="C45" i="4"/>
  <c r="R47" i="4"/>
  <c r="R51" i="4"/>
  <c r="R53" i="4"/>
  <c r="R54" i="4"/>
  <c r="R56" i="4"/>
  <c r="W1" i="7"/>
  <c r="R7" i="7"/>
  <c r="U7" i="7"/>
  <c r="A8" i="7"/>
  <c r="D8" i="7"/>
  <c r="H8" i="7"/>
  <c r="I8" i="7"/>
  <c r="M8" i="7"/>
  <c r="N8" i="7"/>
  <c r="O8" i="7"/>
  <c r="P8" i="7"/>
  <c r="R8" i="7"/>
  <c r="S8" i="7"/>
  <c r="U8" i="7"/>
  <c r="X8" i="7"/>
  <c r="Y8" i="7"/>
  <c r="A9" i="7"/>
  <c r="D9" i="7"/>
  <c r="H9" i="7"/>
  <c r="I9" i="7"/>
  <c r="M9" i="7"/>
  <c r="N9" i="7"/>
  <c r="O9" i="7"/>
  <c r="P9" i="7"/>
  <c r="R9" i="7"/>
  <c r="S9" i="7"/>
  <c r="U9" i="7"/>
  <c r="X9" i="7"/>
  <c r="Y9" i="7"/>
  <c r="A10" i="7"/>
  <c r="D10" i="7"/>
  <c r="H10" i="7"/>
  <c r="I10" i="7"/>
  <c r="M10" i="7"/>
  <c r="N10" i="7"/>
  <c r="O10" i="7"/>
  <c r="P10" i="7"/>
  <c r="R10" i="7"/>
  <c r="S10" i="7"/>
  <c r="U10" i="7"/>
  <c r="X10" i="7"/>
  <c r="Y10" i="7"/>
  <c r="A11" i="7"/>
  <c r="D11" i="7"/>
  <c r="H11" i="7"/>
  <c r="I11" i="7"/>
  <c r="K11" i="7"/>
  <c r="M11" i="7"/>
  <c r="N11" i="7"/>
  <c r="O11" i="7"/>
  <c r="P11" i="7"/>
  <c r="R11" i="7"/>
  <c r="S11" i="7"/>
  <c r="U11" i="7"/>
  <c r="X11" i="7"/>
  <c r="Y11" i="7"/>
  <c r="A12" i="7"/>
  <c r="D12" i="7"/>
  <c r="H12" i="7"/>
  <c r="I12" i="7"/>
  <c r="K12" i="7"/>
  <c r="M12" i="7"/>
  <c r="N12" i="7"/>
  <c r="O12" i="7"/>
  <c r="P12" i="7"/>
  <c r="R12" i="7"/>
  <c r="S12" i="7"/>
  <c r="U12" i="7"/>
  <c r="X12" i="7"/>
  <c r="Y12" i="7"/>
  <c r="A13" i="7"/>
  <c r="D13" i="7"/>
  <c r="H13" i="7"/>
  <c r="I13" i="7"/>
  <c r="K13" i="7"/>
  <c r="M13" i="7"/>
  <c r="N13" i="7"/>
  <c r="O13" i="7"/>
  <c r="P13" i="7"/>
  <c r="R13" i="7"/>
  <c r="S13" i="7"/>
  <c r="U13" i="7"/>
  <c r="X13" i="7"/>
  <c r="Y13" i="7"/>
  <c r="A14" i="7"/>
  <c r="D14" i="7"/>
  <c r="H14" i="7"/>
  <c r="I14" i="7"/>
  <c r="K14" i="7"/>
  <c r="M14" i="7"/>
  <c r="N14" i="7"/>
  <c r="O14" i="7"/>
  <c r="P14" i="7"/>
  <c r="R14" i="7"/>
  <c r="S14" i="7"/>
  <c r="U14" i="7"/>
  <c r="X14" i="7"/>
  <c r="Y14" i="7"/>
  <c r="A15" i="7"/>
  <c r="D15" i="7"/>
  <c r="H15" i="7"/>
  <c r="I15" i="7"/>
  <c r="K15" i="7"/>
  <c r="M15" i="7"/>
  <c r="N15" i="7"/>
  <c r="O15" i="7"/>
  <c r="P15" i="7"/>
  <c r="R15" i="7"/>
  <c r="S15" i="7"/>
  <c r="U15" i="7"/>
  <c r="X15" i="7"/>
  <c r="Y15" i="7"/>
  <c r="A16" i="7"/>
  <c r="D16" i="7"/>
  <c r="H16" i="7"/>
  <c r="I16" i="7"/>
  <c r="K16" i="7"/>
  <c r="M16" i="7"/>
  <c r="N16" i="7"/>
  <c r="O16" i="7"/>
  <c r="P16" i="7"/>
  <c r="R16" i="7"/>
  <c r="S16" i="7"/>
  <c r="U16" i="7"/>
  <c r="X16" i="7"/>
  <c r="Y16" i="7"/>
  <c r="A17" i="7"/>
  <c r="D17" i="7"/>
  <c r="H17" i="7"/>
  <c r="I17" i="7"/>
  <c r="K17" i="7"/>
  <c r="M17" i="7"/>
  <c r="N17" i="7"/>
  <c r="O17" i="7"/>
  <c r="P17" i="7"/>
  <c r="R17" i="7"/>
  <c r="S17" i="7"/>
  <c r="U17" i="7"/>
  <c r="X17" i="7"/>
  <c r="Y17" i="7"/>
  <c r="A18" i="7"/>
  <c r="D18" i="7"/>
  <c r="H18" i="7"/>
  <c r="I18" i="7"/>
  <c r="K18" i="7"/>
  <c r="M18" i="7"/>
  <c r="N18" i="7"/>
  <c r="O18" i="7"/>
  <c r="P18" i="7"/>
  <c r="R18" i="7"/>
  <c r="S18" i="7"/>
  <c r="U18" i="7"/>
  <c r="X18" i="7"/>
  <c r="Y18" i="7"/>
  <c r="A19" i="7"/>
  <c r="D19" i="7"/>
  <c r="H19" i="7"/>
  <c r="I19" i="7"/>
  <c r="K19" i="7"/>
  <c r="M19" i="7"/>
  <c r="N19" i="7"/>
  <c r="O19" i="7"/>
  <c r="P19" i="7"/>
  <c r="Q19" i="7"/>
  <c r="R19" i="7"/>
  <c r="S19" i="7"/>
  <c r="U19" i="7"/>
  <c r="X19" i="7"/>
  <c r="Y19" i="7"/>
  <c r="A20" i="7"/>
  <c r="D20" i="7"/>
  <c r="H20" i="7"/>
  <c r="I20" i="7"/>
  <c r="K20" i="7"/>
  <c r="M20" i="7"/>
  <c r="N20" i="7"/>
  <c r="O20" i="7"/>
  <c r="P20" i="7"/>
  <c r="R20" i="7"/>
  <c r="S20" i="7"/>
  <c r="U20" i="7"/>
  <c r="X20" i="7"/>
  <c r="Y20" i="7"/>
  <c r="A21" i="7"/>
  <c r="D21" i="7"/>
  <c r="H21" i="7"/>
  <c r="I21" i="7"/>
  <c r="M21" i="7"/>
  <c r="N21" i="7"/>
  <c r="O21" i="7"/>
  <c r="P21" i="7"/>
  <c r="R21" i="7"/>
  <c r="S21" i="7"/>
  <c r="U21" i="7"/>
  <c r="X21" i="7"/>
  <c r="Y21" i="7"/>
  <c r="A22" i="7"/>
  <c r="D22" i="7"/>
  <c r="H22" i="7"/>
  <c r="I22" i="7"/>
  <c r="M22" i="7"/>
  <c r="N22" i="7"/>
  <c r="O22" i="7"/>
  <c r="P22" i="7"/>
  <c r="R22" i="7"/>
  <c r="S22" i="7"/>
  <c r="U22" i="7"/>
  <c r="X22" i="7"/>
  <c r="Y22" i="7"/>
  <c r="A23" i="7"/>
  <c r="D23" i="7"/>
  <c r="H23" i="7"/>
  <c r="I23" i="7"/>
  <c r="M23" i="7"/>
  <c r="N23" i="7"/>
  <c r="O23" i="7"/>
  <c r="P23" i="7"/>
  <c r="R23" i="7"/>
  <c r="S23" i="7"/>
  <c r="U23" i="7"/>
  <c r="X23" i="7"/>
  <c r="Y23" i="7"/>
  <c r="A24" i="7"/>
  <c r="D24" i="7"/>
  <c r="H24" i="7"/>
  <c r="I24" i="7"/>
  <c r="M24" i="7"/>
  <c r="N24" i="7"/>
  <c r="O24" i="7"/>
  <c r="P24" i="7"/>
  <c r="R24" i="7"/>
  <c r="S24" i="7"/>
  <c r="U24" i="7"/>
  <c r="X24" i="7"/>
  <c r="Y24" i="7"/>
  <c r="A25" i="7"/>
  <c r="D25" i="7"/>
  <c r="H25" i="7"/>
  <c r="I25" i="7"/>
  <c r="K25" i="7"/>
  <c r="M25" i="7"/>
  <c r="N25" i="7"/>
  <c r="O25" i="7"/>
  <c r="P25" i="7"/>
  <c r="R25" i="7"/>
  <c r="S25" i="7"/>
  <c r="U25" i="7"/>
  <c r="X25" i="7"/>
  <c r="Y25" i="7"/>
  <c r="A26" i="7"/>
  <c r="D26" i="7"/>
  <c r="H26" i="7"/>
  <c r="I26" i="7"/>
  <c r="M26" i="7"/>
  <c r="N26" i="7"/>
  <c r="O26" i="7"/>
  <c r="R26" i="7"/>
  <c r="S26" i="7"/>
  <c r="U26" i="7"/>
  <c r="X26" i="7"/>
  <c r="Y26" i="7"/>
  <c r="A27" i="7"/>
  <c r="D27" i="7"/>
  <c r="H27" i="7"/>
  <c r="I27" i="7"/>
  <c r="M27" i="7"/>
  <c r="N27" i="7"/>
  <c r="O27" i="7"/>
  <c r="P27" i="7"/>
  <c r="R27" i="7"/>
  <c r="S27" i="7"/>
  <c r="U27" i="7"/>
  <c r="X27" i="7"/>
  <c r="Y27" i="7"/>
  <c r="A28" i="7"/>
  <c r="D28" i="7"/>
  <c r="H28" i="7"/>
  <c r="I28" i="7"/>
  <c r="M28" i="7"/>
  <c r="N28" i="7"/>
  <c r="O28" i="7"/>
  <c r="P28" i="7"/>
  <c r="R28" i="7"/>
  <c r="S28" i="7"/>
  <c r="U28" i="7"/>
  <c r="X28" i="7"/>
  <c r="Y28" i="7"/>
  <c r="A29" i="7"/>
  <c r="D29" i="7"/>
  <c r="H29" i="7"/>
  <c r="I29" i="7"/>
  <c r="M29" i="7"/>
  <c r="N29" i="7"/>
  <c r="O29" i="7"/>
  <c r="P29" i="7"/>
  <c r="R29" i="7"/>
  <c r="S29" i="7"/>
  <c r="U29" i="7"/>
  <c r="X29" i="7"/>
  <c r="Y29" i="7"/>
  <c r="A30" i="7"/>
  <c r="D30" i="7"/>
  <c r="H30" i="7"/>
  <c r="I30" i="7"/>
  <c r="M30" i="7"/>
  <c r="N30" i="7"/>
  <c r="O30" i="7"/>
  <c r="P30" i="7"/>
  <c r="R30" i="7"/>
  <c r="S30" i="7"/>
  <c r="U30" i="7"/>
  <c r="X30" i="7"/>
  <c r="Y30" i="7"/>
  <c r="A31" i="7"/>
  <c r="D31" i="7"/>
  <c r="H31" i="7"/>
  <c r="I31" i="7"/>
  <c r="K31" i="7"/>
  <c r="M31" i="7"/>
  <c r="N31" i="7"/>
  <c r="O31" i="7"/>
  <c r="P31" i="7"/>
  <c r="R31" i="7"/>
  <c r="S31" i="7"/>
  <c r="U31" i="7"/>
  <c r="X31" i="7"/>
  <c r="Y31" i="7"/>
  <c r="A32" i="7"/>
  <c r="D32" i="7"/>
  <c r="H32" i="7"/>
  <c r="I32" i="7"/>
  <c r="M32" i="7"/>
  <c r="N32" i="7"/>
  <c r="O32" i="7"/>
  <c r="P32" i="7"/>
  <c r="R32" i="7"/>
  <c r="S32" i="7"/>
  <c r="U32" i="7"/>
  <c r="X32" i="7"/>
  <c r="Y32" i="7"/>
  <c r="A33" i="7"/>
  <c r="D33" i="7"/>
  <c r="H33" i="7"/>
  <c r="I33" i="7"/>
  <c r="K33" i="7"/>
  <c r="M33" i="7"/>
  <c r="N33" i="7"/>
  <c r="O33" i="7"/>
  <c r="P33" i="7"/>
  <c r="R33" i="7"/>
  <c r="S33" i="7"/>
  <c r="U33" i="7"/>
  <c r="X33" i="7"/>
  <c r="Y33" i="7"/>
  <c r="A34" i="7"/>
  <c r="D34" i="7"/>
  <c r="H34" i="7"/>
  <c r="I34" i="7"/>
  <c r="M34" i="7"/>
  <c r="N34" i="7"/>
  <c r="O34" i="7"/>
  <c r="P34" i="7"/>
  <c r="R34" i="7"/>
  <c r="S34" i="7"/>
  <c r="U34" i="7"/>
  <c r="X34" i="7"/>
  <c r="Y34" i="7"/>
  <c r="A35" i="7"/>
  <c r="D35" i="7"/>
  <c r="H35" i="7"/>
  <c r="I35" i="7"/>
  <c r="M35" i="7"/>
  <c r="N35" i="7"/>
  <c r="O35" i="7"/>
  <c r="P35" i="7"/>
  <c r="R35" i="7"/>
  <c r="S35" i="7"/>
  <c r="U35" i="7"/>
  <c r="X35" i="7"/>
  <c r="Y35" i="7"/>
  <c r="A36" i="7"/>
  <c r="D36" i="7"/>
  <c r="H36" i="7"/>
  <c r="I36" i="7"/>
  <c r="M36" i="7"/>
  <c r="N36" i="7"/>
  <c r="O36" i="7"/>
  <c r="P36" i="7"/>
  <c r="R36" i="7"/>
  <c r="S36" i="7"/>
  <c r="U36" i="7"/>
  <c r="X36" i="7"/>
  <c r="Y36" i="7"/>
  <c r="A37" i="7"/>
  <c r="D37" i="7"/>
  <c r="H37" i="7"/>
  <c r="I37" i="7"/>
  <c r="M37" i="7"/>
  <c r="N37" i="7"/>
  <c r="O37" i="7"/>
  <c r="P37" i="7"/>
  <c r="R37" i="7"/>
  <c r="S37" i="7"/>
  <c r="U37" i="7"/>
  <c r="X37" i="7"/>
  <c r="Y37" i="7"/>
  <c r="A38" i="7"/>
  <c r="D38" i="7"/>
  <c r="H38" i="7"/>
  <c r="I38" i="7"/>
  <c r="M38" i="7"/>
  <c r="N38" i="7"/>
  <c r="O38" i="7"/>
  <c r="P38" i="7"/>
  <c r="R38" i="7"/>
  <c r="S38" i="7"/>
  <c r="U38" i="7"/>
  <c r="X38" i="7"/>
  <c r="Y38" i="7"/>
  <c r="B40" i="7"/>
  <c r="C40" i="7"/>
  <c r="D40" i="7"/>
  <c r="E40" i="7"/>
  <c r="F40" i="7"/>
  <c r="G40" i="7"/>
  <c r="N40" i="7"/>
  <c r="O40" i="7"/>
  <c r="P40" i="7"/>
  <c r="Q40" i="7"/>
  <c r="R40" i="7"/>
  <c r="S40" i="7"/>
  <c r="T40" i="7"/>
  <c r="U40" i="7"/>
  <c r="Y40" i="7"/>
  <c r="G42" i="7"/>
  <c r="N42" i="7"/>
  <c r="Y43" i="7"/>
  <c r="Y44" i="7"/>
  <c r="C45" i="7"/>
  <c r="Y46" i="7"/>
  <c r="Y47" i="7"/>
  <c r="Y48" i="7"/>
  <c r="Y49" i="7"/>
  <c r="Y50" i="7"/>
  <c r="Y51" i="7"/>
  <c r="Y53" i="7"/>
  <c r="Y58" i="7"/>
  <c r="P1" i="1"/>
  <c r="N7" i="1"/>
  <c r="A8" i="1"/>
  <c r="D8" i="1"/>
  <c r="H8" i="1"/>
  <c r="I8" i="1"/>
  <c r="L8" i="1"/>
  <c r="M8" i="1"/>
  <c r="N8" i="1"/>
  <c r="R8" i="1"/>
  <c r="A9" i="1"/>
  <c r="D9" i="1"/>
  <c r="H9" i="1"/>
  <c r="I9" i="1"/>
  <c r="L9" i="1"/>
  <c r="M9" i="1"/>
  <c r="N9" i="1"/>
  <c r="R9" i="1"/>
  <c r="A10" i="1"/>
  <c r="D10" i="1"/>
  <c r="H10" i="1"/>
  <c r="I10" i="1"/>
  <c r="L10" i="1"/>
  <c r="M10" i="1"/>
  <c r="N10" i="1"/>
  <c r="R10" i="1"/>
  <c r="A11" i="1"/>
  <c r="D11" i="1"/>
  <c r="H11" i="1"/>
  <c r="I11" i="1"/>
  <c r="L11" i="1"/>
  <c r="M11" i="1"/>
  <c r="N11" i="1"/>
  <c r="R11" i="1"/>
  <c r="A12" i="1"/>
  <c r="D12" i="1"/>
  <c r="H12" i="1"/>
  <c r="I12" i="1"/>
  <c r="L12" i="1"/>
  <c r="M12" i="1"/>
  <c r="N12" i="1"/>
  <c r="R12" i="1"/>
  <c r="A13" i="1"/>
  <c r="D13" i="1"/>
  <c r="H13" i="1"/>
  <c r="I13" i="1"/>
  <c r="L13" i="1"/>
  <c r="M13" i="1"/>
  <c r="N13" i="1"/>
  <c r="R13" i="1"/>
  <c r="A14" i="1"/>
  <c r="D14" i="1"/>
  <c r="H14" i="1"/>
  <c r="I14" i="1"/>
  <c r="L14" i="1"/>
  <c r="M14" i="1"/>
  <c r="N14" i="1"/>
  <c r="R14" i="1"/>
  <c r="A15" i="1"/>
  <c r="D15" i="1"/>
  <c r="H15" i="1"/>
  <c r="I15" i="1"/>
  <c r="L15" i="1"/>
  <c r="M15" i="1"/>
  <c r="N15" i="1"/>
  <c r="R15" i="1"/>
  <c r="A16" i="1"/>
  <c r="D16" i="1"/>
  <c r="H16" i="1"/>
  <c r="I16" i="1"/>
  <c r="L16" i="1"/>
  <c r="M16" i="1"/>
  <c r="N16" i="1"/>
  <c r="R16" i="1"/>
  <c r="A17" i="1"/>
  <c r="D17" i="1"/>
  <c r="H17" i="1"/>
  <c r="I17" i="1"/>
  <c r="L17" i="1"/>
  <c r="M17" i="1"/>
  <c r="N17" i="1"/>
  <c r="R17" i="1"/>
  <c r="A18" i="1"/>
  <c r="D18" i="1"/>
  <c r="H18" i="1"/>
  <c r="I18" i="1"/>
  <c r="L18" i="1"/>
  <c r="M18" i="1"/>
  <c r="N18" i="1"/>
  <c r="R18" i="1"/>
  <c r="A19" i="1"/>
  <c r="D19" i="1"/>
  <c r="H19" i="1"/>
  <c r="I19" i="1"/>
  <c r="L19" i="1"/>
  <c r="M19" i="1"/>
  <c r="N19" i="1"/>
  <c r="R19" i="1"/>
  <c r="A20" i="1"/>
  <c r="D20" i="1"/>
  <c r="H20" i="1"/>
  <c r="I20" i="1"/>
  <c r="L20" i="1"/>
  <c r="M20" i="1"/>
  <c r="N20" i="1"/>
  <c r="R20" i="1"/>
  <c r="A21" i="1"/>
  <c r="D21" i="1"/>
  <c r="H21" i="1"/>
  <c r="I21" i="1"/>
  <c r="L21" i="1"/>
  <c r="M21" i="1"/>
  <c r="N21" i="1"/>
  <c r="R21" i="1"/>
  <c r="A22" i="1"/>
  <c r="D22" i="1"/>
  <c r="H22" i="1"/>
  <c r="I22" i="1"/>
  <c r="L22" i="1"/>
  <c r="M22" i="1"/>
  <c r="N22" i="1"/>
  <c r="R22" i="1"/>
  <c r="A23" i="1"/>
  <c r="D23" i="1"/>
  <c r="H23" i="1"/>
  <c r="I23" i="1"/>
  <c r="L23" i="1"/>
  <c r="M23" i="1"/>
  <c r="N23" i="1"/>
  <c r="R23" i="1"/>
  <c r="A24" i="1"/>
  <c r="D24" i="1"/>
  <c r="H24" i="1"/>
  <c r="I24" i="1"/>
  <c r="L24" i="1"/>
  <c r="M24" i="1"/>
  <c r="N24" i="1"/>
  <c r="R24" i="1"/>
  <c r="A25" i="1"/>
  <c r="D25" i="1"/>
  <c r="H25" i="1"/>
  <c r="I25" i="1"/>
  <c r="L25" i="1"/>
  <c r="M25" i="1"/>
  <c r="N25" i="1"/>
  <c r="R25" i="1"/>
  <c r="A26" i="1"/>
  <c r="D26" i="1"/>
  <c r="H26" i="1"/>
  <c r="I26" i="1"/>
  <c r="L26" i="1"/>
  <c r="M26" i="1"/>
  <c r="N26" i="1"/>
  <c r="R26" i="1"/>
  <c r="A27" i="1"/>
  <c r="D27" i="1"/>
  <c r="H27" i="1"/>
  <c r="I27" i="1"/>
  <c r="L27" i="1"/>
  <c r="M27" i="1"/>
  <c r="N27" i="1"/>
  <c r="R27" i="1"/>
  <c r="A28" i="1"/>
  <c r="D28" i="1"/>
  <c r="H28" i="1"/>
  <c r="I28" i="1"/>
  <c r="L28" i="1"/>
  <c r="M28" i="1"/>
  <c r="N28" i="1"/>
  <c r="R28" i="1"/>
  <c r="A29" i="1"/>
  <c r="D29" i="1"/>
  <c r="H29" i="1"/>
  <c r="I29" i="1"/>
  <c r="L29" i="1"/>
  <c r="M29" i="1"/>
  <c r="N29" i="1"/>
  <c r="R29" i="1"/>
  <c r="A30" i="1"/>
  <c r="D30" i="1"/>
  <c r="H30" i="1"/>
  <c r="I30" i="1"/>
  <c r="L30" i="1"/>
  <c r="M30" i="1"/>
  <c r="N30" i="1"/>
  <c r="R30" i="1"/>
  <c r="A31" i="1"/>
  <c r="D31" i="1"/>
  <c r="H31" i="1"/>
  <c r="I31" i="1"/>
  <c r="L31" i="1"/>
  <c r="M31" i="1"/>
  <c r="N31" i="1"/>
  <c r="R31" i="1"/>
  <c r="A32" i="1"/>
  <c r="D32" i="1"/>
  <c r="H32" i="1"/>
  <c r="I32" i="1"/>
  <c r="L32" i="1"/>
  <c r="M32" i="1"/>
  <c r="N32" i="1"/>
  <c r="R32" i="1"/>
  <c r="A33" i="1"/>
  <c r="D33" i="1"/>
  <c r="H33" i="1"/>
  <c r="I33" i="1"/>
  <c r="L33" i="1"/>
  <c r="M33" i="1"/>
  <c r="N33" i="1"/>
  <c r="R33" i="1"/>
  <c r="A34" i="1"/>
  <c r="D34" i="1"/>
  <c r="H34" i="1"/>
  <c r="I34" i="1"/>
  <c r="L34" i="1"/>
  <c r="M34" i="1"/>
  <c r="N34" i="1"/>
  <c r="R34" i="1"/>
  <c r="A35" i="1"/>
  <c r="D35" i="1"/>
  <c r="H35" i="1"/>
  <c r="I35" i="1"/>
  <c r="L35" i="1"/>
  <c r="M35" i="1"/>
  <c r="N35" i="1"/>
  <c r="R35" i="1"/>
  <c r="A36" i="1"/>
  <c r="D36" i="1"/>
  <c r="H36" i="1"/>
  <c r="I36" i="1"/>
  <c r="L36" i="1"/>
  <c r="M36" i="1"/>
  <c r="N36" i="1"/>
  <c r="R36" i="1"/>
  <c r="A37" i="1"/>
  <c r="D37" i="1"/>
  <c r="H37" i="1"/>
  <c r="I37" i="1"/>
  <c r="L37" i="1"/>
  <c r="M37" i="1"/>
  <c r="N37" i="1"/>
  <c r="R37" i="1"/>
  <c r="A38" i="1"/>
  <c r="D38" i="1"/>
  <c r="H38" i="1"/>
  <c r="I38" i="1"/>
  <c r="L38" i="1"/>
  <c r="M38" i="1"/>
  <c r="N38" i="1"/>
  <c r="R38" i="1"/>
  <c r="B40" i="1"/>
  <c r="C40" i="1"/>
  <c r="E40" i="1"/>
  <c r="F40" i="1"/>
  <c r="G40" i="1"/>
  <c r="L40" i="1"/>
  <c r="M40" i="1"/>
  <c r="N40" i="1"/>
  <c r="R40" i="1"/>
  <c r="R43" i="1"/>
  <c r="R44" i="1"/>
  <c r="C45" i="1"/>
  <c r="R47" i="1"/>
  <c r="R51" i="1"/>
  <c r="R53" i="1"/>
  <c r="R54" i="1"/>
  <c r="R56" i="1"/>
</calcChain>
</file>

<file path=xl/comments1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2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0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2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3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4.xml><?xml version="1.0" encoding="utf-8"?>
<comments xmlns="http://schemas.openxmlformats.org/spreadsheetml/2006/main">
  <authors>
    <author>System Service</author>
    <author>jvesela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T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Q8" authorId="1" shapeId="0">
      <text>
        <r>
          <rPr>
            <sz val="8"/>
            <color indexed="81"/>
            <rFont val="Tahoma"/>
          </rPr>
          <t xml:space="preserve">
Robin wanted a credit from Calp for capacity used to meet Calp's burns in April.
</t>
        </r>
      </text>
    </comment>
    <comment ref="U41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U43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5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as published in the following day issue.</t>
        </r>
      </text>
    </comment>
    <comment ref="K4" authorId="0" shapeId="0">
      <text>
        <r>
          <rPr>
            <b/>
            <sz val="10"/>
            <color indexed="81"/>
            <rFont val="Tahoma"/>
            <family val="2"/>
          </rPr>
          <t>+ .05/dkt for first 1.5 BCF, then +.03/dkt for remainder gas</t>
        </r>
      </text>
    </comment>
    <comment ref="X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U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Y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Y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comments6.xml><?xml version="1.0" encoding="utf-8"?>
<comments xmlns="http://schemas.openxmlformats.org/spreadsheetml/2006/main">
  <authors>
    <author>System Service</author>
  </authors>
  <commentList>
    <comment ref="A2" authorId="0" shapeId="0">
      <text>
        <r>
          <rPr>
            <b/>
            <sz val="10"/>
            <color indexed="81"/>
            <rFont val="Tahoma"/>
          </rPr>
          <t>This sheet is updated daily (by 3:30PM) and faxed to CALP for any requests, comments, and review.  They will fax it back with their input.
The current contact at CALP is Frank Miller, Plant Mgr. (fax) 757-487-9196 and (phone) 757-487-9062</t>
        </r>
        <r>
          <rPr>
            <sz val="10"/>
            <color indexed="81"/>
            <rFont val="Tahoma"/>
          </rPr>
          <t xml:space="preserve">
</t>
        </r>
      </text>
    </comment>
    <comment ref="A4" authorId="0" shapeId="0">
      <text>
        <r>
          <rPr>
            <sz val="10"/>
            <color indexed="81"/>
            <rFont val="Tahoma"/>
            <family val="2"/>
          </rPr>
          <t>Input this date and the others will automatically update.</t>
        </r>
      </text>
    </comment>
    <comment ref="B4" authorId="0" shapeId="0">
      <text>
        <r>
          <rPr>
            <sz val="10"/>
            <color indexed="81"/>
            <rFont val="Tahoma"/>
            <family val="2"/>
          </rPr>
          <t>CALP will provide this information based on their need for gas delivery.</t>
        </r>
      </text>
    </comment>
    <comment ref="C4" authorId="0" shapeId="0">
      <text>
        <r>
          <rPr>
            <sz val="10"/>
            <color indexed="81"/>
            <rFont val="Tahoma"/>
            <family val="2"/>
          </rPr>
          <t>Upon receiving "request", Fuel Mgr will make arrangements for gas scheduling and input the amount which will be delivered to the gate (TCO meter 633469).</t>
        </r>
      </text>
    </comment>
    <comment ref="D4" authorId="0" shapeId="0">
      <text>
        <r>
          <rPr>
            <b/>
            <sz val="8"/>
            <color indexed="81"/>
            <rFont val="Tahoma"/>
          </rPr>
          <t>This section will atomatically fill if the current TCO "Retainage Rate" is used in the formula. (SEE CELL W3)</t>
        </r>
      </text>
    </comment>
    <comment ref="H4" authorId="0" shapeId="0">
      <text>
        <r>
          <rPr>
            <sz val="10"/>
            <color indexed="81"/>
            <rFont val="Tahoma"/>
            <family val="2"/>
          </rPr>
          <t>Calculation, no input necessary.  This compares schedule verses actual Navigator daily volumes.</t>
        </r>
        <r>
          <rPr>
            <sz val="10"/>
            <color indexed="81"/>
            <rFont val="Tahoma"/>
          </rPr>
          <t xml:space="preserve">
</t>
        </r>
      </text>
    </comment>
    <comment ref="I4" authorId="0" shapeId="0">
      <text>
        <r>
          <rPr>
            <sz val="10"/>
            <color indexed="81"/>
            <rFont val="Tahoma"/>
            <family val="2"/>
          </rPr>
          <t>Monthly cumulative imbalance of scheduled verses actuals.</t>
        </r>
      </text>
    </comment>
    <comment ref="J4" authorId="0" shapeId="0">
      <text>
        <r>
          <rPr>
            <b/>
            <sz val="10"/>
            <color indexed="81"/>
            <rFont val="Tahoma"/>
            <family val="2"/>
          </rPr>
          <t>PRICING GAS TO BE MOVED ON CALP'S OPT60 CONTRACT IS;
Gas Daily-Columbia App. Mid + fee as published in the following day issue.</t>
        </r>
      </text>
    </comment>
    <comment ref="Q4" authorId="0" shapeId="0">
      <text>
        <r>
          <rPr>
            <sz val="10"/>
            <color indexed="81"/>
            <rFont val="Tahoma"/>
            <family val="2"/>
          </rPr>
          <t xml:space="preserve">This information is found in the Columbia Navigator system.
</t>
        </r>
      </text>
    </comment>
    <comment ref="N8" authorId="0" shapeId="0">
      <text>
        <r>
          <rPr>
            <b/>
            <sz val="8"/>
            <color indexed="81"/>
            <rFont val="Tahoma"/>
          </rPr>
          <t>MAKE SURE THIS INCLUDES CORRECT #OF DAYS IN MONTH FOR DAILY TOTALS.</t>
        </r>
      </text>
    </comment>
    <comment ref="R42" authorId="0" shapeId="0">
      <text>
        <r>
          <rPr>
            <b/>
            <sz val="9"/>
            <color indexed="60"/>
            <rFont val="Tahoma"/>
            <family val="2"/>
          </rPr>
          <t>Mgmt. Fee Escalates every May by the Consumer Price Index/(not seasnally adjusted) South Urban ("CPI") 1982-1984=100, as published by the U.S. Dept. of Labor, BLS</t>
        </r>
      </text>
    </comment>
    <comment ref="R44" authorId="0" shapeId="0">
      <text>
        <r>
          <rPr>
            <b/>
            <sz val="10"/>
            <color indexed="81"/>
            <rFont val="Tahoma"/>
            <family val="2"/>
          </rPr>
          <t>MAKE SURE THE CORRECT FEE IS USED HERE.  THE FIRST 1,500,000 Dth BURNT WILL BE AT 5 CENTS AND EVERYTHING ABOVE THAT AMOUNT WILL BE AT 3 CENTS.</t>
        </r>
      </text>
    </comment>
  </commentList>
</comments>
</file>

<file path=xl/sharedStrings.xml><?xml version="1.0" encoding="utf-8"?>
<sst xmlns="http://schemas.openxmlformats.org/spreadsheetml/2006/main" count="511" uniqueCount="95">
  <si>
    <t>COMMONWEALTH  ATLANTIC  L.P. - Chesapeake Facility Natural Gas ESTIMATES</t>
  </si>
  <si>
    <t>CALP Requirements</t>
  </si>
  <si>
    <t>Meter Readings</t>
  </si>
  <si>
    <t>Balance                             (Scheduled less Usage)</t>
  </si>
  <si>
    <t>Cost Components</t>
  </si>
  <si>
    <t>Informational</t>
  </si>
  <si>
    <t>Current TCO Retainage Rate</t>
  </si>
  <si>
    <t>or 2.116%</t>
  </si>
  <si>
    <t>Requested at City Gate</t>
  </si>
  <si>
    <t>Scheduled to City Gate</t>
  </si>
  <si>
    <t>Scheduled Into TCO</t>
  </si>
  <si>
    <t>Reported Daily Usage by Plant</t>
  </si>
  <si>
    <t xml:space="preserve">     Meter Readings                       via Navigator</t>
  </si>
  <si>
    <t>Daily         (+inj /-withd)</t>
  </si>
  <si>
    <t>Cumulative        (+ / -)</t>
  </si>
  <si>
    <t>INTO TCO GAS COST plus fee</t>
  </si>
  <si>
    <t>CES SIT Costs $</t>
  </si>
  <si>
    <t>TCO Transport Costs</t>
  </si>
  <si>
    <t>Remarks</t>
  </si>
  <si>
    <t>OPT 60 or summer firm</t>
  </si>
  <si>
    <t>PGA Fee up to 1,500,000 Dth Consumed</t>
  </si>
  <si>
    <t>Commodity</t>
  </si>
  <si>
    <t>Demand</t>
  </si>
  <si>
    <t>PGA Fee over 1,500,000 Dth Consumed</t>
  </si>
  <si>
    <t>Gas Pricing is based on Index… Col. App. GD Mid + PGA Fee as published in following day issue</t>
  </si>
  <si>
    <t>Date</t>
  </si>
  <si>
    <t>Dth</t>
  </si>
  <si>
    <t xml:space="preserve">       Mcf</t>
  </si>
  <si>
    <t xml:space="preserve">         Dth</t>
  </si>
  <si>
    <t>(MMBTU)</t>
  </si>
  <si>
    <t>($/MMBTU)</t>
  </si>
  <si>
    <t>(If OPT60 is not used, also include Transport to City Gate)</t>
  </si>
  <si>
    <t>n/a</t>
  </si>
  <si>
    <t>Total</t>
  </si>
  <si>
    <t>Year-To-Date consumption:</t>
  </si>
  <si>
    <t>?</t>
  </si>
  <si>
    <t>FUEL MANAGEMENT FEE:</t>
  </si>
  <si>
    <t>Note: Gas Day Begins at 10:00 am</t>
  </si>
  <si>
    <t>COMMODITY TO CITY GATE:</t>
  </si>
  <si>
    <t>Approved: _____________________________________</t>
  </si>
  <si>
    <t>PGA FEE:</t>
  </si>
  <si>
    <t xml:space="preserve">Prepared: </t>
  </si>
  <si>
    <t xml:space="preserve">            (CALP signature)</t>
  </si>
  <si>
    <t>TRANSPORT (commodity and all other thru CES) COST:</t>
  </si>
  <si>
    <t>DEMAND (Released Capacity..) COST:</t>
  </si>
  <si>
    <t>COLUMBIA ENERGY SIT COST:</t>
  </si>
  <si>
    <t>CES INVOICE SUBTOTAL</t>
  </si>
  <si>
    <t>Any Credits for CES use of available Capacity will be applied to the following months invoice</t>
  </si>
  <si>
    <t>TCO DEMAND/CAPACITY COSTS</t>
  </si>
  <si>
    <t>Any Credits for CES gas transported will be applied to the following months invoice</t>
  </si>
  <si>
    <t>TCO COMMODITY TRANSPORT COSTS</t>
  </si>
  <si>
    <t>Any other applicable costs to be credited in the following month</t>
  </si>
  <si>
    <t>OTHER COSTS</t>
  </si>
  <si>
    <t>TOTAL COST TO CITY GATE:</t>
  </si>
  <si>
    <r>
      <t xml:space="preserve">Daily  </t>
    </r>
    <r>
      <rPr>
        <b/>
        <sz val="13"/>
        <rFont val="Times New Roman"/>
        <family val="1"/>
      </rPr>
      <t>estimate</t>
    </r>
    <r>
      <rPr>
        <sz val="13"/>
        <rFont val="Times New Roman"/>
        <family val="1"/>
      </rPr>
      <t xml:space="preserve"> costs</t>
    </r>
  </si>
  <si>
    <r>
      <t xml:space="preserve">Previous Month.. DEMAND (CES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</si>
  <si>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(CES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</si>
  <si>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TCO related OTHER COSTS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</si>
  <si>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Overrun</t>
  </si>
  <si>
    <t>Grossed up TCO Pool</t>
  </si>
  <si>
    <t>or 2.184%</t>
  </si>
  <si>
    <t xml:space="preserve">FEE </t>
  </si>
  <si>
    <t xml:space="preserve">TCO POOL GAS DAILY </t>
  </si>
  <si>
    <t>ENRON SIT COST:</t>
  </si>
  <si>
    <t>ENRON OVERRUN COST:</t>
  </si>
  <si>
    <t>ENRON FUEL COST:</t>
  </si>
  <si>
    <t>ENRON DEMAND COST:</t>
  </si>
  <si>
    <t>Fuel</t>
  </si>
  <si>
    <t>ENRON SIT Costs $</t>
  </si>
  <si>
    <t>Any Credits for Enron use of available Capacity will be applied to the following months invoice</t>
  </si>
  <si>
    <t>Any Credits for Enron gas transported will be applied to the following months invoice</t>
  </si>
  <si>
    <r>
      <t xml:space="preserve">Previous Month.. DEMAND (Enron use of UNUSED Capacity @ .02/Dth)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</si>
  <si>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r>
      <t xml:space="preserve">Previous Month.. TCO Commodity (Enron Usage of Capacity) </t>
    </r>
    <r>
      <rPr>
        <sz val="13"/>
        <color indexed="10"/>
        <rFont val="Times New Roman"/>
        <family val="1"/>
      </rPr>
      <t>CREDIT</t>
    </r>
    <r>
      <rPr>
        <sz val="13"/>
        <rFont val="Times New Roman"/>
        <family val="1"/>
      </rPr>
      <t>:</t>
    </r>
  </si>
  <si>
    <t>TRANSPORT (commodity and all other thru Enron) COST:</t>
  </si>
  <si>
    <t>Unit Price</t>
  </si>
  <si>
    <t xml:space="preserve">ENA </t>
  </si>
  <si>
    <t>Usage</t>
  </si>
  <si>
    <t>dkt</t>
  </si>
  <si>
    <t>ENA</t>
  </si>
  <si>
    <t>ENRON OVERRUN CREDIT:</t>
  </si>
  <si>
    <t>CALP DEMAND COST:</t>
  </si>
  <si>
    <t>ENRON INVOICE SUBTOTAL</t>
  </si>
  <si>
    <t>CALP</t>
  </si>
  <si>
    <t>CREDIT TO CALP</t>
  </si>
  <si>
    <t>ENA Unit Price</t>
  </si>
  <si>
    <t>ENA SIT Costs $</t>
  </si>
  <si>
    <t>TOTAL COST TO CALP:</t>
  </si>
  <si>
    <t>Updated CPI for May is published mid-June, so used April's Fee.</t>
  </si>
  <si>
    <t>ENRON COMMODITY CREDIT:</t>
  </si>
  <si>
    <t>ENRON DEMAND CREDIT</t>
  </si>
  <si>
    <t>ENA Fuel Daily Cost/dkt</t>
  </si>
  <si>
    <t>Weighted Avg Fuel Cost =</t>
  </si>
  <si>
    <t>ENA Fuel Weighted Avg  x Dlvd Vol</t>
  </si>
  <si>
    <t>ENA Fuel Daily Cost x Dlvd Vol</t>
  </si>
  <si>
    <t>Daily vs Weighted fuel cost off slightly due to 4 digits rounding.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</si>
</sst>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0.0000_)"/>
    <numFmt numFmtId="166" formatCode="mmmm\-yy"/>
    <numFmt numFmtId="168" formatCode="0_)"/>
    <numFmt numFmtId="170" formatCode="_(&quot;$&quot;* #,##0.000_);_(&quot;$&quot;* \(#,##0.000\);_(&quot;$&quot;* &quot;-&quot;??_);_(@_)"/>
    <numFmt numFmtId="171" formatCode="_(&quot;$&quot;* #,##0.0000_);_(&quot;$&quot;* \(#,##0.0000\);_(&quot;$&quot;* &quot;-&quot;??_);_(@_)"/>
    <numFmt numFmtId="173" formatCode="_(* #,##0_);_(* \(#,##0\);_(* &quot;-&quot;??_);_(@_)"/>
    <numFmt numFmtId="176" formatCode="ddd\ \-\ dd"/>
    <numFmt numFmtId="181" formatCode="_(&quot;$&quot;* #,##0.00000_);_(&quot;$&quot;* \(#,##0.00000\);_(&quot;$&quot;* &quot;-&quot;??_);_(@_)"/>
    <numFmt numFmtId="189" formatCode="mmm\-yyyy"/>
    <numFmt numFmtId="190" formatCode="mmmm\-yyyy"/>
    <numFmt numFmtId="192" formatCode="&quot;$&quot;#,##0.000_);\(&quot;$&quot;#,##0.000\)"/>
    <numFmt numFmtId="193" formatCode="0.0000"/>
    <numFmt numFmtId="194" formatCode="_(&quot;$&quot;* #,##0.0000_);_(&quot;$&quot;* \(#,##0.0000\);_(&quot;$&quot;* &quot;-&quot;????_);_(@_)"/>
  </numFmts>
  <fonts count="25" x14ac:knownFonts="1">
    <font>
      <sz val="10"/>
      <name val="Arial"/>
    </font>
    <font>
      <sz val="10"/>
      <name val="Arial"/>
    </font>
    <font>
      <b/>
      <sz val="18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Times New Roman"/>
      <family val="1"/>
    </font>
    <font>
      <sz val="13"/>
      <name val="Arial"/>
      <family val="2"/>
    </font>
    <font>
      <sz val="13"/>
      <color indexed="12"/>
      <name val="Arial"/>
      <family val="2"/>
    </font>
    <font>
      <b/>
      <sz val="13"/>
      <name val="Arial"/>
      <family val="2"/>
    </font>
    <font>
      <b/>
      <sz val="13"/>
      <color indexed="48"/>
      <name val="Times New Roman"/>
      <family val="1"/>
    </font>
    <font>
      <b/>
      <i/>
      <sz val="13"/>
      <color indexed="48"/>
      <name val="Times New Roman"/>
      <family val="1"/>
    </font>
    <font>
      <b/>
      <i/>
      <sz val="13"/>
      <color indexed="10"/>
      <name val="Times New Roman"/>
      <family val="1"/>
    </font>
    <font>
      <sz val="13"/>
      <color indexed="10"/>
      <name val="Times New Roman"/>
      <family val="1"/>
    </font>
    <font>
      <sz val="13"/>
      <color indexed="10"/>
      <name val="Arial"/>
      <family val="2"/>
    </font>
    <font>
      <i/>
      <sz val="13"/>
      <name val="Times New Roman"/>
      <family val="1"/>
    </font>
    <font>
      <sz val="10"/>
      <color indexed="81"/>
      <name val="Tahoma"/>
      <family val="2"/>
    </font>
    <font>
      <sz val="10"/>
      <color indexed="81"/>
      <name val="Tahoma"/>
    </font>
    <font>
      <b/>
      <sz val="10"/>
      <color indexed="81"/>
      <name val="Tahoma"/>
    </font>
    <font>
      <b/>
      <sz val="9"/>
      <color indexed="60"/>
      <name val="Tahoma"/>
      <family val="2"/>
    </font>
    <font>
      <b/>
      <sz val="10"/>
      <color indexed="81"/>
      <name val="Tahoma"/>
      <family val="2"/>
    </font>
    <font>
      <b/>
      <sz val="8"/>
      <color indexed="81"/>
      <name val="Tahoma"/>
    </font>
    <font>
      <b/>
      <sz val="12"/>
      <color indexed="12"/>
      <name val="Times New Roman"/>
      <family val="1"/>
    </font>
    <font>
      <sz val="13"/>
      <color indexed="12"/>
      <name val="Times New Roman"/>
      <family val="1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lightTrellis"/>
    </fill>
    <fill>
      <patternFill patternType="solid">
        <fgColor indexed="22"/>
        <bgColor indexed="64"/>
      </patternFill>
    </fill>
  </fills>
  <borders count="8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46">
    <xf numFmtId="0" fontId="0" fillId="0" borderId="0" xfId="0"/>
    <xf numFmtId="166" fontId="3" fillId="2" borderId="0" xfId="0" applyNumberFormat="1" applyFont="1" applyFill="1" applyBorder="1" applyAlignment="1" applyProtection="1">
      <alignment horizontal="left"/>
    </xf>
    <xf numFmtId="0" fontId="4" fillId="0" borderId="0" xfId="0" applyFont="1"/>
    <xf numFmtId="168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center"/>
    </xf>
    <xf numFmtId="164" fontId="4" fillId="2" borderId="1" xfId="0" applyNumberFormat="1" applyFont="1" applyFill="1" applyBorder="1" applyAlignment="1" applyProtection="1">
      <alignment horizontal="right"/>
    </xf>
    <xf numFmtId="1" fontId="4" fillId="2" borderId="1" xfId="0" applyNumberFormat="1" applyFont="1" applyFill="1" applyBorder="1" applyAlignment="1" applyProtection="1">
      <alignment horizontal="center"/>
    </xf>
    <xf numFmtId="168" fontId="4" fillId="2" borderId="2" xfId="0" applyNumberFormat="1" applyFont="1" applyFill="1" applyBorder="1" applyAlignment="1" applyProtection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horizontal="right"/>
    </xf>
    <xf numFmtId="44" fontId="3" fillId="0" borderId="0" xfId="2" applyFont="1"/>
    <xf numFmtId="44" fontId="3" fillId="2" borderId="2" xfId="2" applyFont="1" applyFill="1" applyBorder="1" applyAlignment="1" applyProtection="1">
      <alignment horizontal="center" vertical="center"/>
    </xf>
    <xf numFmtId="44" fontId="3" fillId="2" borderId="3" xfId="2" applyFont="1" applyFill="1" applyBorder="1" applyAlignment="1" applyProtection="1">
      <alignment horizontal="center" vertical="center"/>
    </xf>
    <xf numFmtId="0" fontId="4" fillId="0" borderId="4" xfId="0" applyFont="1" applyBorder="1"/>
    <xf numFmtId="173" fontId="3" fillId="0" borderId="5" xfId="1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8" fontId="4" fillId="0" borderId="4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4" fontId="4" fillId="0" borderId="8" xfId="0" applyNumberFormat="1" applyFont="1" applyBorder="1" applyAlignment="1" applyProtection="1">
      <alignment horizontal="center"/>
    </xf>
    <xf numFmtId="164" fontId="4" fillId="0" borderId="1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left"/>
    </xf>
    <xf numFmtId="164" fontId="4" fillId="0" borderId="9" xfId="0" applyNumberFormat="1" applyFont="1" applyBorder="1" applyAlignment="1" applyProtection="1">
      <alignment horizontal="left"/>
    </xf>
    <xf numFmtId="164" fontId="4" fillId="0" borderId="10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/>
    </xf>
    <xf numFmtId="171" fontId="3" fillId="2" borderId="4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/>
    </xf>
    <xf numFmtId="171" fontId="3" fillId="1" borderId="8" xfId="2" applyNumberFormat="1" applyFont="1" applyFill="1" applyBorder="1" applyAlignment="1" applyProtection="1">
      <alignment horizontal="center" vertical="center"/>
    </xf>
    <xf numFmtId="0" fontId="3" fillId="0" borderId="0" xfId="0" applyFont="1"/>
    <xf numFmtId="176" fontId="4" fillId="0" borderId="11" xfId="0" applyNumberFormat="1" applyFont="1" applyBorder="1" applyAlignment="1" applyProtection="1">
      <alignment horizontal="right"/>
    </xf>
    <xf numFmtId="37" fontId="7" fillId="0" borderId="12" xfId="0" applyNumberFormat="1" applyFont="1" applyBorder="1" applyAlignment="1" applyProtection="1">
      <alignment vertical="center"/>
    </xf>
    <xf numFmtId="37" fontId="7" fillId="0" borderId="13" xfId="0" applyNumberFormat="1" applyFont="1" applyBorder="1" applyAlignment="1" applyProtection="1">
      <alignment vertical="center"/>
    </xf>
    <xf numFmtId="37" fontId="7" fillId="0" borderId="14" xfId="0" applyNumberFormat="1" applyFont="1" applyBorder="1" applyAlignment="1" applyProtection="1">
      <alignment vertical="center"/>
    </xf>
    <xf numFmtId="173" fontId="7" fillId="0" borderId="12" xfId="1" applyNumberFormat="1" applyFont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vertical="center"/>
    </xf>
    <xf numFmtId="37" fontId="7" fillId="0" borderId="16" xfId="0" applyNumberFormat="1" applyFont="1" applyBorder="1" applyAlignment="1" applyProtection="1">
      <alignment vertical="center"/>
    </xf>
    <xf numFmtId="37" fontId="7" fillId="0" borderId="17" xfId="0" applyNumberFormat="1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vertical="center"/>
    </xf>
    <xf numFmtId="170" fontId="7" fillId="2" borderId="2" xfId="2" applyNumberFormat="1" applyFont="1" applyFill="1" applyBorder="1" applyAlignment="1" applyProtection="1">
      <alignment vertical="center"/>
    </xf>
    <xf numFmtId="44" fontId="7" fillId="0" borderId="18" xfId="2" applyFont="1" applyBorder="1" applyAlignment="1" applyProtection="1">
      <alignment vertical="center"/>
    </xf>
    <xf numFmtId="44" fontId="7" fillId="0" borderId="19" xfId="2" applyFont="1" applyBorder="1" applyAlignment="1" applyProtection="1">
      <alignment vertical="center"/>
    </xf>
    <xf numFmtId="44" fontId="8" fillId="0" borderId="14" xfId="2" applyFont="1" applyFill="1" applyBorder="1" applyAlignment="1" applyProtection="1">
      <alignment vertical="center"/>
    </xf>
    <xf numFmtId="164" fontId="7" fillId="0" borderId="20" xfId="0" applyNumberFormat="1" applyFont="1" applyBorder="1" applyAlignment="1" applyProtection="1">
      <alignment horizontal="center" vertical="center"/>
    </xf>
    <xf numFmtId="44" fontId="7" fillId="0" borderId="14" xfId="0" applyNumberFormat="1" applyFont="1" applyBorder="1" applyAlignment="1">
      <alignment vertical="center"/>
    </xf>
    <xf numFmtId="44" fontId="7" fillId="0" borderId="14" xfId="2" applyFont="1" applyFill="1" applyBorder="1" applyAlignment="1" applyProtection="1">
      <alignment vertical="center"/>
    </xf>
    <xf numFmtId="173" fontId="7" fillId="0" borderId="15" xfId="1" applyNumberFormat="1" applyFont="1" applyBorder="1" applyAlignment="1" applyProtection="1">
      <alignment horizontal="left" vertical="center"/>
    </xf>
    <xf numFmtId="173" fontId="7" fillId="0" borderId="12" xfId="1" applyNumberFormat="1" applyFont="1" applyBorder="1" applyAlignment="1" applyProtection="1">
      <alignment horizontal="left" vertical="center"/>
    </xf>
    <xf numFmtId="37" fontId="7" fillId="0" borderId="21" xfId="0" applyNumberFormat="1" applyFont="1" applyBorder="1" applyAlignment="1" applyProtection="1">
      <alignment vertical="center"/>
    </xf>
    <xf numFmtId="37" fontId="7" fillId="0" borderId="22" xfId="0" applyNumberFormat="1" applyFont="1" applyBorder="1" applyAlignment="1" applyProtection="1">
      <alignment vertical="center"/>
    </xf>
    <xf numFmtId="37" fontId="7" fillId="0" borderId="23" xfId="0" applyNumberFormat="1" applyFont="1" applyBorder="1" applyAlignment="1" applyProtection="1">
      <alignment vertical="center"/>
    </xf>
    <xf numFmtId="37" fontId="7" fillId="0" borderId="24" xfId="0" applyNumberFormat="1" applyFont="1" applyBorder="1" applyAlignment="1" applyProtection="1">
      <alignment vertical="center"/>
    </xf>
    <xf numFmtId="173" fontId="7" fillId="2" borderId="21" xfId="1" applyNumberFormat="1" applyFont="1" applyFill="1" applyBorder="1" applyAlignment="1" applyProtection="1">
      <alignment vertical="center"/>
    </xf>
    <xf numFmtId="173" fontId="7" fillId="2" borderId="25" xfId="1" applyNumberFormat="1" applyFont="1" applyFill="1" applyBorder="1" applyAlignment="1" applyProtection="1">
      <alignment vertical="center"/>
    </xf>
    <xf numFmtId="44" fontId="7" fillId="0" borderId="26" xfId="2" applyFont="1" applyBorder="1" applyAlignment="1" applyProtection="1">
      <alignment horizontal="center" vertical="center"/>
    </xf>
    <xf numFmtId="44" fontId="7" fillId="0" borderId="27" xfId="2" applyFont="1" applyBorder="1" applyAlignment="1" applyProtection="1">
      <alignment horizontal="center" vertical="center"/>
    </xf>
    <xf numFmtId="44" fontId="7" fillId="0" borderId="28" xfId="2" applyFont="1" applyFill="1" applyBorder="1" applyAlignment="1" applyProtection="1">
      <alignment horizontal="center" vertical="center"/>
    </xf>
    <xf numFmtId="164" fontId="7" fillId="0" borderId="29" xfId="0" applyNumberFormat="1" applyFont="1" applyBorder="1" applyAlignment="1" applyProtection="1">
      <alignment horizontal="center" vertical="center"/>
    </xf>
    <xf numFmtId="44" fontId="7" fillId="0" borderId="30" xfId="0" applyNumberFormat="1" applyFont="1" applyBorder="1" applyAlignment="1">
      <alignment horizontal="center" vertical="center"/>
    </xf>
    <xf numFmtId="37" fontId="7" fillId="0" borderId="31" xfId="0" applyNumberFormat="1" applyFont="1" applyBorder="1" applyAlignment="1" applyProtection="1">
      <alignment vertical="center"/>
    </xf>
    <xf numFmtId="37" fontId="7" fillId="0" borderId="32" xfId="0" applyNumberFormat="1" applyFont="1" applyBorder="1" applyAlignment="1" applyProtection="1">
      <alignment vertical="center"/>
    </xf>
    <xf numFmtId="37" fontId="7" fillId="0" borderId="28" xfId="0" applyNumberFormat="1" applyFont="1" applyBorder="1" applyAlignment="1" applyProtection="1">
      <alignment vertical="center"/>
    </xf>
    <xf numFmtId="37" fontId="7" fillId="0" borderId="33" xfId="0" applyNumberFormat="1" applyFont="1" applyBorder="1" applyAlignment="1" applyProtection="1">
      <alignment vertical="center"/>
    </xf>
    <xf numFmtId="173" fontId="7" fillId="0" borderId="34" xfId="1" applyNumberFormat="1" applyFont="1" applyBorder="1" applyAlignment="1" applyProtection="1">
      <alignment vertical="center"/>
    </xf>
    <xf numFmtId="173" fontId="7" fillId="0" borderId="35" xfId="1" applyNumberFormat="1" applyFont="1" applyBorder="1" applyAlignment="1" applyProtection="1">
      <alignment vertical="center"/>
    </xf>
    <xf numFmtId="37" fontId="7" fillId="0" borderId="36" xfId="0" applyNumberFormat="1" applyFont="1" applyBorder="1" applyAlignment="1" applyProtection="1">
      <alignment vertical="center"/>
    </xf>
    <xf numFmtId="170" fontId="7" fillId="0" borderId="37" xfId="2" applyNumberFormat="1" applyFont="1" applyBorder="1" applyAlignment="1" applyProtection="1">
      <alignment vertical="center"/>
    </xf>
    <xf numFmtId="44" fontId="7" fillId="0" borderId="38" xfId="2" applyFont="1" applyBorder="1" applyAlignment="1" applyProtection="1">
      <alignment vertical="center"/>
    </xf>
    <xf numFmtId="44" fontId="7" fillId="0" borderId="39" xfId="2" applyFont="1" applyBorder="1" applyAlignment="1" applyProtection="1">
      <alignment vertical="center"/>
    </xf>
    <xf numFmtId="170" fontId="7" fillId="0" borderId="11" xfId="2" applyNumberFormat="1" applyFont="1" applyBorder="1" applyAlignment="1" applyProtection="1">
      <alignment horizontal="right" vertical="center"/>
    </xf>
    <xf numFmtId="37" fontId="7" fillId="0" borderId="37" xfId="0" applyNumberFormat="1" applyFont="1" applyBorder="1" applyAlignment="1">
      <alignment horizontal="right"/>
    </xf>
    <xf numFmtId="170" fontId="7" fillId="0" borderId="11" xfId="2" applyNumberFormat="1" applyFont="1" applyBorder="1" applyAlignment="1" applyProtection="1">
      <alignment horizontal="center" vertical="center"/>
    </xf>
    <xf numFmtId="170" fontId="7" fillId="2" borderId="2" xfId="2" applyNumberFormat="1" applyFont="1" applyFill="1" applyBorder="1" applyAlignment="1" applyProtection="1">
      <alignment horizontal="center" vertical="center"/>
    </xf>
    <xf numFmtId="37" fontId="7" fillId="0" borderId="40" xfId="0" applyNumberFormat="1" applyFont="1" applyBorder="1" applyAlignment="1" applyProtection="1">
      <alignment vertical="center"/>
    </xf>
    <xf numFmtId="37" fontId="7" fillId="0" borderId="0" xfId="0" applyNumberFormat="1" applyFont="1" applyBorder="1" applyAlignment="1" applyProtection="1">
      <alignment vertical="center"/>
    </xf>
    <xf numFmtId="173" fontId="7" fillId="0" borderId="40" xfId="1" applyNumberFormat="1" applyFont="1" applyBorder="1" applyAlignment="1" applyProtection="1">
      <alignment vertical="center"/>
    </xf>
    <xf numFmtId="173" fontId="7" fillId="0" borderId="41" xfId="1" applyNumberFormat="1" applyFont="1" applyBorder="1" applyAlignment="1" applyProtection="1">
      <alignment vertical="center"/>
    </xf>
    <xf numFmtId="37" fontId="7" fillId="0" borderId="42" xfId="0" applyNumberFormat="1" applyFont="1" applyBorder="1" applyAlignment="1" applyProtection="1">
      <alignment vertical="center"/>
    </xf>
    <xf numFmtId="37" fontId="7" fillId="0" borderId="43" xfId="0" applyNumberFormat="1" applyFont="1" applyBorder="1" applyAlignment="1" applyProtection="1">
      <alignment vertical="center"/>
    </xf>
    <xf numFmtId="170" fontId="7" fillId="0" borderId="2" xfId="2" applyNumberFormat="1" applyFont="1" applyBorder="1" applyAlignment="1" applyProtection="1">
      <alignment vertical="center"/>
    </xf>
    <xf numFmtId="44" fontId="7" fillId="0" borderId="2" xfId="2" applyFont="1" applyBorder="1" applyAlignment="1" applyProtection="1">
      <alignment vertical="center"/>
    </xf>
    <xf numFmtId="44" fontId="7" fillId="0" borderId="44" xfId="2" applyFont="1" applyBorder="1" applyAlignment="1" applyProtection="1">
      <alignment vertical="center"/>
    </xf>
    <xf numFmtId="164" fontId="7" fillId="0" borderId="3" xfId="0" applyNumberFormat="1" applyFont="1" applyBorder="1" applyAlignment="1" applyProtection="1">
      <alignment horizontal="center" vertical="center"/>
    </xf>
    <xf numFmtId="168" fontId="4" fillId="3" borderId="45" xfId="0" applyNumberFormat="1" applyFont="1" applyFill="1" applyBorder="1" applyProtection="1"/>
    <xf numFmtId="37" fontId="7" fillId="3" borderId="26" xfId="0" applyNumberFormat="1" applyFont="1" applyFill="1" applyBorder="1" applyProtection="1"/>
    <xf numFmtId="37" fontId="7" fillId="3" borderId="46" xfId="0" applyNumberFormat="1" applyFont="1" applyFill="1" applyBorder="1" applyProtection="1"/>
    <xf numFmtId="37" fontId="7" fillId="3" borderId="23" xfId="0" applyNumberFormat="1" applyFont="1" applyFill="1" applyBorder="1" applyProtection="1"/>
    <xf numFmtId="37" fontId="7" fillId="3" borderId="47" xfId="0" applyNumberFormat="1" applyFont="1" applyFill="1" applyBorder="1" applyProtection="1"/>
    <xf numFmtId="165" fontId="7" fillId="3" borderId="46" xfId="0" applyNumberFormat="1" applyFont="1" applyFill="1" applyBorder="1" applyProtection="1"/>
    <xf numFmtId="164" fontId="7" fillId="3" borderId="46" xfId="0" applyNumberFormat="1" applyFont="1" applyFill="1" applyBorder="1" applyProtection="1"/>
    <xf numFmtId="168" fontId="4" fillId="0" borderId="48" xfId="0" applyNumberFormat="1" applyFont="1" applyBorder="1" applyAlignment="1" applyProtection="1">
      <alignment horizontal="center"/>
    </xf>
    <xf numFmtId="37" fontId="7" fillId="0" borderId="49" xfId="0" applyNumberFormat="1" applyFont="1" applyBorder="1" applyProtection="1"/>
    <xf numFmtId="37" fontId="9" fillId="0" borderId="50" xfId="0" applyNumberFormat="1" applyFont="1" applyBorder="1" applyProtection="1"/>
    <xf numFmtId="37" fontId="9" fillId="0" borderId="51" xfId="0" applyNumberFormat="1" applyFont="1" applyBorder="1" applyProtection="1"/>
    <xf numFmtId="37" fontId="7" fillId="0" borderId="52" xfId="0" applyNumberFormat="1" applyFont="1" applyBorder="1" applyProtection="1"/>
    <xf numFmtId="37" fontId="7" fillId="0" borderId="50" xfId="0" applyNumberFormat="1" applyFont="1" applyBorder="1" applyProtection="1"/>
    <xf numFmtId="37" fontId="7" fillId="4" borderId="50" xfId="0" applyNumberFormat="1" applyFont="1" applyFill="1" applyBorder="1" applyProtection="1"/>
    <xf numFmtId="165" fontId="7" fillId="4" borderId="50" xfId="0" applyNumberFormat="1" applyFont="1" applyFill="1" applyBorder="1" applyProtection="1"/>
    <xf numFmtId="44" fontId="7" fillId="0" borderId="50" xfId="2" applyFont="1" applyBorder="1" applyProtection="1"/>
    <xf numFmtId="44" fontId="7" fillId="0" borderId="50" xfId="2" applyFont="1" applyFill="1" applyBorder="1" applyProtection="1"/>
    <xf numFmtId="44" fontId="7" fillId="0" borderId="51" xfId="2" applyFont="1" applyBorder="1" applyProtection="1"/>
    <xf numFmtId="168" fontId="4" fillId="0" borderId="0" xfId="0" applyNumberFormat="1" applyFont="1" applyProtection="1"/>
    <xf numFmtId="164" fontId="4" fillId="0" borderId="0" xfId="0" quotePrefix="1" applyNumberFormat="1" applyFont="1" applyAlignment="1" applyProtection="1">
      <alignment horizontal="left"/>
    </xf>
    <xf numFmtId="164" fontId="4" fillId="0" borderId="0" xfId="0" applyNumberFormat="1" applyFont="1" applyAlignment="1" applyProtection="1">
      <alignment horizontal="left"/>
    </xf>
    <xf numFmtId="164" fontId="4" fillId="0" borderId="0" xfId="0" applyNumberFormat="1" applyFont="1" applyProtection="1"/>
    <xf numFmtId="168" fontId="10" fillId="0" borderId="0" xfId="0" applyNumberFormat="1" applyFont="1" applyProtection="1"/>
    <xf numFmtId="168" fontId="11" fillId="0" borderId="0" xfId="0" applyNumberFormat="1" applyFont="1" applyProtection="1"/>
    <xf numFmtId="164" fontId="12" fillId="0" borderId="0" xfId="0" applyNumberFormat="1" applyFont="1" applyAlignment="1" applyProtection="1">
      <alignment horizontal="right"/>
    </xf>
    <xf numFmtId="173" fontId="12" fillId="0" borderId="53" xfId="1" applyNumberFormat="1" applyFont="1" applyBorder="1" applyAlignment="1" applyProtection="1">
      <alignment horizontal="center"/>
    </xf>
    <xf numFmtId="164" fontId="12" fillId="0" borderId="0" xfId="0" applyNumberFormat="1" applyFont="1" applyProtection="1"/>
    <xf numFmtId="164" fontId="4" fillId="0" borderId="0" xfId="0" applyNumberFormat="1" applyFont="1" applyAlignment="1" applyProtection="1">
      <alignment horizontal="right"/>
    </xf>
    <xf numFmtId="44" fontId="7" fillId="0" borderId="0" xfId="2" applyFont="1"/>
    <xf numFmtId="44" fontId="4" fillId="0" borderId="0" xfId="2" applyFont="1" applyBorder="1"/>
    <xf numFmtId="44" fontId="7" fillId="0" borderId="0" xfId="0" applyNumberFormat="1" applyFont="1"/>
    <xf numFmtId="44" fontId="4" fillId="0" borderId="0" xfId="0" applyNumberFormat="1" applyFont="1" applyBorder="1"/>
    <xf numFmtId="37" fontId="4" fillId="0" borderId="0" xfId="0" applyNumberFormat="1" applyFont="1" applyAlignment="1" applyProtection="1">
      <alignment horizontal="left"/>
    </xf>
    <xf numFmtId="14" fontId="4" fillId="0" borderId="0" xfId="0" quotePrefix="1" applyNumberFormat="1" applyFont="1" applyAlignment="1" applyProtection="1">
      <alignment horizontal="left"/>
    </xf>
    <xf numFmtId="37" fontId="4" fillId="0" borderId="0" xfId="0" applyNumberFormat="1" applyFont="1" applyProtection="1"/>
    <xf numFmtId="37" fontId="4" fillId="0" borderId="0" xfId="0" quotePrefix="1" applyNumberFormat="1" applyFont="1" applyAlignment="1" applyProtection="1">
      <alignment horizontal="left"/>
    </xf>
    <xf numFmtId="0" fontId="4" fillId="0" borderId="0" xfId="0" applyFont="1" applyBorder="1"/>
    <xf numFmtId="168" fontId="4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4" fontId="7" fillId="0" borderId="0" xfId="0" applyNumberFormat="1" applyFont="1" applyBorder="1"/>
    <xf numFmtId="44" fontId="3" fillId="0" borderId="0" xfId="0" applyNumberFormat="1" applyFont="1" applyBorder="1"/>
    <xf numFmtId="44" fontId="14" fillId="0" borderId="0" xfId="0" applyNumberFormat="1" applyFont="1" applyBorder="1"/>
    <xf numFmtId="0" fontId="4" fillId="0" borderId="0" xfId="0" applyFont="1" applyAlignment="1">
      <alignment horizontal="right"/>
    </xf>
    <xf numFmtId="44" fontId="14" fillId="0" borderId="53" xfId="0" applyNumberFormat="1" applyFont="1" applyBorder="1"/>
    <xf numFmtId="164" fontId="3" fillId="0" borderId="0" xfId="0" applyNumberFormat="1" applyFont="1" applyAlignment="1" applyProtection="1">
      <alignment horizontal="right"/>
    </xf>
    <xf numFmtId="44" fontId="9" fillId="0" borderId="0" xfId="0" applyNumberFormat="1" applyFont="1" applyBorder="1"/>
    <xf numFmtId="164" fontId="15" fillId="0" borderId="0" xfId="0" applyNumberFormat="1" applyFont="1" applyAlignment="1" applyProtection="1">
      <alignment horizontal="right"/>
    </xf>
    <xf numFmtId="44" fontId="9" fillId="0" borderId="54" xfId="2" applyFont="1" applyBorder="1"/>
    <xf numFmtId="171" fontId="5" fillId="1" borderId="8" xfId="2" applyNumberFormat="1" applyFont="1" applyFill="1" applyBorder="1" applyAlignment="1" applyProtection="1">
      <alignment horizontal="center" vertical="center"/>
    </xf>
    <xf numFmtId="44" fontId="3" fillId="2" borderId="46" xfId="2" applyFont="1" applyFill="1" applyBorder="1" applyAlignment="1" applyProtection="1">
      <alignment horizontal="center" vertical="center"/>
    </xf>
    <xf numFmtId="0" fontId="4" fillId="0" borderId="55" xfId="0" applyFont="1" applyBorder="1"/>
    <xf numFmtId="164" fontId="4" fillId="2" borderId="0" xfId="0" applyNumberFormat="1" applyFont="1" applyFill="1" applyBorder="1" applyAlignment="1" applyProtection="1">
      <alignment horizontal="center"/>
    </xf>
    <xf numFmtId="164" fontId="3" fillId="0" borderId="56" xfId="0" applyNumberFormat="1" applyFont="1" applyBorder="1" applyAlignment="1" applyProtection="1">
      <alignment horizontal="center" vertical="center" wrapText="1"/>
    </xf>
    <xf numFmtId="192" fontId="7" fillId="0" borderId="13" xfId="0" applyNumberFormat="1" applyFont="1" applyBorder="1" applyAlignment="1" applyProtection="1">
      <alignment vertical="center"/>
    </xf>
    <xf numFmtId="44" fontId="3" fillId="2" borderId="0" xfId="2" applyFont="1" applyFill="1" applyBorder="1" applyAlignment="1" applyProtection="1">
      <alignment horizontal="center" vertical="center"/>
    </xf>
    <xf numFmtId="0" fontId="4" fillId="0" borderId="1" xfId="0" applyFont="1" applyBorder="1"/>
    <xf numFmtId="44" fontId="7" fillId="0" borderId="19" xfId="2" applyFont="1" applyBorder="1" applyAlignment="1" applyProtection="1">
      <alignment horizontal="center" vertical="center"/>
    </xf>
    <xf numFmtId="44" fontId="3" fillId="2" borderId="26" xfId="2" applyFont="1" applyFill="1" applyBorder="1" applyAlignment="1" applyProtection="1">
      <alignment horizontal="center" vertical="center"/>
    </xf>
    <xf numFmtId="0" fontId="4" fillId="0" borderId="57" xfId="0" applyFont="1" applyBorder="1"/>
    <xf numFmtId="193" fontId="7" fillId="0" borderId="20" xfId="0" applyNumberFormat="1" applyFont="1" applyBorder="1" applyAlignment="1" applyProtection="1">
      <alignment horizontal="center" vertical="center"/>
    </xf>
    <xf numFmtId="193" fontId="7" fillId="0" borderId="29" xfId="0" applyNumberFormat="1" applyFont="1" applyBorder="1" applyAlignment="1" applyProtection="1">
      <alignment horizontal="center" vertical="center"/>
    </xf>
    <xf numFmtId="0" fontId="3" fillId="0" borderId="5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1" fontId="7" fillId="0" borderId="19" xfId="2" applyNumberFormat="1" applyFont="1" applyBorder="1" applyAlignment="1" applyProtection="1">
      <alignment vertical="center"/>
    </xf>
    <xf numFmtId="171" fontId="3" fillId="1" borderId="58" xfId="2" applyNumberFormat="1" applyFont="1" applyFill="1" applyBorder="1" applyAlignment="1" applyProtection="1">
      <alignment horizontal="center" vertical="center"/>
    </xf>
    <xf numFmtId="194" fontId="7" fillId="0" borderId="20" xfId="0" applyNumberFormat="1" applyFont="1" applyBorder="1" applyAlignment="1" applyProtection="1">
      <alignment horizontal="center" vertical="center"/>
    </xf>
    <xf numFmtId="44" fontId="3" fillId="2" borderId="59" xfId="2" applyFont="1" applyFill="1" applyBorder="1" applyAlignment="1" applyProtection="1">
      <alignment horizontal="center" vertical="center"/>
    </xf>
    <xf numFmtId="44" fontId="3" fillId="2" borderId="14" xfId="2" applyFont="1" applyFill="1" applyBorder="1" applyAlignment="1" applyProtection="1">
      <alignment horizontal="center" vertical="center"/>
    </xf>
    <xf numFmtId="43" fontId="7" fillId="0" borderId="50" xfId="2" applyNumberFormat="1" applyFont="1" applyFill="1" applyBorder="1" applyProtection="1"/>
    <xf numFmtId="44" fontId="7" fillId="0" borderId="19" xfId="2" applyNumberFormat="1" applyFont="1" applyBorder="1" applyAlignment="1" applyProtection="1">
      <alignment vertical="center"/>
    </xf>
    <xf numFmtId="194" fontId="7" fillId="0" borderId="18" xfId="2" applyNumberFormat="1" applyFont="1" applyBorder="1" applyAlignment="1" applyProtection="1">
      <alignment vertical="center"/>
    </xf>
    <xf numFmtId="44" fontId="7" fillId="0" borderId="18" xfId="2" applyNumberFormat="1" applyFont="1" applyBorder="1" applyAlignment="1" applyProtection="1">
      <alignment vertical="center"/>
    </xf>
    <xf numFmtId="194" fontId="13" fillId="0" borderId="0" xfId="0" applyNumberFormat="1" applyFont="1" applyProtection="1"/>
    <xf numFmtId="181" fontId="13" fillId="0" borderId="0" xfId="2" applyNumberFormat="1" applyFont="1" applyProtection="1"/>
    <xf numFmtId="189" fontId="22" fillId="0" borderId="76" xfId="0" quotePrefix="1" applyNumberFormat="1" applyFont="1" applyBorder="1" applyAlignment="1" applyProtection="1">
      <alignment horizontal="center" vertical="center" wrapText="1"/>
    </xf>
    <xf numFmtId="189" fontId="22" fillId="0" borderId="2" xfId="0" quotePrefix="1" applyNumberFormat="1" applyFont="1" applyBorder="1" applyAlignment="1" applyProtection="1">
      <alignment horizontal="center" vertical="center" wrapText="1"/>
    </xf>
    <xf numFmtId="189" fontId="22" fillId="0" borderId="39" xfId="0" quotePrefix="1" applyNumberFormat="1" applyFont="1" applyBorder="1" applyAlignment="1" applyProtection="1">
      <alignment horizontal="center" vertical="center" wrapText="1"/>
    </xf>
    <xf numFmtId="164" fontId="3" fillId="0" borderId="83" xfId="0" applyNumberFormat="1" applyFont="1" applyBorder="1" applyAlignment="1" applyProtection="1">
      <alignment horizontal="center" vertical="center" wrapText="1"/>
    </xf>
    <xf numFmtId="164" fontId="3" fillId="0" borderId="41" xfId="0" applyNumberFormat="1" applyFont="1" applyBorder="1" applyAlignment="1" applyProtection="1">
      <alignment horizontal="center" vertical="center" wrapText="1"/>
    </xf>
    <xf numFmtId="164" fontId="3" fillId="0" borderId="84" xfId="0" applyNumberFormat="1" applyFont="1" applyBorder="1" applyAlignment="1" applyProtection="1">
      <alignment horizontal="center" vertical="center" wrapText="1"/>
    </xf>
    <xf numFmtId="164" fontId="3" fillId="0" borderId="70" xfId="0" applyNumberFormat="1" applyFont="1" applyFill="1" applyBorder="1" applyAlignment="1" applyProtection="1">
      <alignment horizontal="center" vertical="center" wrapText="1"/>
    </xf>
    <xf numFmtId="164" fontId="3" fillId="0" borderId="69" xfId="0" applyNumberFormat="1" applyFont="1" applyFill="1" applyBorder="1" applyAlignment="1" applyProtection="1">
      <alignment horizontal="center" vertical="center" wrapText="1"/>
    </xf>
    <xf numFmtId="164" fontId="3" fillId="0" borderId="58" xfId="0" applyNumberFormat="1" applyFont="1" applyFill="1" applyBorder="1" applyAlignment="1" applyProtection="1">
      <alignment horizontal="center" vertical="center" wrapText="1"/>
    </xf>
    <xf numFmtId="190" fontId="2" fillId="2" borderId="0" xfId="0" applyNumberFormat="1" applyFont="1" applyFill="1" applyBorder="1" applyAlignment="1" applyProtection="1">
      <alignment horizontal="center"/>
    </xf>
    <xf numFmtId="168" fontId="2" fillId="2" borderId="0" xfId="0" quotePrefix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 applyProtection="1">
      <alignment horizontal="center" vertical="center" wrapText="1"/>
    </xf>
    <xf numFmtId="164" fontId="3" fillId="2" borderId="43" xfId="0" applyNumberFormat="1" applyFont="1" applyFill="1" applyBorder="1" applyAlignment="1" applyProtection="1">
      <alignment horizontal="center" vertical="center" wrapText="1"/>
    </xf>
    <xf numFmtId="164" fontId="3" fillId="0" borderId="4" xfId="0" applyNumberFormat="1" applyFont="1" applyBorder="1" applyAlignment="1" applyProtection="1">
      <alignment horizontal="center" vertical="center" wrapText="1"/>
    </xf>
    <xf numFmtId="164" fontId="3" fillId="0" borderId="1" xfId="0" applyNumberFormat="1" applyFont="1" applyBorder="1" applyAlignment="1" applyProtection="1">
      <alignment horizontal="center" vertical="center" wrapText="1"/>
    </xf>
    <xf numFmtId="164" fontId="3" fillId="0" borderId="7" xfId="0" applyNumberFormat="1" applyFont="1" applyBorder="1" applyAlignment="1" applyProtection="1">
      <alignment horizontal="center" vertical="center" wrapText="1"/>
    </xf>
    <xf numFmtId="164" fontId="3" fillId="0" borderId="0" xfId="0" applyNumberFormat="1" applyFont="1" applyBorder="1" applyAlignment="1" applyProtection="1">
      <alignment horizontal="center" vertical="center" wrapText="1"/>
    </xf>
    <xf numFmtId="164" fontId="3" fillId="0" borderId="43" xfId="0" applyNumberFormat="1" applyFont="1" applyBorder="1" applyAlignment="1" applyProtection="1">
      <alignment horizontal="center" vertical="center" wrapText="1"/>
    </xf>
    <xf numFmtId="164" fontId="3" fillId="2" borderId="2" xfId="0" applyNumberFormat="1" applyFont="1" applyFill="1" applyBorder="1" applyAlignment="1" applyProtection="1">
      <alignment horizontal="center" vertical="center"/>
    </xf>
    <xf numFmtId="164" fontId="3" fillId="2" borderId="0" xfId="0" applyNumberFormat="1" applyFont="1" applyFill="1" applyBorder="1" applyAlignment="1" applyProtection="1">
      <alignment horizontal="center" vertical="center"/>
    </xf>
    <xf numFmtId="164" fontId="3" fillId="2" borderId="43" xfId="0" applyNumberFormat="1" applyFont="1" applyFill="1" applyBorder="1" applyAlignment="1" applyProtection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3" fillId="0" borderId="81" xfId="0" applyNumberFormat="1" applyFont="1" applyBorder="1" applyAlignment="1" applyProtection="1">
      <alignment horizontal="center" vertical="center"/>
    </xf>
    <xf numFmtId="164" fontId="3" fillId="0" borderId="82" xfId="0" applyNumberFormat="1" applyFont="1" applyBorder="1" applyAlignment="1" applyProtection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2" xfId="0" applyNumberFormat="1" applyFont="1" applyBorder="1" applyAlignment="1" applyProtection="1">
      <alignment horizontal="center" vertical="center"/>
    </xf>
    <xf numFmtId="164" fontId="3" fillId="0" borderId="1" xfId="0" applyNumberFormat="1" applyFont="1" applyBorder="1" applyAlignment="1" applyProtection="1">
      <alignment horizontal="center" vertical="center"/>
    </xf>
    <xf numFmtId="164" fontId="3" fillId="0" borderId="10" xfId="0" applyNumberFormat="1" applyFont="1" applyBorder="1" applyAlignment="1" applyProtection="1">
      <alignment horizontal="center" vertical="center"/>
    </xf>
    <xf numFmtId="164" fontId="4" fillId="0" borderId="43" xfId="0" applyNumberFormat="1" applyFont="1" applyBorder="1" applyAlignment="1" applyProtection="1">
      <alignment horizontal="center" vertical="center" wrapText="1"/>
    </xf>
    <xf numFmtId="164" fontId="4" fillId="0" borderId="78" xfId="0" applyNumberFormat="1" applyFont="1" applyBorder="1" applyAlignment="1" applyProtection="1">
      <alignment horizontal="center" vertical="center" wrapText="1"/>
    </xf>
    <xf numFmtId="164" fontId="23" fillId="0" borderId="77" xfId="0" applyNumberFormat="1" applyFont="1" applyBorder="1" applyAlignment="1" applyProtection="1">
      <alignment horizontal="center" vertical="center" wrapText="1"/>
    </xf>
    <xf numFmtId="164" fontId="23" fillId="0" borderId="43" xfId="0" applyNumberFormat="1" applyFont="1" applyBorder="1" applyAlignment="1" applyProtection="1">
      <alignment horizontal="center" vertical="center" wrapText="1"/>
    </xf>
    <xf numFmtId="164" fontId="23" fillId="0" borderId="78" xfId="0" applyNumberFormat="1" applyFont="1" applyBorder="1" applyAlignment="1" applyProtection="1">
      <alignment horizontal="center" vertical="center" wrapText="1"/>
    </xf>
    <xf numFmtId="37" fontId="7" fillId="0" borderId="63" xfId="0" applyNumberFormat="1" applyFont="1" applyBorder="1" applyAlignment="1" applyProtection="1">
      <alignment horizontal="center" vertical="center"/>
    </xf>
    <xf numFmtId="37" fontId="7" fillId="0" borderId="64" xfId="0" applyNumberFormat="1" applyFont="1" applyBorder="1" applyAlignment="1" applyProtection="1">
      <alignment horizontal="center" vertical="center"/>
    </xf>
    <xf numFmtId="164" fontId="5" fillId="0" borderId="70" xfId="0" quotePrefix="1" applyNumberFormat="1" applyFont="1" applyFill="1" applyBorder="1" applyAlignment="1" applyProtection="1">
      <alignment horizontal="center" vertical="center" wrapText="1"/>
    </xf>
    <xf numFmtId="164" fontId="5" fillId="0" borderId="69" xfId="0" quotePrefix="1" applyNumberFormat="1" applyFont="1" applyFill="1" applyBorder="1" applyAlignment="1" applyProtection="1">
      <alignment horizontal="center" vertical="center" wrapText="1"/>
    </xf>
    <xf numFmtId="164" fontId="5" fillId="0" borderId="58" xfId="0" quotePrefix="1" applyNumberFormat="1" applyFont="1" applyFill="1" applyBorder="1" applyAlignment="1" applyProtection="1">
      <alignment horizontal="center" vertical="center" wrapText="1"/>
    </xf>
    <xf numFmtId="164" fontId="5" fillId="0" borderId="76" xfId="0" quotePrefix="1" applyNumberFormat="1" applyFont="1" applyBorder="1" applyAlignment="1" applyProtection="1">
      <alignment horizontal="center" vertical="center" wrapText="1"/>
    </xf>
    <xf numFmtId="164" fontId="5" fillId="0" borderId="77" xfId="0" quotePrefix="1" applyNumberFormat="1" applyFont="1" applyBorder="1" applyAlignment="1" applyProtection="1">
      <alignment horizontal="center" vertical="center" wrapText="1"/>
    </xf>
    <xf numFmtId="164" fontId="5" fillId="0" borderId="2" xfId="0" quotePrefix="1" applyNumberFormat="1" applyFont="1" applyBorder="1" applyAlignment="1" applyProtection="1">
      <alignment horizontal="center" vertical="center" wrapText="1"/>
    </xf>
    <xf numFmtId="164" fontId="5" fillId="0" borderId="43" xfId="0" quotePrefix="1" applyNumberFormat="1" applyFont="1" applyBorder="1" applyAlignment="1" applyProtection="1">
      <alignment horizontal="center" vertical="center" wrapText="1"/>
    </xf>
    <xf numFmtId="164" fontId="5" fillId="0" borderId="39" xfId="0" quotePrefix="1" applyNumberFormat="1" applyFont="1" applyBorder="1" applyAlignment="1" applyProtection="1">
      <alignment horizontal="center" vertical="center" wrapText="1"/>
    </xf>
    <xf numFmtId="164" fontId="5" fillId="0" borderId="78" xfId="0" quotePrefix="1" applyNumberFormat="1" applyFont="1" applyBorder="1" applyAlignment="1" applyProtection="1">
      <alignment horizontal="center" vertical="center" wrapText="1"/>
    </xf>
    <xf numFmtId="164" fontId="5" fillId="0" borderId="70" xfId="0" applyNumberFormat="1" applyFont="1" applyFill="1" applyBorder="1" applyAlignment="1" applyProtection="1">
      <alignment horizontal="center" vertical="center" wrapText="1"/>
    </xf>
    <xf numFmtId="0" fontId="5" fillId="0" borderId="69" xfId="0" applyFont="1" applyFill="1" applyBorder="1" applyAlignment="1">
      <alignment vertical="center" wrapText="1"/>
    </xf>
    <xf numFmtId="0" fontId="5" fillId="0" borderId="58" xfId="0" applyFont="1" applyFill="1" applyBorder="1" applyAlignment="1">
      <alignment vertical="center" wrapText="1"/>
    </xf>
    <xf numFmtId="164" fontId="4" fillId="0" borderId="79" xfId="0" applyNumberFormat="1" applyFont="1" applyBorder="1" applyAlignment="1" applyProtection="1">
      <alignment horizontal="center" vertical="center" wrapText="1"/>
    </xf>
    <xf numFmtId="164" fontId="4" fillId="0" borderId="80" xfId="0" applyNumberFormat="1" applyFont="1" applyBorder="1" applyAlignment="1" applyProtection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58" xfId="0" applyFont="1" applyBorder="1" applyAlignment="1">
      <alignment horizontal="center" vertical="center" wrapText="1"/>
    </xf>
    <xf numFmtId="170" fontId="5" fillId="2" borderId="69" xfId="2" applyNumberFormat="1" applyFont="1" applyFill="1" applyBorder="1" applyAlignment="1" applyProtection="1">
      <alignment horizontal="center" vertical="center" wrapText="1"/>
    </xf>
    <xf numFmtId="170" fontId="5" fillId="2" borderId="58" xfId="2" applyNumberFormat="1" applyFont="1" applyFill="1" applyBorder="1" applyAlignment="1" applyProtection="1">
      <alignment horizontal="center" vertical="center" wrapText="1"/>
    </xf>
    <xf numFmtId="44" fontId="3" fillId="2" borderId="70" xfId="2" applyFont="1" applyFill="1" applyBorder="1" applyAlignment="1" applyProtection="1">
      <alignment horizontal="center" vertical="center" wrapText="1"/>
    </xf>
    <xf numFmtId="44" fontId="3" fillId="2" borderId="69" xfId="2" applyFont="1" applyFill="1" applyBorder="1" applyAlignment="1" applyProtection="1">
      <alignment horizontal="center" vertical="center" wrapText="1"/>
    </xf>
    <xf numFmtId="37" fontId="7" fillId="0" borderId="71" xfId="0" applyNumberFormat="1" applyFont="1" applyBorder="1" applyAlignment="1" applyProtection="1">
      <alignment horizontal="center" vertical="center"/>
    </xf>
    <xf numFmtId="37" fontId="7" fillId="0" borderId="72" xfId="0" applyNumberFormat="1" applyFont="1" applyBorder="1" applyAlignment="1" applyProtection="1">
      <alignment horizontal="center" vertical="center"/>
    </xf>
    <xf numFmtId="0" fontId="4" fillId="0" borderId="2" xfId="0" applyFont="1" applyBorder="1"/>
    <xf numFmtId="44" fontId="3" fillId="2" borderId="73" xfId="2" applyFont="1" applyFill="1" applyBorder="1" applyAlignment="1" applyProtection="1">
      <alignment horizontal="center" vertical="center"/>
    </xf>
    <xf numFmtId="44" fontId="3" fillId="2" borderId="74" xfId="2" applyFont="1" applyFill="1" applyBorder="1" applyAlignment="1" applyProtection="1">
      <alignment horizontal="center" vertical="center"/>
    </xf>
    <xf numFmtId="37" fontId="7" fillId="0" borderId="75" xfId="0" applyNumberFormat="1" applyFont="1" applyBorder="1" applyAlignment="1" applyProtection="1">
      <alignment horizontal="center" vertical="center"/>
    </xf>
    <xf numFmtId="37" fontId="7" fillId="0" borderId="27" xfId="0" applyNumberFormat="1" applyFont="1" applyBorder="1" applyAlignment="1" applyProtection="1">
      <alignment horizontal="center" vertical="center"/>
    </xf>
    <xf numFmtId="37" fontId="7" fillId="0" borderId="13" xfId="0" applyNumberFormat="1" applyFont="1" applyBorder="1" applyAlignment="1" applyProtection="1">
      <alignment horizontal="center" vertical="center"/>
    </xf>
    <xf numFmtId="37" fontId="7" fillId="0" borderId="60" xfId="0" applyNumberFormat="1" applyFont="1" applyBorder="1" applyAlignment="1" applyProtection="1">
      <alignment horizontal="center" vertical="center"/>
    </xf>
    <xf numFmtId="164" fontId="7" fillId="4" borderId="65" xfId="0" applyNumberFormat="1" applyFont="1" applyFill="1" applyBorder="1" applyAlignment="1" applyProtection="1">
      <alignment horizontal="center"/>
    </xf>
    <xf numFmtId="164" fontId="7" fillId="4" borderId="52" xfId="0" applyNumberFormat="1" applyFont="1" applyFill="1" applyBorder="1" applyAlignment="1" applyProtection="1">
      <alignment horizontal="center"/>
    </xf>
    <xf numFmtId="164" fontId="7" fillId="3" borderId="66" xfId="0" applyNumberFormat="1" applyFont="1" applyFill="1" applyBorder="1" applyAlignment="1" applyProtection="1">
      <alignment horizontal="center"/>
    </xf>
    <xf numFmtId="164" fontId="7" fillId="3" borderId="67" xfId="0" applyNumberFormat="1" applyFont="1" applyFill="1" applyBorder="1" applyAlignment="1" applyProtection="1">
      <alignment horizontal="center"/>
    </xf>
    <xf numFmtId="37" fontId="7" fillId="0" borderId="68" xfId="0" applyNumberFormat="1" applyFont="1" applyBorder="1" applyAlignment="1" applyProtection="1">
      <alignment horizontal="center" vertical="center"/>
    </xf>
    <xf numFmtId="37" fontId="7" fillId="0" borderId="62" xfId="0" applyNumberFormat="1" applyFont="1" applyBorder="1" applyAlignment="1" applyProtection="1">
      <alignment horizontal="center" vertical="center"/>
    </xf>
    <xf numFmtId="37" fontId="7" fillId="0" borderId="61" xfId="0" applyNumberFormat="1" applyFont="1" applyBorder="1" applyAlignment="1" applyProtection="1">
      <alignment horizontal="center" vertical="center"/>
    </xf>
    <xf numFmtId="166" fontId="2" fillId="2" borderId="0" xfId="0" applyNumberFormat="1" applyFont="1" applyFill="1" applyBorder="1" applyAlignment="1" applyProtection="1">
      <alignment horizontal="center"/>
    </xf>
    <xf numFmtId="164" fontId="4" fillId="0" borderId="77" xfId="0" applyNumberFormat="1" applyFont="1" applyBorder="1" applyAlignment="1" applyProtection="1">
      <alignment horizontal="center" vertical="center" wrapText="1"/>
    </xf>
    <xf numFmtId="164" fontId="3" fillId="0" borderId="70" xfId="0" quotePrefix="1" applyNumberFormat="1" applyFont="1" applyFill="1" applyBorder="1" applyAlignment="1" applyProtection="1">
      <alignment horizontal="center" vertical="center" wrapText="1"/>
    </xf>
    <xf numFmtId="164" fontId="3" fillId="0" borderId="69" xfId="0" quotePrefix="1" applyNumberFormat="1" applyFont="1" applyFill="1" applyBorder="1" applyAlignment="1" applyProtection="1">
      <alignment horizontal="center" vertical="center" wrapText="1"/>
    </xf>
    <xf numFmtId="164" fontId="3" fillId="0" borderId="58" xfId="0" quotePrefix="1" applyNumberFormat="1" applyFont="1" applyFill="1" applyBorder="1" applyAlignment="1" applyProtection="1">
      <alignment horizontal="center" vertical="center" wrapText="1"/>
    </xf>
    <xf numFmtId="164" fontId="3" fillId="0" borderId="76" xfId="0" quotePrefix="1" applyNumberFormat="1" applyFont="1" applyBorder="1" applyAlignment="1" applyProtection="1">
      <alignment horizontal="center" vertical="center" wrapText="1"/>
    </xf>
    <xf numFmtId="164" fontId="3" fillId="0" borderId="77" xfId="0" quotePrefix="1" applyNumberFormat="1" applyFont="1" applyBorder="1" applyAlignment="1" applyProtection="1">
      <alignment horizontal="center" vertical="center" wrapText="1"/>
    </xf>
    <xf numFmtId="164" fontId="3" fillId="0" borderId="2" xfId="0" quotePrefix="1" applyNumberFormat="1" applyFont="1" applyBorder="1" applyAlignment="1" applyProtection="1">
      <alignment horizontal="center" vertical="center" wrapText="1"/>
    </xf>
    <xf numFmtId="164" fontId="3" fillId="0" borderId="43" xfId="0" quotePrefix="1" applyNumberFormat="1" applyFont="1" applyBorder="1" applyAlignment="1" applyProtection="1">
      <alignment horizontal="center" vertical="center" wrapText="1"/>
    </xf>
    <xf numFmtId="164" fontId="3" fillId="0" borderId="39" xfId="0" quotePrefix="1" applyNumberFormat="1" applyFont="1" applyBorder="1" applyAlignment="1" applyProtection="1">
      <alignment horizontal="center" vertical="center" wrapText="1"/>
    </xf>
    <xf numFmtId="164" fontId="3" fillId="0" borderId="78" xfId="0" quotePrefix="1" applyNumberFormat="1" applyFont="1" applyBorder="1" applyAlignment="1" applyProtection="1">
      <alignment horizontal="center" vertical="center" wrapText="1"/>
    </xf>
    <xf numFmtId="0" fontId="3" fillId="0" borderId="69" xfId="0" applyFont="1" applyFill="1" applyBorder="1" applyAlignment="1">
      <alignment vertical="center" wrapText="1"/>
    </xf>
    <xf numFmtId="0" fontId="3" fillId="0" borderId="58" xfId="0" applyFont="1" applyFill="1" applyBorder="1" applyAlignment="1">
      <alignment vertical="center" wrapText="1"/>
    </xf>
    <xf numFmtId="170" fontId="3" fillId="2" borderId="69" xfId="2" applyNumberFormat="1" applyFont="1" applyFill="1" applyBorder="1" applyAlignment="1" applyProtection="1">
      <alignment horizontal="center" vertical="center" wrapText="1"/>
    </xf>
    <xf numFmtId="170" fontId="3" fillId="2" borderId="58" xfId="2" applyNumberFormat="1" applyFont="1" applyFill="1" applyBorder="1" applyAlignment="1" applyProtection="1">
      <alignment horizontal="center" vertical="center" wrapText="1"/>
    </xf>
    <xf numFmtId="44" fontId="3" fillId="2" borderId="85" xfId="2" applyFont="1" applyFill="1" applyBorder="1" applyAlignment="1" applyProtection="1">
      <alignment horizontal="center" vertic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2054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2059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2060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40</xdr:row>
      <xdr:rowOff>38100</xdr:rowOff>
    </xdr:from>
    <xdr:to>
      <xdr:col>0</xdr:col>
      <xdr:colOff>716280</xdr:colOff>
      <xdr:row>40</xdr:row>
      <xdr:rowOff>228600</xdr:rowOff>
    </xdr:to>
    <xdr:sp macro="" textlink="">
      <xdr:nvSpPr>
        <xdr:cNvPr id="3078" name="AutoShape 6"/>
        <xdr:cNvSpPr>
          <a:spLocks noChangeArrowheads="1"/>
        </xdr:cNvSpPr>
      </xdr:nvSpPr>
      <xdr:spPr bwMode="auto">
        <a:xfrm>
          <a:off x="91440" y="986028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51</xdr:row>
      <xdr:rowOff>152400</xdr:rowOff>
    </xdr:from>
    <xdr:to>
      <xdr:col>14</xdr:col>
      <xdr:colOff>449580</xdr:colOff>
      <xdr:row>51</xdr:row>
      <xdr:rowOff>152400</xdr:rowOff>
    </xdr:to>
    <xdr:sp macro="" textlink="">
      <xdr:nvSpPr>
        <xdr:cNvPr id="3082" name="Line 10"/>
        <xdr:cNvSpPr>
          <a:spLocks noChangeShapeType="1"/>
        </xdr:cNvSpPr>
      </xdr:nvSpPr>
      <xdr:spPr bwMode="auto">
        <a:xfrm>
          <a:off x="13167360" y="1290828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50</xdr:row>
      <xdr:rowOff>175260</xdr:rowOff>
    </xdr:from>
    <xdr:to>
      <xdr:col>14</xdr:col>
      <xdr:colOff>449580</xdr:colOff>
      <xdr:row>50</xdr:row>
      <xdr:rowOff>175260</xdr:rowOff>
    </xdr:to>
    <xdr:sp macro="" textlink="">
      <xdr:nvSpPr>
        <xdr:cNvPr id="3083" name="Line 11"/>
        <xdr:cNvSpPr>
          <a:spLocks noChangeShapeType="1"/>
        </xdr:cNvSpPr>
      </xdr:nvSpPr>
      <xdr:spPr bwMode="auto">
        <a:xfrm>
          <a:off x="13159740" y="1266444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52</xdr:row>
      <xdr:rowOff>129540</xdr:rowOff>
    </xdr:from>
    <xdr:to>
      <xdr:col>14</xdr:col>
      <xdr:colOff>449580</xdr:colOff>
      <xdr:row>52</xdr:row>
      <xdr:rowOff>129540</xdr:rowOff>
    </xdr:to>
    <xdr:sp macro="" textlink="">
      <xdr:nvSpPr>
        <xdr:cNvPr id="3084" name="Line 12"/>
        <xdr:cNvSpPr>
          <a:spLocks noChangeShapeType="1"/>
        </xdr:cNvSpPr>
      </xdr:nvSpPr>
      <xdr:spPr bwMode="auto">
        <a:xfrm flipV="1">
          <a:off x="13167360" y="1315212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525780</xdr:colOff>
      <xdr:row>39</xdr:row>
      <xdr:rowOff>38100</xdr:rowOff>
    </xdr:from>
    <xdr:to>
      <xdr:col>14</xdr:col>
      <xdr:colOff>769620</xdr:colOff>
      <xdr:row>53</xdr:row>
      <xdr:rowOff>236220</xdr:rowOff>
    </xdr:to>
    <xdr:sp macro="" textlink="">
      <xdr:nvSpPr>
        <xdr:cNvPr id="3085" name="Text Box 13"/>
        <xdr:cNvSpPr txBox="1">
          <a:spLocks noChangeArrowheads="1"/>
        </xdr:cNvSpPr>
      </xdr:nvSpPr>
      <xdr:spPr bwMode="auto">
        <a:xfrm>
          <a:off x="11300460" y="9593580"/>
          <a:ext cx="2567940" cy="3878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815340</xdr:colOff>
      <xdr:row>39</xdr:row>
      <xdr:rowOff>38100</xdr:rowOff>
    </xdr:from>
    <xdr:to>
      <xdr:col>16</xdr:col>
      <xdr:colOff>1112520</xdr:colOff>
      <xdr:row>53</xdr:row>
      <xdr:rowOff>220980</xdr:rowOff>
    </xdr:to>
    <xdr:sp macro="" textlink="">
      <xdr:nvSpPr>
        <xdr:cNvPr id="3086" name="Text Box 14"/>
        <xdr:cNvSpPr txBox="1">
          <a:spLocks noChangeArrowheads="1"/>
        </xdr:cNvSpPr>
      </xdr:nvSpPr>
      <xdr:spPr bwMode="auto">
        <a:xfrm>
          <a:off x="13914120" y="9593580"/>
          <a:ext cx="2606040" cy="3863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4102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4106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4107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4108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541020</xdr:colOff>
      <xdr:row>58</xdr:row>
      <xdr:rowOff>106680</xdr:rowOff>
    </xdr:from>
    <xdr:to>
      <xdr:col>14</xdr:col>
      <xdr:colOff>784860</xdr:colOff>
      <xdr:row>77</xdr:row>
      <xdr:rowOff>0</xdr:rowOff>
    </xdr:to>
    <xdr:sp macro="" textlink="">
      <xdr:nvSpPr>
        <xdr:cNvPr id="4109" name="Text Box 13"/>
        <xdr:cNvSpPr txBox="1">
          <a:spLocks noChangeArrowheads="1"/>
        </xdr:cNvSpPr>
      </xdr:nvSpPr>
      <xdr:spPr bwMode="auto">
        <a:xfrm>
          <a:off x="11315700" y="14546580"/>
          <a:ext cx="256794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1264920</xdr:colOff>
      <xdr:row>58</xdr:row>
      <xdr:rowOff>129540</xdr:rowOff>
    </xdr:from>
    <xdr:to>
      <xdr:col>17</xdr:col>
      <xdr:colOff>403860</xdr:colOff>
      <xdr:row>77</xdr:row>
      <xdr:rowOff>0</xdr:rowOff>
    </xdr:to>
    <xdr:sp macro="" textlink="">
      <xdr:nvSpPr>
        <xdr:cNvPr id="4110" name="Text Box 14"/>
        <xdr:cNvSpPr txBox="1">
          <a:spLocks noChangeArrowheads="1"/>
        </xdr:cNvSpPr>
      </xdr:nvSpPr>
      <xdr:spPr bwMode="auto">
        <a:xfrm>
          <a:off x="14363700" y="1456944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4114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41</xdr:row>
      <xdr:rowOff>38100</xdr:rowOff>
    </xdr:from>
    <xdr:to>
      <xdr:col>0</xdr:col>
      <xdr:colOff>716280</xdr:colOff>
      <xdr:row>41</xdr:row>
      <xdr:rowOff>228600</xdr:rowOff>
    </xdr:to>
    <xdr:sp macro="" textlink="">
      <xdr:nvSpPr>
        <xdr:cNvPr id="5126" name="AutoShape 6"/>
        <xdr:cNvSpPr>
          <a:spLocks noChangeArrowheads="1"/>
        </xdr:cNvSpPr>
      </xdr:nvSpPr>
      <xdr:spPr bwMode="auto">
        <a:xfrm>
          <a:off x="91440" y="1011174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68580</xdr:colOff>
      <xdr:row>54</xdr:row>
      <xdr:rowOff>152400</xdr:rowOff>
    </xdr:from>
    <xdr:to>
      <xdr:col>17</xdr:col>
      <xdr:colOff>449580</xdr:colOff>
      <xdr:row>54</xdr:row>
      <xdr:rowOff>152400</xdr:rowOff>
    </xdr:to>
    <xdr:sp macro="" textlink="">
      <xdr:nvSpPr>
        <xdr:cNvPr id="5130" name="Line 10"/>
        <xdr:cNvSpPr>
          <a:spLocks noChangeShapeType="1"/>
        </xdr:cNvSpPr>
      </xdr:nvSpPr>
      <xdr:spPr bwMode="auto">
        <a:xfrm>
          <a:off x="16482060" y="136931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60960</xdr:colOff>
      <xdr:row>53</xdr:row>
      <xdr:rowOff>175260</xdr:rowOff>
    </xdr:from>
    <xdr:to>
      <xdr:col>17</xdr:col>
      <xdr:colOff>449580</xdr:colOff>
      <xdr:row>53</xdr:row>
      <xdr:rowOff>175260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>
          <a:off x="16474440" y="1344930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68580</xdr:colOff>
      <xdr:row>55</xdr:row>
      <xdr:rowOff>129540</xdr:rowOff>
    </xdr:from>
    <xdr:to>
      <xdr:col>17</xdr:col>
      <xdr:colOff>449580</xdr:colOff>
      <xdr:row>55</xdr:row>
      <xdr:rowOff>129540</xdr:rowOff>
    </xdr:to>
    <xdr:sp macro="" textlink="">
      <xdr:nvSpPr>
        <xdr:cNvPr id="5132" name="Line 12"/>
        <xdr:cNvSpPr>
          <a:spLocks noChangeShapeType="1"/>
        </xdr:cNvSpPr>
      </xdr:nvSpPr>
      <xdr:spPr bwMode="auto">
        <a:xfrm flipV="1">
          <a:off x="16482060" y="1393698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144780</xdr:colOff>
      <xdr:row>59</xdr:row>
      <xdr:rowOff>30480</xdr:rowOff>
    </xdr:from>
    <xdr:to>
      <xdr:col>16</xdr:col>
      <xdr:colOff>541020</xdr:colOff>
      <xdr:row>77</xdr:row>
      <xdr:rowOff>137160</xdr:rowOff>
    </xdr:to>
    <xdr:sp macro="" textlink="">
      <xdr:nvSpPr>
        <xdr:cNvPr id="5133" name="Text Box 13"/>
        <xdr:cNvSpPr txBox="1">
          <a:spLocks noChangeArrowheads="1"/>
        </xdr:cNvSpPr>
      </xdr:nvSpPr>
      <xdr:spPr bwMode="auto">
        <a:xfrm>
          <a:off x="10896600" y="14752320"/>
          <a:ext cx="489966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17</xdr:col>
      <xdr:colOff>281940</xdr:colOff>
      <xdr:row>59</xdr:row>
      <xdr:rowOff>106680</xdr:rowOff>
    </xdr:from>
    <xdr:to>
      <xdr:col>19</xdr:col>
      <xdr:colOff>579120</xdr:colOff>
      <xdr:row>77</xdr:row>
      <xdr:rowOff>190500</xdr:rowOff>
    </xdr:to>
    <xdr:sp macro="" textlink="">
      <xdr:nvSpPr>
        <xdr:cNvPr id="5134" name="Text Box 14"/>
        <xdr:cNvSpPr txBox="1">
          <a:spLocks noChangeArrowheads="1"/>
        </xdr:cNvSpPr>
      </xdr:nvSpPr>
      <xdr:spPr bwMode="auto">
        <a:xfrm>
          <a:off x="16695420" y="1482852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21</xdr:col>
      <xdr:colOff>701040</xdr:colOff>
      <xdr:row>1</xdr:row>
      <xdr:rowOff>175260</xdr:rowOff>
    </xdr:from>
    <xdr:to>
      <xdr:col>32</xdr:col>
      <xdr:colOff>617220</xdr:colOff>
      <xdr:row>6</xdr:row>
      <xdr:rowOff>167640</xdr:rowOff>
    </xdr:to>
    <xdr:sp macro="" textlink="">
      <xdr:nvSpPr>
        <xdr:cNvPr id="5138" name="Rectangle 18"/>
        <xdr:cNvSpPr>
          <a:spLocks noChangeArrowheads="1"/>
        </xdr:cNvSpPr>
      </xdr:nvSpPr>
      <xdr:spPr bwMode="auto">
        <a:xfrm>
          <a:off x="22288500" y="464820"/>
          <a:ext cx="810006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7174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68580</xdr:colOff>
      <xdr:row>55</xdr:row>
      <xdr:rowOff>152400</xdr:rowOff>
    </xdr:from>
    <xdr:to>
      <xdr:col>21</xdr:col>
      <xdr:colOff>449580</xdr:colOff>
      <xdr:row>55</xdr:row>
      <xdr:rowOff>152400</xdr:rowOff>
    </xdr:to>
    <xdr:sp macro="" textlink="">
      <xdr:nvSpPr>
        <xdr:cNvPr id="7177" name="Line 9"/>
        <xdr:cNvSpPr>
          <a:spLocks noChangeShapeType="1"/>
        </xdr:cNvSpPr>
      </xdr:nvSpPr>
      <xdr:spPr bwMode="auto">
        <a:xfrm>
          <a:off x="20916900" y="139446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60960</xdr:colOff>
      <xdr:row>54</xdr:row>
      <xdr:rowOff>175260</xdr:rowOff>
    </xdr:from>
    <xdr:to>
      <xdr:col>21</xdr:col>
      <xdr:colOff>449580</xdr:colOff>
      <xdr:row>54</xdr:row>
      <xdr:rowOff>175260</xdr:rowOff>
    </xdr:to>
    <xdr:sp macro="" textlink="">
      <xdr:nvSpPr>
        <xdr:cNvPr id="7178" name="Line 10"/>
        <xdr:cNvSpPr>
          <a:spLocks noChangeShapeType="1"/>
        </xdr:cNvSpPr>
      </xdr:nvSpPr>
      <xdr:spPr bwMode="auto">
        <a:xfrm>
          <a:off x="20909280" y="137007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68580</xdr:colOff>
      <xdr:row>56</xdr:row>
      <xdr:rowOff>129540</xdr:rowOff>
    </xdr:from>
    <xdr:to>
      <xdr:col>21</xdr:col>
      <xdr:colOff>449580</xdr:colOff>
      <xdr:row>56</xdr:row>
      <xdr:rowOff>129540</xdr:rowOff>
    </xdr:to>
    <xdr:sp macro="" textlink="">
      <xdr:nvSpPr>
        <xdr:cNvPr id="7179" name="Line 11"/>
        <xdr:cNvSpPr>
          <a:spLocks noChangeShapeType="1"/>
        </xdr:cNvSpPr>
      </xdr:nvSpPr>
      <xdr:spPr bwMode="auto">
        <a:xfrm flipV="1">
          <a:off x="20916900" y="141884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144780</xdr:colOff>
      <xdr:row>60</xdr:row>
      <xdr:rowOff>30480</xdr:rowOff>
    </xdr:from>
    <xdr:to>
      <xdr:col>20</xdr:col>
      <xdr:colOff>541020</xdr:colOff>
      <xdr:row>78</xdr:row>
      <xdr:rowOff>137160</xdr:rowOff>
    </xdr:to>
    <xdr:sp macro="" textlink="">
      <xdr:nvSpPr>
        <xdr:cNvPr id="7180" name="Text Box 12"/>
        <xdr:cNvSpPr txBox="1">
          <a:spLocks noChangeArrowheads="1"/>
        </xdr:cNvSpPr>
      </xdr:nvSpPr>
      <xdr:spPr bwMode="auto">
        <a:xfrm>
          <a:off x="14165580" y="15003780"/>
          <a:ext cx="6065520" cy="394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21</xdr:col>
      <xdr:colOff>281940</xdr:colOff>
      <xdr:row>60</xdr:row>
      <xdr:rowOff>106680</xdr:rowOff>
    </xdr:from>
    <xdr:to>
      <xdr:col>23</xdr:col>
      <xdr:colOff>579120</xdr:colOff>
      <xdr:row>78</xdr:row>
      <xdr:rowOff>190500</xdr:rowOff>
    </xdr:to>
    <xdr:sp macro="" textlink="">
      <xdr:nvSpPr>
        <xdr:cNvPr id="7181" name="Text Box 13"/>
        <xdr:cNvSpPr txBox="1">
          <a:spLocks noChangeArrowheads="1"/>
        </xdr:cNvSpPr>
      </xdr:nvSpPr>
      <xdr:spPr bwMode="auto">
        <a:xfrm>
          <a:off x="21130260" y="15079980"/>
          <a:ext cx="2606040" cy="3924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Fr:  ?????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ENRON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713-853-????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713-853-????</a:t>
          </a:r>
        </a:p>
      </xdr:txBody>
    </xdr:sp>
    <xdr:clientData/>
  </xdr:twoCellAnchor>
  <xdr:twoCellAnchor>
    <xdr:from>
      <xdr:col>25</xdr:col>
      <xdr:colOff>701040</xdr:colOff>
      <xdr:row>1</xdr:row>
      <xdr:rowOff>175260</xdr:rowOff>
    </xdr:from>
    <xdr:to>
      <xdr:col>36</xdr:col>
      <xdr:colOff>617220</xdr:colOff>
      <xdr:row>6</xdr:row>
      <xdr:rowOff>167640</xdr:rowOff>
    </xdr:to>
    <xdr:sp macro="" textlink="">
      <xdr:nvSpPr>
        <xdr:cNvPr id="7185" name="Rectangle 17"/>
        <xdr:cNvSpPr>
          <a:spLocks noChangeArrowheads="1"/>
        </xdr:cNvSpPr>
      </xdr:nvSpPr>
      <xdr:spPr bwMode="auto">
        <a:xfrm>
          <a:off x="26723340" y="464820"/>
          <a:ext cx="810006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42</xdr:row>
      <xdr:rowOff>38100</xdr:rowOff>
    </xdr:from>
    <xdr:to>
      <xdr:col>0</xdr:col>
      <xdr:colOff>716280</xdr:colOff>
      <xdr:row>42</xdr:row>
      <xdr:rowOff>228600</xdr:rowOff>
    </xdr:to>
    <xdr:sp macro="" textlink="">
      <xdr:nvSpPr>
        <xdr:cNvPr id="1030" name="AutoShape 6"/>
        <xdr:cNvSpPr>
          <a:spLocks noChangeArrowheads="1"/>
        </xdr:cNvSpPr>
      </xdr:nvSpPr>
      <xdr:spPr bwMode="auto">
        <a:xfrm>
          <a:off x="91440" y="10363200"/>
          <a:ext cx="624840" cy="190500"/>
        </a:xfrm>
        <a:prstGeom prst="rightArrow">
          <a:avLst>
            <a:gd name="adj1" fmla="val 50000"/>
            <a:gd name="adj2" fmla="val 82000"/>
          </a:avLst>
        </a:prstGeom>
        <a:solidFill>
          <a:srgbClr xmlns:mc="http://schemas.openxmlformats.org/markup-compatibility/2006" xmlns:a14="http://schemas.microsoft.com/office/drawing/2010/main" val="3366FF" mc:Ignorable="a14" a14:legacySpreadsheetColorIndex="4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68580</xdr:colOff>
      <xdr:row>53</xdr:row>
      <xdr:rowOff>152400</xdr:rowOff>
    </xdr:from>
    <xdr:to>
      <xdr:col>14</xdr:col>
      <xdr:colOff>449580</xdr:colOff>
      <xdr:row>53</xdr:row>
      <xdr:rowOff>152400</xdr:rowOff>
    </xdr:to>
    <xdr:sp macro="" textlink="">
      <xdr:nvSpPr>
        <xdr:cNvPr id="1034" name="Line 10"/>
        <xdr:cNvSpPr>
          <a:spLocks noChangeShapeType="1"/>
        </xdr:cNvSpPr>
      </xdr:nvSpPr>
      <xdr:spPr bwMode="auto">
        <a:xfrm>
          <a:off x="13167360" y="1341120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60960</xdr:colOff>
      <xdr:row>52</xdr:row>
      <xdr:rowOff>175260</xdr:rowOff>
    </xdr:from>
    <xdr:to>
      <xdr:col>14</xdr:col>
      <xdr:colOff>449580</xdr:colOff>
      <xdr:row>52</xdr:row>
      <xdr:rowOff>175260</xdr:rowOff>
    </xdr:to>
    <xdr:sp macro="" textlink="">
      <xdr:nvSpPr>
        <xdr:cNvPr id="1035" name="Line 11"/>
        <xdr:cNvSpPr>
          <a:spLocks noChangeShapeType="1"/>
        </xdr:cNvSpPr>
      </xdr:nvSpPr>
      <xdr:spPr bwMode="auto">
        <a:xfrm>
          <a:off x="13159740" y="13167360"/>
          <a:ext cx="388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68580</xdr:colOff>
      <xdr:row>54</xdr:row>
      <xdr:rowOff>129540</xdr:rowOff>
    </xdr:from>
    <xdr:to>
      <xdr:col>14</xdr:col>
      <xdr:colOff>449580</xdr:colOff>
      <xdr:row>54</xdr:row>
      <xdr:rowOff>129540</xdr:rowOff>
    </xdr:to>
    <xdr:sp macro="" textlink="">
      <xdr:nvSpPr>
        <xdr:cNvPr id="1036" name="Line 12"/>
        <xdr:cNvSpPr>
          <a:spLocks noChangeShapeType="1"/>
        </xdr:cNvSpPr>
      </xdr:nvSpPr>
      <xdr:spPr bwMode="auto">
        <a:xfrm flipV="1">
          <a:off x="13167360" y="13655040"/>
          <a:ext cx="38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525780</xdr:colOff>
      <xdr:row>41</xdr:row>
      <xdr:rowOff>38100</xdr:rowOff>
    </xdr:from>
    <xdr:to>
      <xdr:col>14</xdr:col>
      <xdr:colOff>769620</xdr:colOff>
      <xdr:row>55</xdr:row>
      <xdr:rowOff>236220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11300460" y="10096500"/>
          <a:ext cx="2567940" cy="3878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Bookman Old Style"/>
            </a:rPr>
            <a:t> </a:t>
          </a: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To:   Frank Miller, CALP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Plant Manager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Ph: 757-487-9062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 Fx: 757-487-9196</a:t>
          </a: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endParaRPr lang="en-US" sz="1600" b="1" i="0" u="none" strike="noStrike" baseline="0">
            <a:solidFill>
              <a:srgbClr val="000000"/>
            </a:solidFill>
            <a:latin typeface="CG Omega (W1)"/>
          </a:endParaRP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Cc:  Roman Bakke, EME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703-222-0516</a:t>
          </a:r>
        </a:p>
      </xdr:txBody>
    </xdr:sp>
    <xdr:clientData/>
  </xdr:twoCellAnchor>
  <xdr:twoCellAnchor>
    <xdr:from>
      <xdr:col>14</xdr:col>
      <xdr:colOff>815340</xdr:colOff>
      <xdr:row>41</xdr:row>
      <xdr:rowOff>38100</xdr:rowOff>
    </xdr:from>
    <xdr:to>
      <xdr:col>16</xdr:col>
      <xdr:colOff>1112520</xdr:colOff>
      <xdr:row>55</xdr:row>
      <xdr:rowOff>220980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13914120" y="10096500"/>
          <a:ext cx="2606040" cy="3863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Bookman Old Style"/>
          </a:endParaRPr>
        </a:p>
        <a:p>
          <a:pPr algn="l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CG Omega (W1)"/>
            </a:rPr>
            <a:t> </a:t>
          </a: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Fr:  Ron Thompson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C E S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Ph: 724-837-1300</a:t>
          </a:r>
        </a:p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CG Omega (W1)"/>
            </a:rPr>
            <a:t>         Fx: 724-873-1310</a:t>
          </a:r>
        </a:p>
      </xdr:txBody>
    </xdr:sp>
    <xdr:clientData/>
  </xdr:twoCellAnchor>
  <xdr:twoCellAnchor>
    <xdr:from>
      <xdr:col>18</xdr:col>
      <xdr:colOff>701040</xdr:colOff>
      <xdr:row>1</xdr:row>
      <xdr:rowOff>175260</xdr:rowOff>
    </xdr:from>
    <xdr:to>
      <xdr:col>29</xdr:col>
      <xdr:colOff>617220</xdr:colOff>
      <xdr:row>6</xdr:row>
      <xdr:rowOff>167640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18973800" y="464820"/>
          <a:ext cx="8031480" cy="105918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34" activePane="bottomRight" state="frozen"/>
      <selection pane="topRight" activeCell="B1" sqref="B1"/>
      <selection pane="bottomLeft" activeCell="A8" sqref="A8"/>
      <selection pane="bottomRight" activeCell="J4" sqref="J4:J6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36526</v>
      </c>
      <c r="Q1" s="167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158">
        <v>36526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3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5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3">
      <c r="A8" s="30">
        <f>A4</f>
        <v>36526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36527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36528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36529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36530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36531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36532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36533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36534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36535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36536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36537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36538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36539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36540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36541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36542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36543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36544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36545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36546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3">
      <c r="A29" s="30">
        <f t="shared" si="5"/>
        <v>36547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36548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36549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36550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36551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36552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36553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36554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36555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36556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G40</f>
        <v>0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0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5854.8299999999417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121582.82999999996</v>
      </c>
    </row>
    <row r="57" spans="4:19" ht="17.399999999999999" thickTop="1" x14ac:dyDescent="0.3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5"/>
  <sheetViews>
    <sheetView zoomScale="75" workbookViewId="0">
      <pane xSplit="1" ySplit="7" topLeftCell="H8" activePane="bottomRight" state="frozen"/>
      <selection pane="topRight" activeCell="B1" sqref="B1"/>
      <selection pane="bottomLeft" activeCell="A8" sqref="A8"/>
      <selection pane="bottomRight" activeCell="N10" sqref="N10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230">
        <f>A4</f>
        <v>36557</v>
      </c>
      <c r="Q1" s="230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158">
        <v>36557</v>
      </c>
      <c r="B4" s="232" t="s">
        <v>8</v>
      </c>
      <c r="C4" s="164" t="s">
        <v>9</v>
      </c>
      <c r="D4" s="164" t="s">
        <v>10</v>
      </c>
      <c r="E4" s="231" t="s">
        <v>11</v>
      </c>
      <c r="F4" s="235" t="s">
        <v>12</v>
      </c>
      <c r="G4" s="236"/>
      <c r="H4" s="206" t="s">
        <v>13</v>
      </c>
      <c r="I4" s="187" t="s">
        <v>14</v>
      </c>
      <c r="J4" s="243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3">
      <c r="A5" s="159"/>
      <c r="B5" s="233"/>
      <c r="C5" s="241"/>
      <c r="D5" s="165"/>
      <c r="E5" s="187"/>
      <c r="F5" s="237"/>
      <c r="G5" s="238"/>
      <c r="H5" s="206"/>
      <c r="I5" s="187"/>
      <c r="J5" s="243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5">
      <c r="A6" s="160"/>
      <c r="B6" s="234"/>
      <c r="C6" s="242"/>
      <c r="D6" s="166"/>
      <c r="E6" s="188"/>
      <c r="F6" s="239"/>
      <c r="G6" s="240"/>
      <c r="H6" s="207"/>
      <c r="I6" s="188"/>
      <c r="J6" s="244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3">
      <c r="A8" s="30">
        <f>A4</f>
        <v>36557</v>
      </c>
      <c r="B8" s="31"/>
      <c r="C8" s="32"/>
      <c r="D8" s="33">
        <f t="shared" ref="D8:D36" si="0">C8/$W$3</f>
        <v>0</v>
      </c>
      <c r="E8" s="32"/>
      <c r="F8" s="34"/>
      <c r="G8" s="35"/>
      <c r="H8" s="36">
        <f t="shared" ref="H8:H36" si="1">C8-G8</f>
        <v>0</v>
      </c>
      <c r="I8" s="37">
        <f>H8</f>
        <v>0</v>
      </c>
      <c r="J8" s="38"/>
      <c r="K8" s="39"/>
      <c r="L8" s="40">
        <f t="shared" ref="L8:L36" si="2">(IF(H8&lt;0,-H8*$L$7,H8*$L$7))</f>
        <v>0</v>
      </c>
      <c r="M8" s="41">
        <f t="shared" ref="M8:M36" si="3">G8*$M$7</f>
        <v>0</v>
      </c>
      <c r="N8" s="42">
        <f>(N6*N7)/29</f>
        <v>3990.620689655173</v>
      </c>
      <c r="O8" s="214"/>
      <c r="P8" s="215"/>
      <c r="Q8" s="43" t="s">
        <v>32</v>
      </c>
      <c r="R8" s="44">
        <f t="shared" ref="R8:R36" si="4">G8*J8+L8+M8+N8</f>
        <v>3990.620689655173</v>
      </c>
    </row>
    <row r="9" spans="1:24" ht="20.100000000000001" customHeight="1" x14ac:dyDescent="0.3">
      <c r="A9" s="30">
        <f t="shared" ref="A9:A36" si="5">A8+1</f>
        <v>36558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6" si="7">N8</f>
        <v>3990.620689655173</v>
      </c>
      <c r="O9" s="192"/>
      <c r="P9" s="193"/>
      <c r="Q9" s="43" t="s">
        <v>32</v>
      </c>
      <c r="R9" s="44">
        <f t="shared" si="4"/>
        <v>3990.620689655173</v>
      </c>
    </row>
    <row r="10" spans="1:24" ht="20.100000000000001" customHeight="1" x14ac:dyDescent="0.3">
      <c r="A10" s="30">
        <f t="shared" si="5"/>
        <v>36559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3990.620689655173</v>
      </c>
      <c r="O10" s="192"/>
      <c r="P10" s="193"/>
      <c r="Q10" s="43" t="s">
        <v>32</v>
      </c>
      <c r="R10" s="44">
        <f t="shared" si="4"/>
        <v>3990.620689655173</v>
      </c>
    </row>
    <row r="11" spans="1:24" ht="20.100000000000001" customHeight="1" x14ac:dyDescent="0.3">
      <c r="A11" s="30">
        <f t="shared" si="5"/>
        <v>36560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3990.620689655173</v>
      </c>
      <c r="O11" s="192"/>
      <c r="P11" s="193"/>
      <c r="Q11" s="43" t="s">
        <v>32</v>
      </c>
      <c r="R11" s="44">
        <f t="shared" si="4"/>
        <v>3990.620689655173</v>
      </c>
    </row>
    <row r="12" spans="1:24" ht="20.100000000000001" customHeight="1" x14ac:dyDescent="0.3">
      <c r="A12" s="30">
        <f t="shared" si="5"/>
        <v>36561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3990.620689655173</v>
      </c>
      <c r="O12" s="192"/>
      <c r="P12" s="193"/>
      <c r="Q12" s="43" t="s">
        <v>32</v>
      </c>
      <c r="R12" s="44">
        <f t="shared" si="4"/>
        <v>3990.620689655173</v>
      </c>
    </row>
    <row r="13" spans="1:24" ht="16.95" customHeight="1" x14ac:dyDescent="0.3">
      <c r="A13" s="30">
        <f t="shared" si="5"/>
        <v>36562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3990.620689655173</v>
      </c>
      <c r="O13" s="229"/>
      <c r="P13" s="228"/>
      <c r="Q13" s="57" t="s">
        <v>32</v>
      </c>
      <c r="R13" s="58">
        <f t="shared" si="4"/>
        <v>3990.620689655173</v>
      </c>
    </row>
    <row r="14" spans="1:24" ht="20.100000000000001" customHeight="1" x14ac:dyDescent="0.3">
      <c r="A14" s="30">
        <f t="shared" si="5"/>
        <v>36563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3990.620689655173</v>
      </c>
      <c r="O14" s="219"/>
      <c r="P14" s="220"/>
      <c r="Q14" s="43" t="s">
        <v>32</v>
      </c>
      <c r="R14" s="44">
        <f t="shared" si="4"/>
        <v>3990.620689655173</v>
      </c>
    </row>
    <row r="15" spans="1:24" ht="20.100000000000001" customHeight="1" x14ac:dyDescent="0.3">
      <c r="A15" s="30">
        <f t="shared" si="5"/>
        <v>36564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3990.620689655173</v>
      </c>
      <c r="O15" s="221"/>
      <c r="P15" s="222"/>
      <c r="Q15" s="43" t="s">
        <v>32</v>
      </c>
      <c r="R15" s="44">
        <f t="shared" si="4"/>
        <v>3990.620689655173</v>
      </c>
    </row>
    <row r="16" spans="1:24" ht="20.100000000000001" customHeight="1" x14ac:dyDescent="0.3">
      <c r="A16" s="30">
        <f t="shared" si="5"/>
        <v>36565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3990.620689655173</v>
      </c>
      <c r="O16" s="192"/>
      <c r="P16" s="193"/>
      <c r="Q16" s="43" t="s">
        <v>32</v>
      </c>
      <c r="R16" s="44">
        <f t="shared" si="4"/>
        <v>3990.620689655173</v>
      </c>
    </row>
    <row r="17" spans="1:18" ht="20.100000000000001" customHeight="1" x14ac:dyDescent="0.3">
      <c r="A17" s="30">
        <f t="shared" si="5"/>
        <v>36566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3990.620689655173</v>
      </c>
      <c r="O17" s="192"/>
      <c r="P17" s="193"/>
      <c r="Q17" s="43" t="s">
        <v>32</v>
      </c>
      <c r="R17" s="44">
        <f t="shared" si="4"/>
        <v>3990.620689655173</v>
      </c>
    </row>
    <row r="18" spans="1:18" ht="20.100000000000001" customHeight="1" x14ac:dyDescent="0.3">
      <c r="A18" s="30">
        <f t="shared" si="5"/>
        <v>36567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3990.620689655173</v>
      </c>
      <c r="O18" s="192"/>
      <c r="P18" s="193"/>
      <c r="Q18" s="43" t="s">
        <v>32</v>
      </c>
      <c r="R18" s="44">
        <f t="shared" si="4"/>
        <v>3990.620689655173</v>
      </c>
    </row>
    <row r="19" spans="1:18" ht="20.100000000000001" customHeight="1" x14ac:dyDescent="0.3">
      <c r="A19" s="30">
        <f t="shared" si="5"/>
        <v>36568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3990.620689655173</v>
      </c>
      <c r="O19" s="192"/>
      <c r="P19" s="193"/>
      <c r="Q19" s="43" t="s">
        <v>32</v>
      </c>
      <c r="R19" s="44">
        <f t="shared" si="4"/>
        <v>3990.620689655173</v>
      </c>
    </row>
    <row r="20" spans="1:18" ht="20.100000000000001" customHeight="1" x14ac:dyDescent="0.3">
      <c r="A20" s="30">
        <f t="shared" si="5"/>
        <v>36569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3990.620689655173</v>
      </c>
      <c r="O20" s="192"/>
      <c r="P20" s="193"/>
      <c r="Q20" s="43" t="s">
        <v>32</v>
      </c>
      <c r="R20" s="44">
        <f t="shared" si="4"/>
        <v>3990.620689655173</v>
      </c>
    </row>
    <row r="21" spans="1:18" ht="20.100000000000001" customHeight="1" x14ac:dyDescent="0.3">
      <c r="A21" s="30">
        <f t="shared" si="5"/>
        <v>36570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3990.620689655173</v>
      </c>
      <c r="O21" s="192"/>
      <c r="P21" s="193"/>
      <c r="Q21" s="43" t="s">
        <v>32</v>
      </c>
      <c r="R21" s="44">
        <f t="shared" si="4"/>
        <v>3990.620689655173</v>
      </c>
    </row>
    <row r="22" spans="1:18" ht="20.100000000000001" customHeight="1" x14ac:dyDescent="0.3">
      <c r="A22" s="30">
        <f t="shared" si="5"/>
        <v>36571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3990.620689655173</v>
      </c>
      <c r="O22" s="192"/>
      <c r="P22" s="193"/>
      <c r="Q22" s="43" t="s">
        <v>32</v>
      </c>
      <c r="R22" s="44">
        <f t="shared" si="4"/>
        <v>3990.620689655173</v>
      </c>
    </row>
    <row r="23" spans="1:18" ht="20.100000000000001" customHeight="1" x14ac:dyDescent="0.3">
      <c r="A23" s="30">
        <f t="shared" si="5"/>
        <v>36572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3990.620689655173</v>
      </c>
      <c r="O23" s="192"/>
      <c r="P23" s="193"/>
      <c r="Q23" s="43" t="s">
        <v>32</v>
      </c>
      <c r="R23" s="44">
        <f t="shared" si="4"/>
        <v>3990.620689655173</v>
      </c>
    </row>
    <row r="24" spans="1:18" ht="20.100000000000001" customHeight="1" x14ac:dyDescent="0.3">
      <c r="A24" s="30">
        <f t="shared" si="5"/>
        <v>36573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3990.620689655173</v>
      </c>
      <c r="O24" s="192"/>
      <c r="P24" s="193"/>
      <c r="Q24" s="43" t="s">
        <v>32</v>
      </c>
      <c r="R24" s="44">
        <f t="shared" si="4"/>
        <v>3990.620689655173</v>
      </c>
    </row>
    <row r="25" spans="1:18" ht="20.100000000000001" customHeight="1" x14ac:dyDescent="0.3">
      <c r="A25" s="30">
        <f t="shared" si="5"/>
        <v>36574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3990.620689655173</v>
      </c>
      <c r="O25" s="192"/>
      <c r="P25" s="193"/>
      <c r="Q25" s="43" t="s">
        <v>32</v>
      </c>
      <c r="R25" s="44">
        <f t="shared" si="4"/>
        <v>3990.620689655173</v>
      </c>
    </row>
    <row r="26" spans="1:18" ht="20.100000000000001" customHeight="1" x14ac:dyDescent="0.3">
      <c r="A26" s="30">
        <f t="shared" si="5"/>
        <v>36575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3990.620689655173</v>
      </c>
      <c r="O26" s="192"/>
      <c r="P26" s="193"/>
      <c r="Q26" s="43" t="s">
        <v>32</v>
      </c>
      <c r="R26" s="44">
        <f t="shared" si="4"/>
        <v>3990.620689655173</v>
      </c>
    </row>
    <row r="27" spans="1:18" ht="20.100000000000001" customHeight="1" x14ac:dyDescent="0.3">
      <c r="A27" s="30">
        <f t="shared" si="5"/>
        <v>36576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3990.620689655173</v>
      </c>
      <c r="O27" s="192"/>
      <c r="P27" s="193"/>
      <c r="Q27" s="43" t="s">
        <v>32</v>
      </c>
      <c r="R27" s="44">
        <f t="shared" si="4"/>
        <v>3990.620689655173</v>
      </c>
    </row>
    <row r="28" spans="1:18" ht="20.100000000000001" customHeight="1" x14ac:dyDescent="0.3">
      <c r="A28" s="30">
        <f t="shared" si="5"/>
        <v>36577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3990.620689655173</v>
      </c>
      <c r="O28" s="192"/>
      <c r="P28" s="193"/>
      <c r="Q28" s="43" t="s">
        <v>32</v>
      </c>
      <c r="R28" s="44">
        <f t="shared" si="4"/>
        <v>3990.620689655173</v>
      </c>
    </row>
    <row r="29" spans="1:18" ht="20.100000000000001" customHeight="1" x14ac:dyDescent="0.3">
      <c r="A29" s="30">
        <f t="shared" si="5"/>
        <v>36578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3990.620689655173</v>
      </c>
      <c r="O29" s="192"/>
      <c r="P29" s="193"/>
      <c r="Q29" s="43" t="s">
        <v>32</v>
      </c>
      <c r="R29" s="44">
        <f t="shared" si="4"/>
        <v>3990.620689655173</v>
      </c>
    </row>
    <row r="30" spans="1:18" ht="20.100000000000001" customHeight="1" x14ac:dyDescent="0.3">
      <c r="A30" s="30">
        <f t="shared" si="5"/>
        <v>36579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3990.620689655173</v>
      </c>
      <c r="O30" s="192"/>
      <c r="P30" s="193"/>
      <c r="Q30" s="43" t="s">
        <v>32</v>
      </c>
      <c r="R30" s="44">
        <f t="shared" si="4"/>
        <v>3990.620689655173</v>
      </c>
    </row>
    <row r="31" spans="1:18" ht="20.100000000000001" customHeight="1" x14ac:dyDescent="0.3">
      <c r="A31" s="30">
        <f t="shared" si="5"/>
        <v>36580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3990.620689655173</v>
      </c>
      <c r="O31" s="192"/>
      <c r="P31" s="193"/>
      <c r="Q31" s="43" t="s">
        <v>32</v>
      </c>
      <c r="R31" s="44">
        <f t="shared" si="4"/>
        <v>3990.620689655173</v>
      </c>
    </row>
    <row r="32" spans="1:18" ht="20.100000000000001" customHeight="1" x14ac:dyDescent="0.3">
      <c r="A32" s="30">
        <f t="shared" si="5"/>
        <v>36581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3990.620689655173</v>
      </c>
      <c r="O32" s="192"/>
      <c r="P32" s="193"/>
      <c r="Q32" s="43" t="s">
        <v>32</v>
      </c>
      <c r="R32" s="44">
        <f t="shared" si="4"/>
        <v>3990.620689655173</v>
      </c>
    </row>
    <row r="33" spans="1:19" ht="20.100000000000001" customHeight="1" x14ac:dyDescent="0.3">
      <c r="A33" s="30">
        <f t="shared" si="5"/>
        <v>36582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3990.620689655173</v>
      </c>
      <c r="O33" s="192"/>
      <c r="P33" s="193"/>
      <c r="Q33" s="43" t="s">
        <v>32</v>
      </c>
      <c r="R33" s="44">
        <f t="shared" si="4"/>
        <v>3990.620689655173</v>
      </c>
    </row>
    <row r="34" spans="1:19" ht="20.100000000000001" customHeight="1" x14ac:dyDescent="0.3">
      <c r="A34" s="30">
        <f t="shared" si="5"/>
        <v>36583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3990.620689655173</v>
      </c>
      <c r="O34" s="192"/>
      <c r="P34" s="193"/>
      <c r="Q34" s="43" t="s">
        <v>32</v>
      </c>
      <c r="R34" s="44">
        <f t="shared" si="4"/>
        <v>3990.620689655173</v>
      </c>
    </row>
    <row r="35" spans="1:19" ht="20.100000000000001" customHeight="1" x14ac:dyDescent="0.3">
      <c r="A35" s="30">
        <f t="shared" si="5"/>
        <v>36584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3990.620689655173</v>
      </c>
      <c r="O35" s="192"/>
      <c r="P35" s="193"/>
      <c r="Q35" s="43" t="s">
        <v>32</v>
      </c>
      <c r="R35" s="44">
        <f t="shared" si="4"/>
        <v>3990.620689655173</v>
      </c>
    </row>
    <row r="36" spans="1:19" ht="20.100000000000001" customHeight="1" x14ac:dyDescent="0.3">
      <c r="A36" s="30">
        <f t="shared" si="5"/>
        <v>36585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3990.620689655173</v>
      </c>
      <c r="O36" s="192"/>
      <c r="P36" s="193"/>
      <c r="Q36" s="43" t="s">
        <v>32</v>
      </c>
      <c r="R36" s="44">
        <f t="shared" si="4"/>
        <v>3990.620689655173</v>
      </c>
    </row>
    <row r="37" spans="1:19" ht="20.100000000000001" customHeight="1" thickBot="1" x14ac:dyDescent="0.35">
      <c r="A37" s="83"/>
      <c r="B37" s="84"/>
      <c r="C37" s="85"/>
      <c r="D37" s="86"/>
      <c r="E37" s="87"/>
      <c r="F37" s="85"/>
      <c r="G37" s="85"/>
      <c r="H37" s="85"/>
      <c r="I37" s="85"/>
      <c r="J37" s="88"/>
      <c r="K37" s="88"/>
      <c r="L37" s="88"/>
      <c r="M37" s="85"/>
      <c r="N37" s="85"/>
      <c r="O37" s="225"/>
      <c r="P37" s="226"/>
      <c r="Q37" s="89"/>
      <c r="R37" s="85"/>
    </row>
    <row r="38" spans="1:19" ht="20.100000000000001" customHeight="1" thickBot="1" x14ac:dyDescent="0.35">
      <c r="A38" s="90" t="s">
        <v>33</v>
      </c>
      <c r="B38" s="91">
        <f>SUM(B8:B36)</f>
        <v>0</v>
      </c>
      <c r="C38" s="92">
        <f>SUM(C8:C36)</f>
        <v>0</v>
      </c>
      <c r="D38" s="93"/>
      <c r="E38" s="94">
        <f>SUM(E8:E36)</f>
        <v>0</v>
      </c>
      <c r="F38" s="95">
        <f>SUM(F8:F36)</f>
        <v>0</v>
      </c>
      <c r="G38" s="92">
        <f>SUM(G8:G36)</f>
        <v>0</v>
      </c>
      <c r="H38" s="96"/>
      <c r="I38" s="96"/>
      <c r="J38" s="97"/>
      <c r="K38" s="97"/>
      <c r="L38" s="98">
        <f>SUM(L8:L36)</f>
        <v>0</v>
      </c>
      <c r="M38" s="99">
        <f>SUM(M8:M36)</f>
        <v>0</v>
      </c>
      <c r="N38" s="99">
        <f>N6*N7</f>
        <v>115728.00000000001</v>
      </c>
      <c r="O38" s="223"/>
      <c r="P38" s="224"/>
      <c r="Q38" s="96"/>
      <c r="R38" s="100">
        <f>SUM(R8:R36)</f>
        <v>115728.00000000003</v>
      </c>
    </row>
    <row r="39" spans="1:19" ht="20.100000000000001" customHeight="1" x14ac:dyDescent="0.3">
      <c r="A39" s="101"/>
      <c r="B39" s="102"/>
      <c r="C39" s="103"/>
      <c r="D39" s="103"/>
      <c r="E39" s="104"/>
      <c r="F39" s="104"/>
      <c r="G39" s="104"/>
      <c r="H39" s="104"/>
      <c r="I39" s="104"/>
      <c r="J39" s="104"/>
      <c r="K39" s="104"/>
      <c r="L39" s="103"/>
      <c r="M39" s="104"/>
      <c r="N39" s="104"/>
      <c r="O39" s="104"/>
      <c r="P39" s="104"/>
      <c r="Q39" s="104"/>
      <c r="R39" s="104"/>
    </row>
    <row r="40" spans="1:19" ht="21" customHeight="1" x14ac:dyDescent="0.3">
      <c r="A40" s="105"/>
      <c r="B40" s="106"/>
      <c r="C40" s="103"/>
      <c r="D40" s="103"/>
      <c r="E40" s="104"/>
      <c r="F40" s="107" t="s">
        <v>34</v>
      </c>
      <c r="G40" s="108">
        <f>'Jan 2000'!G42+'Feb 2000'!G38</f>
        <v>0</v>
      </c>
      <c r="H40" s="109" t="s">
        <v>26</v>
      </c>
      <c r="J40" s="104"/>
      <c r="K40" s="104"/>
      <c r="L40" s="104"/>
      <c r="M40" s="104"/>
      <c r="N40" s="104"/>
      <c r="O40" s="104"/>
      <c r="P40" s="104"/>
      <c r="Q40" s="110" t="s">
        <v>36</v>
      </c>
      <c r="R40" s="111">
        <v>5854.83</v>
      </c>
      <c r="S40" s="112"/>
    </row>
    <row r="41" spans="1:19" ht="21" customHeight="1" x14ac:dyDescent="0.3">
      <c r="A41" s="101"/>
      <c r="B41" s="106" t="s">
        <v>37</v>
      </c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10" t="s">
        <v>38</v>
      </c>
      <c r="R41" s="113">
        <f>R38-R42-R43-R44-R45-R51-R52</f>
        <v>1.4551915228366852E-11</v>
      </c>
      <c r="S41" s="114"/>
    </row>
    <row r="42" spans="1:19" ht="21" customHeight="1" x14ac:dyDescent="0.3">
      <c r="A42" s="101"/>
      <c r="B42" s="115"/>
      <c r="C42" s="116"/>
      <c r="D42" s="116"/>
      <c r="E42" s="117"/>
      <c r="F42" s="117"/>
      <c r="G42" s="117"/>
      <c r="H42" s="117"/>
      <c r="I42" s="115" t="s">
        <v>39</v>
      </c>
      <c r="J42" s="117"/>
      <c r="K42" s="117"/>
      <c r="L42" s="104"/>
      <c r="M42" s="104"/>
      <c r="N42" s="104"/>
      <c r="O42" s="104"/>
      <c r="P42" s="117"/>
      <c r="Q42" s="110" t="s">
        <v>40</v>
      </c>
      <c r="R42" s="113">
        <f>(G38*0.05)</f>
        <v>0</v>
      </c>
      <c r="S42" s="114"/>
    </row>
    <row r="43" spans="1:19" ht="21" customHeight="1" x14ac:dyDescent="0.3">
      <c r="A43" s="101"/>
      <c r="B43" s="118" t="s">
        <v>41</v>
      </c>
      <c r="C43" s="116">
        <f ca="1">NOW()</f>
        <v>36676.347972222226</v>
      </c>
      <c r="D43" s="116"/>
      <c r="E43" s="117"/>
      <c r="F43" s="117"/>
      <c r="G43" s="117"/>
      <c r="H43" s="117"/>
      <c r="I43" s="117"/>
      <c r="J43" s="115" t="s">
        <v>42</v>
      </c>
      <c r="K43" s="115"/>
      <c r="L43" s="104"/>
      <c r="M43" s="104"/>
      <c r="N43" s="104"/>
      <c r="O43" s="104"/>
      <c r="P43" s="117"/>
      <c r="Q43" s="110" t="s">
        <v>43</v>
      </c>
      <c r="R43" s="113">
        <v>0</v>
      </c>
      <c r="S43" s="114"/>
    </row>
    <row r="44" spans="1:19" ht="21" customHeight="1" x14ac:dyDescent="0.3">
      <c r="A44" s="101"/>
      <c r="B44" s="117"/>
      <c r="C44" s="117"/>
      <c r="D44" s="117"/>
      <c r="E44" s="117"/>
      <c r="F44" s="117"/>
      <c r="G44" s="117"/>
      <c r="H44" s="117"/>
      <c r="I44" s="117"/>
      <c r="J44" s="117"/>
      <c r="K44" s="117"/>
      <c r="L44" s="104"/>
      <c r="M44" s="104"/>
      <c r="N44" s="104"/>
      <c r="O44" s="104"/>
      <c r="P44" s="104"/>
      <c r="Q44" s="110" t="s">
        <v>44</v>
      </c>
      <c r="R44" s="113">
        <v>0</v>
      </c>
      <c r="S44" s="119"/>
    </row>
    <row r="45" spans="1:19" ht="21" customHeight="1" x14ac:dyDescent="0.3">
      <c r="D45" s="179"/>
      <c r="E45" s="180"/>
      <c r="F45" s="180"/>
      <c r="G45" s="180"/>
      <c r="H45" s="180"/>
      <c r="I45" s="180"/>
      <c r="J45" s="180"/>
      <c r="Q45" s="110" t="s">
        <v>45</v>
      </c>
      <c r="R45" s="123">
        <f>L38</f>
        <v>0</v>
      </c>
      <c r="S45" s="124"/>
    </row>
    <row r="46" spans="1:19" ht="21" customHeight="1" x14ac:dyDescent="0.3">
      <c r="D46" s="121"/>
      <c r="E46" s="122"/>
      <c r="F46" s="122"/>
      <c r="G46" s="122"/>
      <c r="H46" s="122"/>
      <c r="I46" s="122"/>
      <c r="J46" s="122"/>
      <c r="Q46" s="110" t="s">
        <v>55</v>
      </c>
      <c r="R46" s="125">
        <v>0</v>
      </c>
      <c r="S46" s="124"/>
    </row>
    <row r="47" spans="1:19" ht="21" customHeight="1" x14ac:dyDescent="0.3">
      <c r="D47" s="121"/>
      <c r="E47" s="122"/>
      <c r="F47" s="122"/>
      <c r="G47" s="122"/>
      <c r="H47" s="122"/>
      <c r="I47" s="122"/>
      <c r="J47" s="122"/>
      <c r="Q47" s="110" t="s">
        <v>56</v>
      </c>
      <c r="R47" s="125"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26" t="s">
        <v>57</v>
      </c>
      <c r="R48" s="127">
        <v>0</v>
      </c>
      <c r="S48" s="124"/>
    </row>
    <row r="49" spans="14:19" ht="21" customHeight="1" x14ac:dyDescent="0.3">
      <c r="Q49" s="128" t="s">
        <v>46</v>
      </c>
      <c r="R49" s="129">
        <f>SUM(R40:R48)</f>
        <v>5854.8300000000145</v>
      </c>
      <c r="S49" s="124"/>
    </row>
    <row r="50" spans="14:19" ht="21" customHeight="1" x14ac:dyDescent="0.3">
      <c r="Q50" s="110"/>
      <c r="R50" s="123"/>
      <c r="S50" s="124"/>
    </row>
    <row r="51" spans="14:19" ht="21" customHeight="1" x14ac:dyDescent="0.3">
      <c r="N51" s="130" t="s">
        <v>47</v>
      </c>
      <c r="O51" s="104"/>
      <c r="Q51" s="110" t="s">
        <v>48</v>
      </c>
      <c r="R51" s="123">
        <f>N38</f>
        <v>115728.00000000001</v>
      </c>
      <c r="S51" s="124"/>
    </row>
    <row r="52" spans="14:19" ht="21" customHeight="1" x14ac:dyDescent="0.3">
      <c r="N52" s="130" t="s">
        <v>49</v>
      </c>
      <c r="Q52" s="110" t="s">
        <v>50</v>
      </c>
      <c r="R52" s="123">
        <f>G38*0.0154</f>
        <v>0</v>
      </c>
      <c r="S52" s="124"/>
    </row>
    <row r="53" spans="14:19" x14ac:dyDescent="0.3">
      <c r="N53" s="130" t="s">
        <v>51</v>
      </c>
      <c r="Q53" s="126" t="s">
        <v>52</v>
      </c>
      <c r="R53" s="111">
        <v>0</v>
      </c>
    </row>
    <row r="54" spans="14:19" ht="21" customHeight="1" thickBot="1" x14ac:dyDescent="0.35">
      <c r="Q54" s="8" t="s">
        <v>53</v>
      </c>
      <c r="R54" s="131">
        <f>R49+R51+R52+R53</f>
        <v>121582.83000000003</v>
      </c>
    </row>
    <row r="55" spans="14:19" ht="17.399999999999999" thickTop="1" x14ac:dyDescent="0.3"/>
  </sheetData>
  <mergeCells count="54">
    <mergeCell ref="O30:P30"/>
    <mergeCell ref="O31:P31"/>
    <mergeCell ref="O24:P24"/>
    <mergeCell ref="O25:P25"/>
    <mergeCell ref="O38:P38"/>
    <mergeCell ref="O37:P37"/>
    <mergeCell ref="O35:P35"/>
    <mergeCell ref="O36:P36"/>
    <mergeCell ref="O13:P13"/>
    <mergeCell ref="O32:P32"/>
    <mergeCell ref="O33:P33"/>
    <mergeCell ref="O34:P34"/>
    <mergeCell ref="O28:P28"/>
    <mergeCell ref="O29:P29"/>
    <mergeCell ref="O26:P26"/>
    <mergeCell ref="O27:P27"/>
    <mergeCell ref="O20:P20"/>
    <mergeCell ref="O21:P21"/>
    <mergeCell ref="O22:P22"/>
    <mergeCell ref="O23:P23"/>
    <mergeCell ref="O16:P16"/>
    <mergeCell ref="O8:P8"/>
    <mergeCell ref="O9:P9"/>
    <mergeCell ref="K4:K6"/>
    <mergeCell ref="M4:N4"/>
    <mergeCell ref="O14:P14"/>
    <mergeCell ref="O15:P15"/>
    <mergeCell ref="B4:B6"/>
    <mergeCell ref="F4:G6"/>
    <mergeCell ref="C4:C6"/>
    <mergeCell ref="H4:H6"/>
    <mergeCell ref="R3:R7"/>
    <mergeCell ref="J4:J6"/>
    <mergeCell ref="L4:L6"/>
    <mergeCell ref="D45:J45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5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29" activePane="bottomRight" state="frozen"/>
      <selection pane="topRight" activeCell="B1" sqref="B1"/>
      <selection pane="bottomLeft" activeCell="A8" sqref="A8"/>
      <selection pane="bottomRight" activeCell="J28" sqref="J28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36586</v>
      </c>
      <c r="Q1" s="167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158">
        <v>36586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3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5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28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3">
      <c r="A8" s="30">
        <f>A4</f>
        <v>36586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36587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/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36588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36589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36590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36591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36592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36593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36594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36595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36596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36597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36598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36599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36600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36601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36602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36603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36604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36605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36606</v>
      </c>
      <c r="B28" s="31">
        <v>1000</v>
      </c>
      <c r="C28" s="32">
        <v>1000</v>
      </c>
      <c r="D28" s="61">
        <f t="shared" si="0"/>
        <v>1021.6174247067958</v>
      </c>
      <c r="E28" s="70"/>
      <c r="F28" s="34">
        <v>946</v>
      </c>
      <c r="G28" s="35">
        <v>968</v>
      </c>
      <c r="H28" s="36">
        <f t="shared" si="1"/>
        <v>32</v>
      </c>
      <c r="I28" s="37">
        <f t="shared" si="6"/>
        <v>32</v>
      </c>
      <c r="J28" s="38">
        <f>2.875+0.05</f>
        <v>2.9249999999999998</v>
      </c>
      <c r="K28" s="39"/>
      <c r="L28" s="68">
        <f t="shared" si="2"/>
        <v>1.3280000000000001</v>
      </c>
      <c r="M28" s="41">
        <f t="shared" si="3"/>
        <v>14.907200000000001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6580.7964903225802</v>
      </c>
    </row>
    <row r="29" spans="1:18" ht="20.100000000000001" customHeight="1" x14ac:dyDescent="0.3">
      <c r="A29" s="30">
        <f t="shared" si="5"/>
        <v>36607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32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36608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32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36609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32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36610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32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36611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32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36612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32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36613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32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36614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32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36615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32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36616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32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1000</v>
      </c>
      <c r="C40" s="92">
        <f>SUM(C8:C38)</f>
        <v>1000</v>
      </c>
      <c r="D40" s="93"/>
      <c r="E40" s="94">
        <f>SUM(E8:E38)</f>
        <v>0</v>
      </c>
      <c r="F40" s="95">
        <f>SUM(F8:F38)</f>
        <v>946</v>
      </c>
      <c r="G40" s="92">
        <f>SUM(G8:G38)</f>
        <v>968</v>
      </c>
      <c r="H40" s="96"/>
      <c r="I40" s="96"/>
      <c r="J40" s="97"/>
      <c r="K40" s="97"/>
      <c r="L40" s="98">
        <f>SUM(L8:L38)</f>
        <v>1.3280000000000001</v>
      </c>
      <c r="M40" s="99">
        <f>SUM(M8:M38)</f>
        <v>14.907200000000001</v>
      </c>
      <c r="N40" s="99">
        <f>N6*N7</f>
        <v>115728.00000000001</v>
      </c>
      <c r="O40" s="223"/>
      <c r="P40" s="224"/>
      <c r="Q40" s="96"/>
      <c r="R40" s="100">
        <f>SUM(R8:R38)</f>
        <v>118575.63519999996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'Feb 2000'!G40+'Mar 2000'!G40</f>
        <v>968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2782.9999999999577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(G40*0.05)</f>
        <v>48.400000000000006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1.3280000000000001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8687.5579999999572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14.907200000000001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124430.46519999998</v>
      </c>
    </row>
    <row r="57" spans="4:19" ht="17.399999999999999" thickTop="1" x14ac:dyDescent="0.3"/>
  </sheetData>
  <mergeCells count="56">
    <mergeCell ref="O32:P32"/>
    <mergeCell ref="O33:P33"/>
    <mergeCell ref="O34:P34"/>
    <mergeCell ref="O28:P28"/>
    <mergeCell ref="O29:P29"/>
    <mergeCell ref="O30:P30"/>
    <mergeCell ref="O31:P31"/>
    <mergeCell ref="O40:P40"/>
    <mergeCell ref="O39:P39"/>
    <mergeCell ref="O35:P35"/>
    <mergeCell ref="O36:P36"/>
    <mergeCell ref="O37:P37"/>
    <mergeCell ref="O38:P38"/>
    <mergeCell ref="O26:P26"/>
    <mergeCell ref="O27:P27"/>
    <mergeCell ref="O20:P20"/>
    <mergeCell ref="O21:P21"/>
    <mergeCell ref="O22:P22"/>
    <mergeCell ref="O23:P23"/>
    <mergeCell ref="O24:P24"/>
    <mergeCell ref="O25:P25"/>
    <mergeCell ref="O16:P16"/>
    <mergeCell ref="O8:P8"/>
    <mergeCell ref="O9:P9"/>
    <mergeCell ref="K4:K6"/>
    <mergeCell ref="M4:N4"/>
    <mergeCell ref="O14:P14"/>
    <mergeCell ref="O15:P15"/>
    <mergeCell ref="O13:P13"/>
    <mergeCell ref="B4:B6"/>
    <mergeCell ref="F4:G6"/>
    <mergeCell ref="C4:C6"/>
    <mergeCell ref="H4:H6"/>
    <mergeCell ref="R3:R7"/>
    <mergeCell ref="J4:J6"/>
    <mergeCell ref="L4:L6"/>
    <mergeCell ref="D47:J47"/>
    <mergeCell ref="O4:P7"/>
    <mergeCell ref="I4:I6"/>
    <mergeCell ref="E4:E6"/>
    <mergeCell ref="O10:P10"/>
    <mergeCell ref="O11:P11"/>
    <mergeCell ref="O12:P12"/>
    <mergeCell ref="O17:P17"/>
    <mergeCell ref="O18:P18"/>
    <mergeCell ref="O19:P19"/>
    <mergeCell ref="A4:A6"/>
    <mergeCell ref="Q4:Q7"/>
    <mergeCell ref="D4:D6"/>
    <mergeCell ref="P1:Q1"/>
    <mergeCell ref="A1:O1"/>
    <mergeCell ref="O3:Q3"/>
    <mergeCell ref="J3:N3"/>
    <mergeCell ref="H3:I3"/>
    <mergeCell ref="E3:G3"/>
    <mergeCell ref="B3:D3"/>
  </mergeCells>
  <pageMargins left="0.35" right="0.31" top="0.37" bottom="0.34" header="0.17" footer="0.26"/>
  <pageSetup scale="52" orientation="landscape" r:id="rId1"/>
  <headerFooter alignWithMargins="0">
    <oddFooter>&amp;Lo:\logistics\gas\east\tco\gelp\&amp;F&amp;C&amp;A&amp;R&amp;D  &amp;T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58"/>
  <sheetViews>
    <sheetView zoomScale="75" workbookViewId="0">
      <pane xSplit="1" ySplit="7" topLeftCell="N8" activePane="bottomRight" state="frozen"/>
      <selection pane="topRight" activeCell="B1" sqref="B1"/>
      <selection pane="bottomLeft" activeCell="A8" sqref="A8"/>
      <selection pane="bottomRight" activeCell="O12" sqref="O12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10" width="14.33203125" style="2" customWidth="1"/>
    <col min="11" max="11" width="15.6640625" style="2" customWidth="1"/>
    <col min="12" max="12" width="4.6640625" style="2" customWidth="1"/>
    <col min="13" max="13" width="14.6640625" style="2" customWidth="1"/>
    <col min="14" max="16" width="17" style="2" customWidth="1"/>
    <col min="17" max="17" width="16.88671875" style="2" customWidth="1"/>
    <col min="18" max="18" width="18.5546875" style="2" customWidth="1"/>
    <col min="19" max="19" width="15.109375" style="2" customWidth="1"/>
    <col min="20" max="20" width="16.88671875" style="2" customWidth="1"/>
    <col min="21" max="21" width="24.88671875" style="2" customWidth="1"/>
    <col min="22" max="22" width="24.6640625" style="2" customWidth="1"/>
    <col min="23" max="25" width="9.109375" style="2"/>
    <col min="26" max="26" width="10.44140625" style="2" customWidth="1"/>
    <col min="27" max="27" width="11.33203125" style="2" customWidth="1"/>
    <col min="28" max="16384" width="9.109375" style="2"/>
  </cols>
  <sheetData>
    <row r="1" spans="1:27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7">
        <f>A4</f>
        <v>36617</v>
      </c>
      <c r="T1" s="167"/>
      <c r="U1" s="1"/>
      <c r="V1" s="1"/>
    </row>
    <row r="2" spans="1:27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5"/>
      <c r="T2" s="5"/>
      <c r="U2" s="6"/>
    </row>
    <row r="3" spans="1:27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3"/>
      <c r="R3" s="169" t="s">
        <v>5</v>
      </c>
      <c r="S3" s="169"/>
      <c r="T3" s="170"/>
      <c r="U3" s="208" t="s">
        <v>54</v>
      </c>
      <c r="Y3" s="8" t="s">
        <v>6</v>
      </c>
      <c r="Z3" s="9">
        <v>0.97816000000000003</v>
      </c>
      <c r="AA3" s="10" t="s">
        <v>60</v>
      </c>
    </row>
    <row r="4" spans="1:27" ht="18" customHeight="1" x14ac:dyDescent="0.3">
      <c r="A4" s="158">
        <v>36617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68</v>
      </c>
      <c r="N4" s="217" t="s">
        <v>17</v>
      </c>
      <c r="O4" s="245"/>
      <c r="P4" s="245"/>
      <c r="Q4" s="218"/>
      <c r="R4" s="181" t="s">
        <v>18</v>
      </c>
      <c r="S4" s="182"/>
      <c r="T4" s="161" t="s">
        <v>74</v>
      </c>
      <c r="U4" s="208"/>
      <c r="Y4" s="8" t="s">
        <v>20</v>
      </c>
      <c r="Z4" s="11">
        <v>0.05</v>
      </c>
    </row>
    <row r="5" spans="1:27" ht="17.25" customHeight="1" x14ac:dyDescent="0.3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141" t="s">
        <v>21</v>
      </c>
      <c r="O5" s="138" t="s">
        <v>67</v>
      </c>
      <c r="P5" s="133" t="s">
        <v>58</v>
      </c>
      <c r="Q5" s="13" t="s">
        <v>22</v>
      </c>
      <c r="R5" s="183"/>
      <c r="S5" s="184"/>
      <c r="T5" s="162"/>
      <c r="U5" s="208"/>
      <c r="Y5" s="8" t="s">
        <v>23</v>
      </c>
      <c r="Z5" s="11">
        <v>0.03</v>
      </c>
    </row>
    <row r="6" spans="1:27" ht="16.5" customHeight="1" thickBot="1" x14ac:dyDescent="0.35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142"/>
      <c r="O6" s="139"/>
      <c r="P6" s="134"/>
      <c r="Q6" s="15"/>
      <c r="R6" s="183"/>
      <c r="S6" s="184"/>
      <c r="T6" s="162"/>
      <c r="U6" s="208"/>
      <c r="W6" s="16" t="s">
        <v>24</v>
      </c>
      <c r="X6" s="8"/>
    </row>
    <row r="7" spans="1:27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>
        <v>4.1500000000000002E-2</v>
      </c>
      <c r="N7" s="28">
        <f>0.0133+0.0022+0.0072</f>
        <v>2.2699999999999998E-2</v>
      </c>
      <c r="O7" s="28">
        <v>7.0000000000000007E-2</v>
      </c>
      <c r="P7" s="28">
        <v>0.1696</v>
      </c>
      <c r="Q7" s="28">
        <v>8.5000000000000006E-2</v>
      </c>
      <c r="R7" s="185"/>
      <c r="S7" s="186"/>
      <c r="T7" s="163"/>
      <c r="U7" s="209"/>
      <c r="W7" s="29"/>
      <c r="X7" s="29" t="s">
        <v>31</v>
      </c>
    </row>
    <row r="8" spans="1:27" ht="20.100000000000001" customHeight="1" x14ac:dyDescent="0.3">
      <c r="A8" s="30">
        <f>A4</f>
        <v>36617</v>
      </c>
      <c r="B8" s="31"/>
      <c r="C8" s="32"/>
      <c r="D8" s="33">
        <f t="shared" ref="D8:D37" si="0">C8/$Z$3</f>
        <v>0</v>
      </c>
      <c r="E8" s="32"/>
      <c r="F8" s="34"/>
      <c r="G8" s="35"/>
      <c r="H8" s="36">
        <f t="shared" ref="H8:H37" si="1">C8-G8</f>
        <v>0</v>
      </c>
      <c r="I8" s="37">
        <f>H8</f>
        <v>0</v>
      </c>
      <c r="J8" s="137"/>
      <c r="K8" s="38"/>
      <c r="L8" s="39"/>
      <c r="M8" s="40">
        <f t="shared" ref="M8:M37" si="2">(IF(H8&lt;0,-H8*$M$7,H8*$M$7))</f>
        <v>0</v>
      </c>
      <c r="N8" s="41">
        <f t="shared" ref="N8:N37" si="3">G8*$N$7</f>
        <v>0</v>
      </c>
      <c r="O8" s="41"/>
      <c r="P8" s="41"/>
      <c r="Q8" s="42">
        <f t="shared" ref="Q8:Q25" si="4">+G8*$Q$7</f>
        <v>0</v>
      </c>
      <c r="R8" s="214"/>
      <c r="S8" s="215"/>
      <c r="T8" s="143">
        <v>0</v>
      </c>
      <c r="U8" s="44">
        <f t="shared" ref="U8:U37" si="5">(G8*(J8+K8)+M8+N8+O8+P8+Q8)</f>
        <v>0</v>
      </c>
    </row>
    <row r="9" spans="1:27" ht="20.100000000000001" customHeight="1" x14ac:dyDescent="0.3">
      <c r="A9" s="30">
        <f t="shared" ref="A9:A37" si="6">A8+1</f>
        <v>36618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7" si="7">I8+H9</f>
        <v>0</v>
      </c>
      <c r="J9" s="137"/>
      <c r="K9" s="38"/>
      <c r="L9" s="39"/>
      <c r="M9" s="40">
        <f t="shared" si="2"/>
        <v>0</v>
      </c>
      <c r="N9" s="41">
        <f t="shared" si="3"/>
        <v>0</v>
      </c>
      <c r="O9" s="41"/>
      <c r="P9" s="41"/>
      <c r="Q9" s="42">
        <f t="shared" si="4"/>
        <v>0</v>
      </c>
      <c r="R9" s="192"/>
      <c r="S9" s="193"/>
      <c r="T9" s="143">
        <v>0</v>
      </c>
      <c r="U9" s="44">
        <f t="shared" si="5"/>
        <v>0</v>
      </c>
    </row>
    <row r="10" spans="1:27" ht="20.100000000000001" customHeight="1" x14ac:dyDescent="0.3">
      <c r="A10" s="30">
        <f t="shared" si="6"/>
        <v>36619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7"/>
        <v>0</v>
      </c>
      <c r="J10" s="137"/>
      <c r="K10" s="38"/>
      <c r="L10" s="39"/>
      <c r="M10" s="40">
        <f t="shared" si="2"/>
        <v>0</v>
      </c>
      <c r="N10" s="41">
        <f t="shared" si="3"/>
        <v>0</v>
      </c>
      <c r="O10" s="41"/>
      <c r="P10" s="41"/>
      <c r="Q10" s="42">
        <f t="shared" si="4"/>
        <v>0</v>
      </c>
      <c r="R10" s="192"/>
      <c r="S10" s="193"/>
      <c r="T10" s="143">
        <v>0</v>
      </c>
      <c r="U10" s="44">
        <f t="shared" si="5"/>
        <v>0</v>
      </c>
    </row>
    <row r="11" spans="1:27" ht="20.100000000000001" customHeight="1" x14ac:dyDescent="0.3">
      <c r="A11" s="30">
        <f t="shared" si="6"/>
        <v>36620</v>
      </c>
      <c r="B11" s="31">
        <v>3981</v>
      </c>
      <c r="C11" s="32">
        <v>3981</v>
      </c>
      <c r="D11" s="33">
        <f t="shared" si="0"/>
        <v>4069.8863171669254</v>
      </c>
      <c r="E11" s="32"/>
      <c r="F11" s="34"/>
      <c r="G11" s="46">
        <v>3981</v>
      </c>
      <c r="H11" s="36">
        <f t="shared" si="1"/>
        <v>0</v>
      </c>
      <c r="I11" s="37">
        <f t="shared" si="7"/>
        <v>0</v>
      </c>
      <c r="J11" s="137">
        <v>3.09</v>
      </c>
      <c r="K11" s="38">
        <f>+$K$7</f>
        <v>0.05</v>
      </c>
      <c r="L11" s="39"/>
      <c r="M11" s="40">
        <f t="shared" si="2"/>
        <v>0</v>
      </c>
      <c r="N11" s="41">
        <f t="shared" si="3"/>
        <v>90.36869999999999</v>
      </c>
      <c r="O11" s="41">
        <f>+G11*$O$7</f>
        <v>278.67</v>
      </c>
      <c r="P11" s="41"/>
      <c r="Q11" s="42">
        <f t="shared" si="4"/>
        <v>338.38500000000005</v>
      </c>
      <c r="R11" s="192"/>
      <c r="S11" s="193"/>
      <c r="T11" s="143">
        <f>+J11+K11+$N$7+$O$7+$Q$7</f>
        <v>3.3176999999999994</v>
      </c>
      <c r="U11" s="44">
        <f t="shared" si="5"/>
        <v>13207.7637</v>
      </c>
    </row>
    <row r="12" spans="1:27" ht="20.100000000000001" customHeight="1" x14ac:dyDescent="0.3">
      <c r="A12" s="30">
        <f t="shared" si="6"/>
        <v>36621</v>
      </c>
      <c r="B12" s="31">
        <v>2412</v>
      </c>
      <c r="C12" s="32">
        <v>2412</v>
      </c>
      <c r="D12" s="33">
        <f t="shared" si="0"/>
        <v>2465.8542569722745</v>
      </c>
      <c r="E12" s="32"/>
      <c r="F12" s="47"/>
      <c r="G12" s="46">
        <v>2412</v>
      </c>
      <c r="H12" s="36">
        <f t="shared" si="1"/>
        <v>0</v>
      </c>
      <c r="I12" s="37">
        <f t="shared" si="7"/>
        <v>0</v>
      </c>
      <c r="J12" s="137">
        <v>3.04</v>
      </c>
      <c r="K12" s="38">
        <f>+$K$7</f>
        <v>0.05</v>
      </c>
      <c r="L12" s="39"/>
      <c r="M12" s="40">
        <f t="shared" si="2"/>
        <v>0</v>
      </c>
      <c r="N12" s="41">
        <f t="shared" si="3"/>
        <v>54.752399999999994</v>
      </c>
      <c r="O12" s="41">
        <f>+G12*$O$7</f>
        <v>168.84</v>
      </c>
      <c r="P12" s="41"/>
      <c r="Q12" s="42">
        <f t="shared" si="4"/>
        <v>205.02</v>
      </c>
      <c r="R12" s="192"/>
      <c r="S12" s="193"/>
      <c r="T12" s="143">
        <f>+J12+K12+$N$7+$O$7+$Q$7</f>
        <v>3.2676999999999996</v>
      </c>
      <c r="U12" s="44">
        <f t="shared" si="5"/>
        <v>7881.6924000000008</v>
      </c>
    </row>
    <row r="13" spans="1:27" ht="16.95" customHeight="1" x14ac:dyDescent="0.3">
      <c r="A13" s="30">
        <f t="shared" si="6"/>
        <v>36622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7"/>
        <v>0</v>
      </c>
      <c r="J13" s="137"/>
      <c r="K13" s="38"/>
      <c r="L13" s="39"/>
      <c r="M13" s="54">
        <f t="shared" si="2"/>
        <v>0</v>
      </c>
      <c r="N13" s="55">
        <f t="shared" si="3"/>
        <v>0</v>
      </c>
      <c r="O13" s="140"/>
      <c r="P13" s="41"/>
      <c r="Q13" s="42">
        <f t="shared" si="4"/>
        <v>0</v>
      </c>
      <c r="R13" s="229"/>
      <c r="S13" s="228"/>
      <c r="T13" s="144">
        <v>0</v>
      </c>
      <c r="U13" s="44">
        <f t="shared" si="5"/>
        <v>0</v>
      </c>
    </row>
    <row r="14" spans="1:27" ht="20.100000000000001" customHeight="1" x14ac:dyDescent="0.3">
      <c r="A14" s="30">
        <f t="shared" si="6"/>
        <v>36623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7"/>
        <v>0</v>
      </c>
      <c r="J14" s="137"/>
      <c r="K14" s="66"/>
      <c r="L14" s="39"/>
      <c r="M14" s="67">
        <f t="shared" si="2"/>
        <v>0</v>
      </c>
      <c r="N14" s="41">
        <f t="shared" si="3"/>
        <v>0</v>
      </c>
      <c r="O14" s="41"/>
      <c r="P14" s="41"/>
      <c r="Q14" s="42">
        <f t="shared" si="4"/>
        <v>0</v>
      </c>
      <c r="R14" s="219"/>
      <c r="S14" s="220"/>
      <c r="T14" s="143">
        <v>0</v>
      </c>
      <c r="U14" s="44">
        <f t="shared" si="5"/>
        <v>0</v>
      </c>
    </row>
    <row r="15" spans="1:27" ht="20.100000000000001" customHeight="1" x14ac:dyDescent="0.3">
      <c r="A15" s="30">
        <f t="shared" si="6"/>
        <v>36624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7"/>
        <v>0</v>
      </c>
      <c r="J15" s="137"/>
      <c r="K15" s="38"/>
      <c r="L15" s="39"/>
      <c r="M15" s="68">
        <f t="shared" si="2"/>
        <v>0</v>
      </c>
      <c r="N15" s="41">
        <f t="shared" si="3"/>
        <v>0</v>
      </c>
      <c r="O15" s="41"/>
      <c r="P15" s="41"/>
      <c r="Q15" s="42">
        <f t="shared" si="4"/>
        <v>0</v>
      </c>
      <c r="R15" s="221"/>
      <c r="S15" s="222"/>
      <c r="T15" s="143">
        <v>0</v>
      </c>
      <c r="U15" s="44">
        <f t="shared" si="5"/>
        <v>0</v>
      </c>
    </row>
    <row r="16" spans="1:27" ht="20.100000000000001" customHeight="1" x14ac:dyDescent="0.3">
      <c r="A16" s="30">
        <f t="shared" si="6"/>
        <v>36625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7"/>
        <v>0</v>
      </c>
      <c r="J16" s="137"/>
      <c r="K16" s="38"/>
      <c r="L16" s="39"/>
      <c r="M16" s="68">
        <f t="shared" si="2"/>
        <v>0</v>
      </c>
      <c r="N16" s="41">
        <f t="shared" si="3"/>
        <v>0</v>
      </c>
      <c r="O16" s="41"/>
      <c r="P16" s="41"/>
      <c r="Q16" s="42">
        <f t="shared" si="4"/>
        <v>0</v>
      </c>
      <c r="R16" s="192"/>
      <c r="S16" s="193"/>
      <c r="T16" s="143">
        <v>0</v>
      </c>
      <c r="U16" s="44">
        <f t="shared" si="5"/>
        <v>0</v>
      </c>
    </row>
    <row r="17" spans="1:21" ht="20.100000000000001" customHeight="1" x14ac:dyDescent="0.3">
      <c r="A17" s="30">
        <f t="shared" si="6"/>
        <v>36626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7"/>
        <v>0</v>
      </c>
      <c r="J17" s="137"/>
      <c r="K17" s="38"/>
      <c r="L17" s="39"/>
      <c r="M17" s="68">
        <f t="shared" si="2"/>
        <v>0</v>
      </c>
      <c r="N17" s="41">
        <f t="shared" si="3"/>
        <v>0</v>
      </c>
      <c r="O17" s="41"/>
      <c r="P17" s="41"/>
      <c r="Q17" s="42">
        <f t="shared" si="4"/>
        <v>0</v>
      </c>
      <c r="R17" s="192"/>
      <c r="S17" s="193"/>
      <c r="T17" s="143">
        <v>0</v>
      </c>
      <c r="U17" s="44">
        <f t="shared" si="5"/>
        <v>0</v>
      </c>
    </row>
    <row r="18" spans="1:21" ht="20.100000000000001" customHeight="1" x14ac:dyDescent="0.3">
      <c r="A18" s="30">
        <f t="shared" si="6"/>
        <v>36627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7"/>
        <v>0</v>
      </c>
      <c r="J18" s="137"/>
      <c r="K18" s="38"/>
      <c r="L18" s="39"/>
      <c r="M18" s="68">
        <f t="shared" si="2"/>
        <v>0</v>
      </c>
      <c r="N18" s="41">
        <f t="shared" si="3"/>
        <v>0</v>
      </c>
      <c r="O18" s="41"/>
      <c r="P18" s="41"/>
      <c r="Q18" s="42">
        <f t="shared" si="4"/>
        <v>0</v>
      </c>
      <c r="R18" s="192"/>
      <c r="S18" s="193"/>
      <c r="T18" s="143">
        <v>0</v>
      </c>
      <c r="U18" s="44">
        <f t="shared" si="5"/>
        <v>0</v>
      </c>
    </row>
    <row r="19" spans="1:21" ht="20.100000000000001" customHeight="1" x14ac:dyDescent="0.3">
      <c r="A19" s="30">
        <f t="shared" si="6"/>
        <v>36628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7"/>
        <v>0</v>
      </c>
      <c r="J19" s="137"/>
      <c r="K19" s="69"/>
      <c r="L19" s="39"/>
      <c r="M19" s="68">
        <f t="shared" si="2"/>
        <v>0</v>
      </c>
      <c r="N19" s="41">
        <f t="shared" si="3"/>
        <v>0</v>
      </c>
      <c r="O19" s="41"/>
      <c r="P19" s="41"/>
      <c r="Q19" s="42">
        <f t="shared" si="4"/>
        <v>0</v>
      </c>
      <c r="R19" s="192"/>
      <c r="S19" s="193"/>
      <c r="T19" s="143">
        <v>0</v>
      </c>
      <c r="U19" s="44">
        <f t="shared" si="5"/>
        <v>0</v>
      </c>
    </row>
    <row r="20" spans="1:21" ht="20.100000000000001" customHeight="1" x14ac:dyDescent="0.3">
      <c r="A20" s="30">
        <f t="shared" si="6"/>
        <v>36629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7"/>
        <v>0</v>
      </c>
      <c r="J20" s="137"/>
      <c r="K20" s="38"/>
      <c r="L20" s="39"/>
      <c r="M20" s="68">
        <f t="shared" si="2"/>
        <v>0</v>
      </c>
      <c r="N20" s="41">
        <f t="shared" si="3"/>
        <v>0</v>
      </c>
      <c r="O20" s="41"/>
      <c r="P20" s="41"/>
      <c r="Q20" s="42">
        <f t="shared" si="4"/>
        <v>0</v>
      </c>
      <c r="R20" s="192"/>
      <c r="S20" s="193"/>
      <c r="T20" s="143">
        <v>0</v>
      </c>
      <c r="U20" s="44">
        <f t="shared" si="5"/>
        <v>0</v>
      </c>
    </row>
    <row r="21" spans="1:21" ht="20.100000000000001" customHeight="1" x14ac:dyDescent="0.3">
      <c r="A21" s="30">
        <f t="shared" si="6"/>
        <v>36630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7"/>
        <v>0</v>
      </c>
      <c r="J21" s="137"/>
      <c r="K21" s="38"/>
      <c r="L21" s="39"/>
      <c r="M21" s="68">
        <f t="shared" si="2"/>
        <v>0</v>
      </c>
      <c r="N21" s="41">
        <f t="shared" si="3"/>
        <v>0</v>
      </c>
      <c r="O21" s="41"/>
      <c r="P21" s="41"/>
      <c r="Q21" s="42">
        <f t="shared" si="4"/>
        <v>0</v>
      </c>
      <c r="R21" s="192"/>
      <c r="S21" s="193"/>
      <c r="T21" s="143">
        <v>0</v>
      </c>
      <c r="U21" s="44">
        <f t="shared" si="5"/>
        <v>0</v>
      </c>
    </row>
    <row r="22" spans="1:21" ht="20.100000000000001" customHeight="1" x14ac:dyDescent="0.3">
      <c r="A22" s="30">
        <f t="shared" si="6"/>
        <v>36631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7"/>
        <v>0</v>
      </c>
      <c r="J22" s="137"/>
      <c r="K22" s="38"/>
      <c r="L22" s="39"/>
      <c r="M22" s="68">
        <f t="shared" si="2"/>
        <v>0</v>
      </c>
      <c r="N22" s="41">
        <f t="shared" si="3"/>
        <v>0</v>
      </c>
      <c r="O22" s="41"/>
      <c r="P22" s="41"/>
      <c r="Q22" s="42">
        <f t="shared" si="4"/>
        <v>0</v>
      </c>
      <c r="R22" s="192"/>
      <c r="S22" s="193"/>
      <c r="T22" s="143">
        <v>0</v>
      </c>
      <c r="U22" s="44">
        <f t="shared" si="5"/>
        <v>0</v>
      </c>
    </row>
    <row r="23" spans="1:21" ht="20.100000000000001" customHeight="1" x14ac:dyDescent="0.3">
      <c r="A23" s="30">
        <f t="shared" si="6"/>
        <v>36632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7"/>
        <v>0</v>
      </c>
      <c r="J23" s="137"/>
      <c r="K23" s="38"/>
      <c r="L23" s="39"/>
      <c r="M23" s="68">
        <f t="shared" si="2"/>
        <v>0</v>
      </c>
      <c r="N23" s="41">
        <f t="shared" si="3"/>
        <v>0</v>
      </c>
      <c r="O23" s="41"/>
      <c r="P23" s="41"/>
      <c r="Q23" s="42">
        <f t="shared" si="4"/>
        <v>0</v>
      </c>
      <c r="R23" s="192"/>
      <c r="S23" s="193"/>
      <c r="T23" s="143">
        <v>0</v>
      </c>
      <c r="U23" s="44">
        <f t="shared" si="5"/>
        <v>0</v>
      </c>
    </row>
    <row r="24" spans="1:21" ht="20.100000000000001" customHeight="1" x14ac:dyDescent="0.3">
      <c r="A24" s="30">
        <f t="shared" si="6"/>
        <v>36633</v>
      </c>
      <c r="B24" s="31">
        <v>8000</v>
      </c>
      <c r="C24" s="32">
        <v>5495</v>
      </c>
      <c r="D24" s="61">
        <f t="shared" si="0"/>
        <v>5617.6903574057415</v>
      </c>
      <c r="E24" s="32"/>
      <c r="F24" s="34"/>
      <c r="G24" s="35">
        <v>7205</v>
      </c>
      <c r="H24" s="36">
        <f t="shared" si="1"/>
        <v>-1710</v>
      </c>
      <c r="I24" s="37">
        <f t="shared" si="7"/>
        <v>-1710</v>
      </c>
      <c r="J24" s="137">
        <v>3.2450000000000001</v>
      </c>
      <c r="K24" s="38">
        <f>+$K$7</f>
        <v>0.05</v>
      </c>
      <c r="L24" s="39"/>
      <c r="M24" s="68">
        <f t="shared" si="2"/>
        <v>70.965000000000003</v>
      </c>
      <c r="N24" s="41">
        <f t="shared" si="3"/>
        <v>163.55349999999999</v>
      </c>
      <c r="O24" s="41">
        <f>+G24*$O$7</f>
        <v>504.35</v>
      </c>
      <c r="P24" s="41"/>
      <c r="Q24" s="42">
        <f t="shared" si="4"/>
        <v>612.42500000000007</v>
      </c>
      <c r="R24" s="192"/>
      <c r="S24" s="193"/>
      <c r="T24" s="143">
        <f>+J24+K24+$N$7+$O$7+$Q$7</f>
        <v>3.4726999999999997</v>
      </c>
      <c r="U24" s="44">
        <f t="shared" si="5"/>
        <v>25091.768499999995</v>
      </c>
    </row>
    <row r="25" spans="1:21" ht="20.100000000000001" customHeight="1" x14ac:dyDescent="0.3">
      <c r="A25" s="30">
        <f t="shared" si="6"/>
        <v>36634</v>
      </c>
      <c r="B25" s="31">
        <v>16500</v>
      </c>
      <c r="C25" s="32">
        <v>12239</v>
      </c>
      <c r="D25" s="61">
        <f t="shared" si="0"/>
        <v>12512.267931626728</v>
      </c>
      <c r="E25" s="32"/>
      <c r="F25" s="34"/>
      <c r="G25" s="35">
        <v>18265</v>
      </c>
      <c r="H25" s="36">
        <f t="shared" si="1"/>
        <v>-6026</v>
      </c>
      <c r="I25" s="37">
        <f t="shared" si="7"/>
        <v>-7736</v>
      </c>
      <c r="J25" s="137">
        <v>3.3250000000000002</v>
      </c>
      <c r="K25" s="38">
        <f>+$K$7</f>
        <v>0.05</v>
      </c>
      <c r="L25" s="39"/>
      <c r="M25" s="68">
        <f t="shared" si="2"/>
        <v>250.07900000000001</v>
      </c>
      <c r="N25" s="41">
        <f t="shared" si="3"/>
        <v>414.61549999999994</v>
      </c>
      <c r="O25" s="41">
        <f>+G25*$O$7</f>
        <v>1278.5500000000002</v>
      </c>
      <c r="P25" s="41">
        <f>P7*5253</f>
        <v>890.90880000000004</v>
      </c>
      <c r="Q25" s="42">
        <f t="shared" si="4"/>
        <v>1552.5250000000001</v>
      </c>
      <c r="R25" s="192"/>
      <c r="S25" s="193"/>
      <c r="T25" s="143">
        <f>+J25+K25+$N$7+$O$7+$Q$7</f>
        <v>3.5526999999999997</v>
      </c>
      <c r="U25" s="44">
        <f t="shared" si="5"/>
        <v>66031.0533</v>
      </c>
    </row>
    <row r="26" spans="1:21" ht="20.100000000000001" customHeight="1" x14ac:dyDescent="0.3">
      <c r="A26" s="30">
        <f t="shared" si="6"/>
        <v>36635</v>
      </c>
      <c r="B26" s="31"/>
      <c r="C26" s="32"/>
      <c r="D26" s="61">
        <f t="shared" si="0"/>
        <v>0</v>
      </c>
      <c r="E26" s="32"/>
      <c r="F26" s="34"/>
      <c r="G26" s="35">
        <v>19</v>
      </c>
      <c r="H26" s="36">
        <f t="shared" si="1"/>
        <v>-19</v>
      </c>
      <c r="I26" s="37">
        <f t="shared" si="7"/>
        <v>-7755</v>
      </c>
      <c r="J26" s="137"/>
      <c r="K26" s="38"/>
      <c r="L26" s="39"/>
      <c r="M26" s="68">
        <v>0</v>
      </c>
      <c r="N26" s="41">
        <v>0</v>
      </c>
      <c r="O26" s="41">
        <f>((J26/$Z$3)-J26)*G26</f>
        <v>0</v>
      </c>
      <c r="P26" s="41"/>
      <c r="Q26" s="42">
        <v>0</v>
      </c>
      <c r="R26" s="192"/>
      <c r="S26" s="193"/>
      <c r="T26" s="143">
        <v>0</v>
      </c>
      <c r="U26" s="44">
        <f t="shared" si="5"/>
        <v>0</v>
      </c>
    </row>
    <row r="27" spans="1:21" ht="20.100000000000001" customHeight="1" x14ac:dyDescent="0.3">
      <c r="A27" s="30">
        <f t="shared" si="6"/>
        <v>36636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7"/>
        <v>-7755</v>
      </c>
      <c r="J27" s="137"/>
      <c r="K27" s="38"/>
      <c r="L27" s="39"/>
      <c r="M27" s="68">
        <f t="shared" si="2"/>
        <v>0</v>
      </c>
      <c r="N27" s="41">
        <f t="shared" si="3"/>
        <v>0</v>
      </c>
      <c r="O27" s="41"/>
      <c r="P27" s="41"/>
      <c r="Q27" s="42">
        <f t="shared" ref="Q27:Q37" si="8">+G27*$Q$7</f>
        <v>0</v>
      </c>
      <c r="R27" s="192"/>
      <c r="S27" s="193"/>
      <c r="T27" s="143">
        <v>0</v>
      </c>
      <c r="U27" s="44">
        <f t="shared" si="5"/>
        <v>0</v>
      </c>
    </row>
    <row r="28" spans="1:21" ht="20.100000000000001" customHeight="1" x14ac:dyDescent="0.3">
      <c r="A28" s="30">
        <f t="shared" si="6"/>
        <v>36637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7"/>
        <v>-7755</v>
      </c>
      <c r="J28" s="137"/>
      <c r="K28" s="38"/>
      <c r="L28" s="39"/>
      <c r="M28" s="68">
        <f t="shared" si="2"/>
        <v>0</v>
      </c>
      <c r="N28" s="41">
        <f t="shared" si="3"/>
        <v>0</v>
      </c>
      <c r="O28" s="41"/>
      <c r="P28" s="41"/>
      <c r="Q28" s="42">
        <f t="shared" si="8"/>
        <v>0</v>
      </c>
      <c r="R28" s="192"/>
      <c r="S28" s="193"/>
      <c r="T28" s="143">
        <v>0</v>
      </c>
      <c r="U28" s="44">
        <f t="shared" si="5"/>
        <v>0</v>
      </c>
    </row>
    <row r="29" spans="1:21" ht="20.100000000000001" customHeight="1" x14ac:dyDescent="0.3">
      <c r="A29" s="30">
        <f t="shared" si="6"/>
        <v>36638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7"/>
        <v>-7755</v>
      </c>
      <c r="J29" s="137"/>
      <c r="K29" s="38"/>
      <c r="L29" s="39"/>
      <c r="M29" s="68">
        <f t="shared" si="2"/>
        <v>0</v>
      </c>
      <c r="N29" s="41">
        <f t="shared" si="3"/>
        <v>0</v>
      </c>
      <c r="O29" s="41"/>
      <c r="P29" s="41"/>
      <c r="Q29" s="42">
        <f t="shared" si="8"/>
        <v>0</v>
      </c>
      <c r="R29" s="192"/>
      <c r="S29" s="193"/>
      <c r="T29" s="143">
        <v>0</v>
      </c>
      <c r="U29" s="44">
        <f t="shared" si="5"/>
        <v>0</v>
      </c>
    </row>
    <row r="30" spans="1:21" ht="20.100000000000001" customHeight="1" x14ac:dyDescent="0.3">
      <c r="A30" s="30">
        <f t="shared" si="6"/>
        <v>36639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7"/>
        <v>-7755</v>
      </c>
      <c r="J30" s="137"/>
      <c r="K30" s="38"/>
      <c r="L30" s="39"/>
      <c r="M30" s="68">
        <f t="shared" si="2"/>
        <v>0</v>
      </c>
      <c r="N30" s="41">
        <f t="shared" si="3"/>
        <v>0</v>
      </c>
      <c r="O30" s="41"/>
      <c r="P30" s="41"/>
      <c r="Q30" s="42">
        <f t="shared" si="8"/>
        <v>0</v>
      </c>
      <c r="R30" s="192"/>
      <c r="S30" s="193"/>
      <c r="T30" s="143">
        <v>0</v>
      </c>
      <c r="U30" s="44">
        <f t="shared" si="5"/>
        <v>0</v>
      </c>
    </row>
    <row r="31" spans="1:21" ht="20.100000000000001" customHeight="1" x14ac:dyDescent="0.3">
      <c r="A31" s="30">
        <f t="shared" si="6"/>
        <v>36640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7"/>
        <v>-7755</v>
      </c>
      <c r="J31" s="137"/>
      <c r="K31" s="38"/>
      <c r="L31" s="39"/>
      <c r="M31" s="68">
        <f t="shared" si="2"/>
        <v>0</v>
      </c>
      <c r="N31" s="41">
        <f t="shared" si="3"/>
        <v>0</v>
      </c>
      <c r="O31" s="41"/>
      <c r="P31" s="41"/>
      <c r="Q31" s="42">
        <f t="shared" si="8"/>
        <v>0</v>
      </c>
      <c r="R31" s="192"/>
      <c r="S31" s="193"/>
      <c r="T31" s="143">
        <v>0</v>
      </c>
      <c r="U31" s="44">
        <f t="shared" si="5"/>
        <v>0</v>
      </c>
    </row>
    <row r="32" spans="1:21" ht="20.100000000000001" customHeight="1" x14ac:dyDescent="0.3">
      <c r="A32" s="30">
        <f t="shared" si="6"/>
        <v>36641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7"/>
        <v>-7755</v>
      </c>
      <c r="J32" s="137"/>
      <c r="K32" s="71"/>
      <c r="L32" s="72"/>
      <c r="M32" s="68">
        <f t="shared" si="2"/>
        <v>0</v>
      </c>
      <c r="N32" s="41">
        <f t="shared" si="3"/>
        <v>0</v>
      </c>
      <c r="O32" s="41"/>
      <c r="P32" s="41"/>
      <c r="Q32" s="42">
        <f t="shared" si="8"/>
        <v>0</v>
      </c>
      <c r="R32" s="192"/>
      <c r="S32" s="193"/>
      <c r="T32" s="143">
        <v>0</v>
      </c>
      <c r="U32" s="44">
        <f t="shared" si="5"/>
        <v>0</v>
      </c>
    </row>
    <row r="33" spans="1:22" ht="20.100000000000001" customHeight="1" x14ac:dyDescent="0.3">
      <c r="A33" s="30">
        <f t="shared" si="6"/>
        <v>36642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7"/>
        <v>-7755</v>
      </c>
      <c r="J33" s="137"/>
      <c r="K33" s="38"/>
      <c r="L33" s="39"/>
      <c r="M33" s="68">
        <f t="shared" si="2"/>
        <v>0</v>
      </c>
      <c r="N33" s="41">
        <f t="shared" si="3"/>
        <v>0</v>
      </c>
      <c r="O33" s="41"/>
      <c r="P33" s="41"/>
      <c r="Q33" s="42">
        <f t="shared" si="8"/>
        <v>0</v>
      </c>
      <c r="R33" s="192"/>
      <c r="S33" s="193"/>
      <c r="T33" s="143">
        <v>0</v>
      </c>
      <c r="U33" s="44">
        <f t="shared" si="5"/>
        <v>0</v>
      </c>
    </row>
    <row r="34" spans="1:22" ht="20.100000000000001" customHeight="1" x14ac:dyDescent="0.3">
      <c r="A34" s="30">
        <f t="shared" si="6"/>
        <v>36643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7"/>
        <v>-7755</v>
      </c>
      <c r="J34" s="137"/>
      <c r="K34" s="38"/>
      <c r="L34" s="39"/>
      <c r="M34" s="68">
        <f t="shared" si="2"/>
        <v>0</v>
      </c>
      <c r="N34" s="41">
        <f t="shared" si="3"/>
        <v>0</v>
      </c>
      <c r="O34" s="41"/>
      <c r="P34" s="41"/>
      <c r="Q34" s="42">
        <f t="shared" si="8"/>
        <v>0</v>
      </c>
      <c r="R34" s="192"/>
      <c r="S34" s="193"/>
      <c r="T34" s="143">
        <v>0</v>
      </c>
      <c r="U34" s="44">
        <f t="shared" si="5"/>
        <v>0</v>
      </c>
    </row>
    <row r="35" spans="1:22" ht="20.100000000000001" customHeight="1" x14ac:dyDescent="0.3">
      <c r="A35" s="30">
        <f t="shared" si="6"/>
        <v>36644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7"/>
        <v>-7755</v>
      </c>
      <c r="J35" s="137"/>
      <c r="K35" s="38"/>
      <c r="L35" s="39"/>
      <c r="M35" s="68">
        <f t="shared" si="2"/>
        <v>0</v>
      </c>
      <c r="N35" s="41">
        <f t="shared" si="3"/>
        <v>0</v>
      </c>
      <c r="O35" s="41"/>
      <c r="P35" s="41"/>
      <c r="Q35" s="42">
        <f t="shared" si="8"/>
        <v>0</v>
      </c>
      <c r="R35" s="192"/>
      <c r="S35" s="193"/>
      <c r="T35" s="143">
        <v>0</v>
      </c>
      <c r="U35" s="44">
        <f t="shared" si="5"/>
        <v>0</v>
      </c>
    </row>
    <row r="36" spans="1:22" ht="20.100000000000001" customHeight="1" x14ac:dyDescent="0.3">
      <c r="A36" s="30">
        <f t="shared" si="6"/>
        <v>36645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7"/>
        <v>-7755</v>
      </c>
      <c r="J36" s="137"/>
      <c r="K36" s="38"/>
      <c r="L36" s="39"/>
      <c r="M36" s="68">
        <f t="shared" si="2"/>
        <v>0</v>
      </c>
      <c r="N36" s="41">
        <f t="shared" si="3"/>
        <v>0</v>
      </c>
      <c r="O36" s="41"/>
      <c r="P36" s="41"/>
      <c r="Q36" s="42">
        <f t="shared" si="8"/>
        <v>0</v>
      </c>
      <c r="R36" s="192"/>
      <c r="S36" s="193"/>
      <c r="T36" s="143">
        <v>0</v>
      </c>
      <c r="U36" s="44">
        <f t="shared" si="5"/>
        <v>0</v>
      </c>
    </row>
    <row r="37" spans="1:22" ht="20.100000000000001" customHeight="1" x14ac:dyDescent="0.3">
      <c r="A37" s="30">
        <f t="shared" si="6"/>
        <v>36646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7"/>
        <v>-7755</v>
      </c>
      <c r="J37" s="137"/>
      <c r="K37" s="38"/>
      <c r="L37" s="39"/>
      <c r="M37" s="68">
        <f t="shared" si="2"/>
        <v>0</v>
      </c>
      <c r="N37" s="41">
        <f t="shared" si="3"/>
        <v>0</v>
      </c>
      <c r="O37" s="41"/>
      <c r="P37" s="41"/>
      <c r="Q37" s="42">
        <f t="shared" si="8"/>
        <v>0</v>
      </c>
      <c r="R37" s="192"/>
      <c r="S37" s="193"/>
      <c r="T37" s="143">
        <v>0</v>
      </c>
      <c r="U37" s="44">
        <f t="shared" si="5"/>
        <v>0</v>
      </c>
    </row>
    <row r="38" spans="1:22" ht="20.100000000000001" customHeight="1" thickBot="1" x14ac:dyDescent="0.35">
      <c r="A38" s="83"/>
      <c r="B38" s="84"/>
      <c r="C38" s="85"/>
      <c r="D38" s="86"/>
      <c r="E38" s="87"/>
      <c r="F38" s="85"/>
      <c r="G38" s="85"/>
      <c r="H38" s="85"/>
      <c r="I38" s="85"/>
      <c r="J38" s="85"/>
      <c r="K38" s="88"/>
      <c r="L38" s="88"/>
      <c r="M38" s="88"/>
      <c r="N38" s="85"/>
      <c r="O38" s="85"/>
      <c r="P38" s="85"/>
      <c r="Q38" s="85"/>
      <c r="R38" s="225"/>
      <c r="S38" s="226"/>
      <c r="T38" s="89"/>
      <c r="U38" s="85"/>
    </row>
    <row r="39" spans="1:22" ht="20.100000000000001" customHeight="1" thickBot="1" x14ac:dyDescent="0.35">
      <c r="A39" s="90" t="s">
        <v>33</v>
      </c>
      <c r="B39" s="91">
        <f>SUM(B8:B37)</f>
        <v>30893</v>
      </c>
      <c r="C39" s="92">
        <f>SUM(C8:C37)</f>
        <v>24127</v>
      </c>
      <c r="D39" s="93"/>
      <c r="E39" s="94">
        <f>SUM(E8:E37)</f>
        <v>0</v>
      </c>
      <c r="F39" s="95">
        <f>SUM(F8:F37)</f>
        <v>0</v>
      </c>
      <c r="G39" s="92">
        <f>SUM(G8:G37)</f>
        <v>31882</v>
      </c>
      <c r="H39" s="96"/>
      <c r="I39" s="96"/>
      <c r="J39" s="96"/>
      <c r="K39" s="97"/>
      <c r="L39" s="97"/>
      <c r="M39" s="98">
        <f>SUM(M8:M37)</f>
        <v>321.04399999999998</v>
      </c>
      <c r="N39" s="99">
        <f>SUM(N8:N37)</f>
        <v>723.29009999999994</v>
      </c>
      <c r="O39" s="99">
        <f>SUM(O8:O37)</f>
        <v>2230.4100000000003</v>
      </c>
      <c r="P39" s="99">
        <f>SUM(P8:P37)</f>
        <v>890.90880000000004</v>
      </c>
      <c r="Q39" s="99">
        <f>SUM(Q8:Q37)</f>
        <v>2708.3550000000005</v>
      </c>
      <c r="R39" s="223"/>
      <c r="S39" s="224"/>
      <c r="T39" s="96"/>
      <c r="U39" s="100">
        <f>SUM(U8:U37)</f>
        <v>112212.27789999999</v>
      </c>
    </row>
    <row r="40" spans="1:22" ht="20.100000000000001" customHeight="1" x14ac:dyDescent="0.3">
      <c r="A40" s="101"/>
      <c r="B40" s="102"/>
      <c r="C40" s="103"/>
      <c r="D40" s="103"/>
      <c r="E40" s="104"/>
      <c r="F40" s="104"/>
      <c r="G40" s="104"/>
      <c r="H40" s="104"/>
      <c r="I40" s="104"/>
      <c r="J40" s="104"/>
      <c r="K40" s="104"/>
      <c r="L40" s="104"/>
      <c r="M40" s="103"/>
      <c r="N40" s="104"/>
      <c r="O40" s="104"/>
      <c r="P40" s="104"/>
      <c r="Q40" s="104"/>
      <c r="R40" s="104"/>
      <c r="S40" s="104"/>
      <c r="T40" s="104"/>
      <c r="U40" s="104"/>
    </row>
    <row r="41" spans="1:22" ht="21" customHeight="1" x14ac:dyDescent="0.3">
      <c r="A41" s="105"/>
      <c r="B41" s="106"/>
      <c r="C41" s="103"/>
      <c r="D41" s="103"/>
      <c r="E41" s="104"/>
      <c r="F41" s="107" t="s">
        <v>34</v>
      </c>
      <c r="G41" s="108">
        <f>'Mar 2000'!G42+'Apr 2000'!G39</f>
        <v>32850</v>
      </c>
      <c r="H41" s="109" t="s">
        <v>26</v>
      </c>
      <c r="K41" s="104"/>
      <c r="L41" s="104"/>
      <c r="M41" s="104"/>
      <c r="N41" s="104"/>
      <c r="O41" s="104"/>
      <c r="P41" s="104"/>
      <c r="Q41" s="104"/>
      <c r="R41" s="104"/>
      <c r="S41" s="104"/>
      <c r="T41" s="110" t="s">
        <v>36</v>
      </c>
      <c r="U41" s="111">
        <v>5854.83</v>
      </c>
      <c r="V41" s="112"/>
    </row>
    <row r="42" spans="1:22" ht="21" customHeight="1" x14ac:dyDescent="0.3">
      <c r="A42" s="101"/>
      <c r="B42" s="106" t="s">
        <v>37</v>
      </c>
      <c r="C42" s="103"/>
      <c r="D42" s="103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10" t="s">
        <v>38</v>
      </c>
      <c r="U42" s="113">
        <f>U39-U43-U44-U45-U46-U47-U48-U54-U55</f>
        <v>104467.46009999998</v>
      </c>
      <c r="V42" s="114"/>
    </row>
    <row r="43" spans="1:22" ht="21" customHeight="1" x14ac:dyDescent="0.3">
      <c r="A43" s="101"/>
      <c r="B43" s="115"/>
      <c r="C43" s="116"/>
      <c r="D43" s="116"/>
      <c r="E43" s="117"/>
      <c r="F43" s="117"/>
      <c r="G43" s="117"/>
      <c r="H43" s="117"/>
      <c r="I43" s="115" t="s">
        <v>39</v>
      </c>
      <c r="J43" s="115"/>
      <c r="K43" s="117"/>
      <c r="L43" s="117"/>
      <c r="M43" s="104"/>
      <c r="N43" s="104"/>
      <c r="O43" s="104"/>
      <c r="P43" s="104"/>
      <c r="Q43" s="104"/>
      <c r="R43" s="104"/>
      <c r="S43" s="117"/>
      <c r="T43" s="110" t="s">
        <v>40</v>
      </c>
      <c r="U43" s="113">
        <f>(G39*0.05)</f>
        <v>1594.1000000000001</v>
      </c>
    </row>
    <row r="44" spans="1:22" ht="21" customHeight="1" x14ac:dyDescent="0.3">
      <c r="A44" s="101"/>
      <c r="B44" s="118" t="s">
        <v>41</v>
      </c>
      <c r="C44" s="116">
        <f ca="1">NOW()</f>
        <v>36676.347972222226</v>
      </c>
      <c r="D44" s="116"/>
      <c r="E44" s="117"/>
      <c r="F44" s="117"/>
      <c r="G44" s="117"/>
      <c r="H44" s="117"/>
      <c r="I44" s="117"/>
      <c r="J44" s="117"/>
      <c r="K44" s="115" t="s">
        <v>42</v>
      </c>
      <c r="L44" s="115"/>
      <c r="M44" s="104"/>
      <c r="N44" s="104"/>
      <c r="O44" s="104"/>
      <c r="P44" s="104"/>
      <c r="Q44" s="104"/>
      <c r="R44" s="104"/>
      <c r="S44" s="117"/>
      <c r="T44" s="110" t="s">
        <v>73</v>
      </c>
      <c r="U44" s="113">
        <v>0</v>
      </c>
      <c r="V44" s="114"/>
    </row>
    <row r="45" spans="1:22" ht="21" customHeight="1" x14ac:dyDescent="0.3">
      <c r="A45" s="101"/>
      <c r="B45" s="117"/>
      <c r="C45" s="117"/>
      <c r="D45" s="117"/>
      <c r="E45" s="117"/>
      <c r="F45" s="117"/>
      <c r="G45" s="117"/>
      <c r="H45" s="117"/>
      <c r="I45" s="117"/>
      <c r="J45" s="117"/>
      <c r="K45" s="117"/>
      <c r="L45" s="117"/>
      <c r="M45" s="104"/>
      <c r="N45" s="104"/>
      <c r="O45" s="104"/>
      <c r="P45" s="104"/>
      <c r="Q45" s="104"/>
      <c r="R45" s="104"/>
      <c r="S45" s="104"/>
      <c r="T45" s="110" t="s">
        <v>63</v>
      </c>
      <c r="U45" s="113">
        <f>+M39</f>
        <v>321.04399999999998</v>
      </c>
      <c r="V45" s="119"/>
    </row>
    <row r="46" spans="1:22" ht="21" customHeight="1" x14ac:dyDescent="0.3">
      <c r="D46" s="179"/>
      <c r="E46" s="180"/>
      <c r="F46" s="180"/>
      <c r="G46" s="180"/>
      <c r="H46" s="180"/>
      <c r="I46" s="180"/>
      <c r="J46" s="180"/>
      <c r="K46" s="180"/>
      <c r="T46" s="110" t="s">
        <v>65</v>
      </c>
      <c r="U46" s="123">
        <f>+O39</f>
        <v>2230.4100000000003</v>
      </c>
      <c r="V46" s="124"/>
    </row>
    <row r="47" spans="1:22" ht="21" customHeight="1" x14ac:dyDescent="0.3">
      <c r="D47" s="121"/>
      <c r="E47" s="122"/>
      <c r="F47" s="122"/>
      <c r="G47" s="122"/>
      <c r="H47" s="122"/>
      <c r="I47" s="122"/>
      <c r="J47" s="122"/>
      <c r="K47" s="122"/>
      <c r="T47" s="110" t="s">
        <v>64</v>
      </c>
      <c r="U47" s="123">
        <f>+P39</f>
        <v>890.90880000000004</v>
      </c>
      <c r="V47" s="124"/>
    </row>
    <row r="48" spans="1:22" ht="21" customHeight="1" x14ac:dyDescent="0.3">
      <c r="D48" s="121"/>
      <c r="E48" s="122"/>
      <c r="F48" s="122"/>
      <c r="G48" s="122"/>
      <c r="H48" s="122"/>
      <c r="I48" s="122"/>
      <c r="J48" s="122"/>
      <c r="K48" s="122"/>
      <c r="T48" s="110" t="s">
        <v>66</v>
      </c>
      <c r="U48" s="123">
        <f>+Q39</f>
        <v>2708.3550000000005</v>
      </c>
      <c r="V48" s="124"/>
    </row>
    <row r="49" spans="4:22" ht="21" customHeight="1" x14ac:dyDescent="0.3">
      <c r="D49" s="121"/>
      <c r="E49" s="122"/>
      <c r="F49" s="122"/>
      <c r="G49" s="122"/>
      <c r="H49" s="122"/>
      <c r="I49" s="122"/>
      <c r="J49" s="122"/>
      <c r="K49" s="122"/>
      <c r="T49" s="110" t="s">
        <v>71</v>
      </c>
      <c r="U49" s="125">
        <v>0</v>
      </c>
      <c r="V49" s="124"/>
    </row>
    <row r="50" spans="4:22" ht="21" customHeight="1" x14ac:dyDescent="0.3">
      <c r="D50" s="121"/>
      <c r="E50" s="122"/>
      <c r="F50" s="122"/>
      <c r="G50" s="122"/>
      <c r="H50" s="122"/>
      <c r="I50" s="122"/>
      <c r="J50" s="122"/>
      <c r="K50" s="122"/>
      <c r="T50" s="110" t="s">
        <v>72</v>
      </c>
      <c r="U50" s="125">
        <v>0</v>
      </c>
      <c r="V50" s="124"/>
    </row>
    <row r="51" spans="4:22" ht="21" customHeight="1" x14ac:dyDescent="0.3">
      <c r="D51" s="121"/>
      <c r="E51" s="122"/>
      <c r="F51" s="122"/>
      <c r="G51" s="122"/>
      <c r="H51" s="122"/>
      <c r="I51" s="122"/>
      <c r="J51" s="122"/>
      <c r="K51" s="122"/>
      <c r="T51" s="126" t="s">
        <v>57</v>
      </c>
      <c r="U51" s="127">
        <v>0</v>
      </c>
      <c r="V51" s="124"/>
    </row>
    <row r="52" spans="4:22" ht="21" customHeight="1" x14ac:dyDescent="0.3">
      <c r="T52" s="128" t="s">
        <v>46</v>
      </c>
      <c r="U52" s="129">
        <f>SUM(U41:U51)</f>
        <v>118067.10789999999</v>
      </c>
      <c r="V52" s="124"/>
    </row>
    <row r="53" spans="4:22" ht="21" customHeight="1" x14ac:dyDescent="0.3">
      <c r="T53" s="110"/>
      <c r="U53" s="123"/>
      <c r="V53" s="124"/>
    </row>
    <row r="54" spans="4:22" ht="21" customHeight="1" x14ac:dyDescent="0.3">
      <c r="Q54" s="130" t="s">
        <v>69</v>
      </c>
      <c r="R54" s="104"/>
      <c r="T54" s="110" t="s">
        <v>48</v>
      </c>
      <c r="U54" s="123">
        <v>0</v>
      </c>
      <c r="V54" s="124"/>
    </row>
    <row r="55" spans="4:22" ht="21" customHeight="1" x14ac:dyDescent="0.3">
      <c r="Q55" s="130" t="s">
        <v>70</v>
      </c>
      <c r="T55" s="110" t="s">
        <v>50</v>
      </c>
      <c r="U55" s="123">
        <v>0</v>
      </c>
      <c r="V55" s="124"/>
    </row>
    <row r="56" spans="4:22" x14ac:dyDescent="0.3">
      <c r="Q56" s="130" t="s">
        <v>51</v>
      </c>
      <c r="T56" s="126" t="s">
        <v>52</v>
      </c>
      <c r="U56" s="111">
        <v>0</v>
      </c>
    </row>
    <row r="57" spans="4:22" ht="21" customHeight="1" thickBot="1" x14ac:dyDescent="0.35">
      <c r="T57" s="8" t="s">
        <v>53</v>
      </c>
      <c r="U57" s="131">
        <f>U52+U54+U55+U56</f>
        <v>118067.10789999999</v>
      </c>
    </row>
    <row r="58" spans="4:22" ht="17.399999999999999" thickTop="1" x14ac:dyDescent="0.3"/>
  </sheetData>
  <mergeCells count="56">
    <mergeCell ref="R29:S29"/>
    <mergeCell ref="R30:S30"/>
    <mergeCell ref="R31:S31"/>
    <mergeCell ref="R24:S24"/>
    <mergeCell ref="R25:S25"/>
    <mergeCell ref="R39:S39"/>
    <mergeCell ref="R38:S38"/>
    <mergeCell ref="R35:S35"/>
    <mergeCell ref="R36:S36"/>
    <mergeCell ref="R37:S37"/>
    <mergeCell ref="R13:S13"/>
    <mergeCell ref="R32:S32"/>
    <mergeCell ref="R33:S33"/>
    <mergeCell ref="R34:S34"/>
    <mergeCell ref="R28:S28"/>
    <mergeCell ref="R26:S26"/>
    <mergeCell ref="R27:S27"/>
    <mergeCell ref="R20:S20"/>
    <mergeCell ref="R21:S21"/>
    <mergeCell ref="R22:S22"/>
    <mergeCell ref="R23:S23"/>
    <mergeCell ref="U3:U7"/>
    <mergeCell ref="K4:K6"/>
    <mergeCell ref="M4:M6"/>
    <mergeCell ref="R16:S16"/>
    <mergeCell ref="R8:S8"/>
    <mergeCell ref="R9:S9"/>
    <mergeCell ref="L4:L6"/>
    <mergeCell ref="N4:Q4"/>
    <mergeCell ref="R14:S14"/>
    <mergeCell ref="R15:S15"/>
    <mergeCell ref="D46:K46"/>
    <mergeCell ref="R4:S7"/>
    <mergeCell ref="I4:I6"/>
    <mergeCell ref="E4:E6"/>
    <mergeCell ref="R10:S10"/>
    <mergeCell ref="R11:S11"/>
    <mergeCell ref="R12:S12"/>
    <mergeCell ref="R17:S17"/>
    <mergeCell ref="R18:S18"/>
    <mergeCell ref="R19:S19"/>
    <mergeCell ref="S1:T1"/>
    <mergeCell ref="A1:R1"/>
    <mergeCell ref="R3:T3"/>
    <mergeCell ref="K3:Q3"/>
    <mergeCell ref="H3:I3"/>
    <mergeCell ref="E3:G3"/>
    <mergeCell ref="B3:D3"/>
    <mergeCell ref="J4:J6"/>
    <mergeCell ref="A4:A6"/>
    <mergeCell ref="T4:T7"/>
    <mergeCell ref="D4:D6"/>
    <mergeCell ref="B4:B6"/>
    <mergeCell ref="F4:G6"/>
    <mergeCell ref="C4:C6"/>
    <mergeCell ref="H4:H6"/>
  </mergeCells>
  <pageMargins left="0.35" right="0.31" top="0.37" bottom="0.34" header="0.17" footer="0.26"/>
  <pageSetup scale="42" orientation="landscape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59"/>
  <sheetViews>
    <sheetView tabSelected="1" zoomScale="75" workbookViewId="0">
      <pane xSplit="1" ySplit="7" topLeftCell="Q31" activePane="bottomRight" state="frozen"/>
      <selection pane="topRight" activeCell="B1" sqref="B1"/>
      <selection pane="bottomLeft" activeCell="A8" sqref="A8"/>
      <selection pane="bottomRight" activeCell="N36" sqref="N36"/>
    </sheetView>
  </sheetViews>
  <sheetFormatPr defaultColWidth="9.109375" defaultRowHeight="16.8" x14ac:dyDescent="0.3"/>
  <cols>
    <col min="1" max="1" width="11" style="120" bestFit="1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10" width="14.33203125" style="2" customWidth="1"/>
    <col min="11" max="11" width="15.6640625" style="2" customWidth="1"/>
    <col min="12" max="12" width="4.6640625" style="2" customWidth="1"/>
    <col min="13" max="13" width="15.109375" style="2" customWidth="1"/>
    <col min="14" max="15" width="16" style="2" customWidth="1"/>
    <col min="16" max="16" width="14.6640625" style="2" customWidth="1"/>
    <col min="17" max="20" width="17" style="2" customWidth="1"/>
    <col min="21" max="21" width="16.88671875" style="2" customWidth="1"/>
    <col min="22" max="22" width="18.5546875" style="2" customWidth="1"/>
    <col min="23" max="23" width="15.109375" style="2" customWidth="1"/>
    <col min="24" max="24" width="16.88671875" style="2" customWidth="1"/>
    <col min="25" max="25" width="24.88671875" style="2" customWidth="1"/>
    <col min="26" max="26" width="24.6640625" style="2" customWidth="1"/>
    <col min="27" max="29" width="9.109375" style="2"/>
    <col min="30" max="30" width="10.44140625" style="2" customWidth="1"/>
    <col min="31" max="31" width="11.33203125" style="2" customWidth="1"/>
    <col min="32" max="16384" width="9.109375" style="2"/>
  </cols>
  <sheetData>
    <row r="1" spans="1:31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7">
        <f>A4</f>
        <v>36647</v>
      </c>
      <c r="X1" s="167"/>
      <c r="Y1" s="1"/>
      <c r="Z1" s="1"/>
    </row>
    <row r="2" spans="1:31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135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5"/>
      <c r="X2" s="5"/>
      <c r="Y2" s="6"/>
    </row>
    <row r="3" spans="1:31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2"/>
      <c r="J3" s="136"/>
      <c r="K3" s="172" t="s">
        <v>4</v>
      </c>
      <c r="L3" s="172"/>
      <c r="M3" s="172"/>
      <c r="N3" s="172"/>
      <c r="O3" s="172"/>
      <c r="P3" s="172"/>
      <c r="Q3" s="172"/>
      <c r="R3" s="172"/>
      <c r="S3" s="172"/>
      <c r="T3" s="172"/>
      <c r="U3" s="173"/>
      <c r="V3" s="169" t="s">
        <v>5</v>
      </c>
      <c r="W3" s="169"/>
      <c r="X3" s="170"/>
      <c r="Y3" s="208" t="s">
        <v>54</v>
      </c>
      <c r="AC3" s="8" t="s">
        <v>6</v>
      </c>
      <c r="AD3" s="9">
        <v>0.97816000000000003</v>
      </c>
      <c r="AE3" s="10" t="s">
        <v>60</v>
      </c>
    </row>
    <row r="4" spans="1:31" ht="18" customHeight="1" x14ac:dyDescent="0.3">
      <c r="A4" s="158">
        <v>36647</v>
      </c>
      <c r="B4" s="194" t="s">
        <v>8</v>
      </c>
      <c r="C4" s="203" t="s">
        <v>9</v>
      </c>
      <c r="D4" s="164" t="s">
        <v>59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62</v>
      </c>
      <c r="K4" s="210" t="s">
        <v>61</v>
      </c>
      <c r="L4" s="216"/>
      <c r="M4" s="212" t="s">
        <v>90</v>
      </c>
      <c r="N4" s="212" t="s">
        <v>93</v>
      </c>
      <c r="O4" s="212" t="s">
        <v>92</v>
      </c>
      <c r="P4" s="212" t="s">
        <v>85</v>
      </c>
      <c r="Q4" s="217" t="s">
        <v>83</v>
      </c>
      <c r="R4" s="245"/>
      <c r="S4" s="245"/>
      <c r="T4" s="245"/>
      <c r="U4" s="150" t="s">
        <v>82</v>
      </c>
      <c r="V4" s="181" t="s">
        <v>18</v>
      </c>
      <c r="W4" s="182"/>
      <c r="X4" s="161" t="s">
        <v>84</v>
      </c>
      <c r="Y4" s="208"/>
      <c r="AC4" s="8" t="s">
        <v>20</v>
      </c>
      <c r="AD4" s="11">
        <v>0.05</v>
      </c>
    </row>
    <row r="5" spans="1:31" ht="17.25" customHeight="1" x14ac:dyDescent="0.3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0"/>
      <c r="L5" s="216"/>
      <c r="M5" s="213"/>
      <c r="N5" s="213"/>
      <c r="O5" s="213"/>
      <c r="P5" s="213"/>
      <c r="Q5" s="141" t="s">
        <v>75</v>
      </c>
      <c r="R5" s="138" t="s">
        <v>78</v>
      </c>
      <c r="S5" s="138" t="s">
        <v>78</v>
      </c>
      <c r="T5" s="133" t="s">
        <v>78</v>
      </c>
      <c r="U5" s="151" t="s">
        <v>22</v>
      </c>
      <c r="V5" s="183"/>
      <c r="W5" s="184"/>
      <c r="X5" s="162"/>
      <c r="Y5" s="208"/>
      <c r="AC5" s="8" t="s">
        <v>23</v>
      </c>
      <c r="AD5" s="11">
        <v>0.03</v>
      </c>
    </row>
    <row r="6" spans="1:31" ht="16.5" customHeight="1" thickBot="1" x14ac:dyDescent="0.35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1"/>
      <c r="L6" s="216"/>
      <c r="M6" s="213"/>
      <c r="N6" s="213"/>
      <c r="O6" s="213"/>
      <c r="P6" s="213"/>
      <c r="Q6" s="145" t="s">
        <v>76</v>
      </c>
      <c r="R6" s="146" t="s">
        <v>21</v>
      </c>
      <c r="S6" s="146" t="s">
        <v>22</v>
      </c>
      <c r="T6" s="146" t="s">
        <v>58</v>
      </c>
      <c r="U6" s="15">
        <v>40000</v>
      </c>
      <c r="V6" s="183"/>
      <c r="W6" s="184"/>
      <c r="X6" s="162"/>
      <c r="Y6" s="208"/>
      <c r="AA6" s="16" t="s">
        <v>24</v>
      </c>
      <c r="AB6" s="8"/>
    </row>
    <row r="7" spans="1:31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7">
        <v>0.05</v>
      </c>
      <c r="L7" s="26"/>
      <c r="M7" s="27"/>
      <c r="N7" s="27"/>
      <c r="O7" s="27"/>
      <c r="P7" s="27">
        <v>4.1500000000000002E-2</v>
      </c>
      <c r="Q7" s="28" t="s">
        <v>77</v>
      </c>
      <c r="R7" s="28">
        <f>-(0.0133+0.0022+0.0072)</f>
        <v>-2.2699999999999998E-2</v>
      </c>
      <c r="S7" s="28">
        <v>-0.03</v>
      </c>
      <c r="T7" s="148">
        <v>-0.1696</v>
      </c>
      <c r="U7" s="28">
        <f>2.8932</f>
        <v>2.8932000000000002</v>
      </c>
      <c r="V7" s="185"/>
      <c r="W7" s="186"/>
      <c r="X7" s="163"/>
      <c r="Y7" s="209"/>
      <c r="AA7" s="29"/>
      <c r="AB7" s="29" t="s">
        <v>31</v>
      </c>
    </row>
    <row r="8" spans="1:31" ht="20.100000000000001" customHeight="1" x14ac:dyDescent="0.3">
      <c r="A8" s="30">
        <f>A4</f>
        <v>36647</v>
      </c>
      <c r="B8" s="31"/>
      <c r="C8" s="32"/>
      <c r="D8" s="33">
        <f t="shared" ref="D8:D38" si="0">C8/$AD$3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137"/>
      <c r="K8" s="38"/>
      <c r="L8" s="39"/>
      <c r="M8" s="154">
        <f>ROUND((+J8/+$AD$3)-J8,4)</f>
        <v>0</v>
      </c>
      <c r="N8" s="155">
        <f>+M8*G8</f>
        <v>0</v>
      </c>
      <c r="O8" s="155">
        <f t="shared" ref="O8:O38" si="2">+$N$42*G8</f>
        <v>0</v>
      </c>
      <c r="P8" s="40">
        <f t="shared" ref="P8:P25" si="3">(IF(H8&lt;0,-H8*$P$7,H8*$P$7))</f>
        <v>0</v>
      </c>
      <c r="Q8" s="147">
        <v>0</v>
      </c>
      <c r="R8" s="153">
        <f>Q8*$R$7</f>
        <v>0</v>
      </c>
      <c r="S8" s="41">
        <f>Q8*$S$7</f>
        <v>0</v>
      </c>
      <c r="T8" s="41"/>
      <c r="U8" s="42">
        <f>+U6*U7/31</f>
        <v>3733.161290322581</v>
      </c>
      <c r="V8" s="214"/>
      <c r="W8" s="215"/>
      <c r="X8" s="149">
        <f>+J8+K8</f>
        <v>0</v>
      </c>
      <c r="Y8" s="44">
        <f>(G8*(J8+K8)+O8+P8+R8+S8+T8+U8)</f>
        <v>3733.161290322581</v>
      </c>
    </row>
    <row r="9" spans="1:31" ht="20.100000000000001" customHeight="1" x14ac:dyDescent="0.3">
      <c r="A9" s="30">
        <f t="shared" ref="A9:A36" si="4">A8+1</f>
        <v>36648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6" si="5">I8+H9</f>
        <v>0</v>
      </c>
      <c r="J9" s="137"/>
      <c r="K9" s="38"/>
      <c r="L9" s="39"/>
      <c r="M9" s="154">
        <f>ROUND((+J9/+$AD$3)-J9,4)</f>
        <v>0</v>
      </c>
      <c r="N9" s="155">
        <f>+M9*G9</f>
        <v>0</v>
      </c>
      <c r="O9" s="155">
        <f t="shared" si="2"/>
        <v>0</v>
      </c>
      <c r="P9" s="40">
        <f t="shared" si="3"/>
        <v>0</v>
      </c>
      <c r="Q9" s="147">
        <v>0</v>
      </c>
      <c r="R9" s="153">
        <f t="shared" ref="R9:R38" si="6">Q9*$R$7</f>
        <v>0</v>
      </c>
      <c r="S9" s="41">
        <f t="shared" ref="S9:S38" si="7">Q9*$S$7</f>
        <v>0</v>
      </c>
      <c r="T9" s="42"/>
      <c r="U9" s="42">
        <f t="shared" ref="U9:U38" si="8">($U$6*$U$7)/31</f>
        <v>3733.161290322581</v>
      </c>
      <c r="V9" s="192"/>
      <c r="W9" s="193"/>
      <c r="X9" s="149">
        <f>+J9+K9</f>
        <v>0</v>
      </c>
      <c r="Y9" s="44">
        <f t="shared" ref="Y9:Y38" si="9">(G9*(J9+K9)+O9+P9+R9+S9+T9+U9)</f>
        <v>3733.161290322581</v>
      </c>
    </row>
    <row r="10" spans="1:31" ht="20.100000000000001" customHeight="1" x14ac:dyDescent="0.3">
      <c r="A10" s="30">
        <f t="shared" si="4"/>
        <v>36649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5"/>
        <v>0</v>
      </c>
      <c r="J10" s="137"/>
      <c r="K10" s="38"/>
      <c r="L10" s="39"/>
      <c r="M10" s="154">
        <f>ROUND((+J10/+$AD$3)-J10,4)</f>
        <v>0</v>
      </c>
      <c r="N10" s="155">
        <f>+M10*G10</f>
        <v>0</v>
      </c>
      <c r="O10" s="155">
        <f t="shared" si="2"/>
        <v>0</v>
      </c>
      <c r="P10" s="40">
        <f t="shared" si="3"/>
        <v>0</v>
      </c>
      <c r="Q10" s="147">
        <v>0</v>
      </c>
      <c r="R10" s="153">
        <f t="shared" si="6"/>
        <v>0</v>
      </c>
      <c r="S10" s="41">
        <f t="shared" si="7"/>
        <v>0</v>
      </c>
      <c r="T10" s="41"/>
      <c r="U10" s="42">
        <f t="shared" si="8"/>
        <v>3733.161290322581</v>
      </c>
      <c r="V10" s="192"/>
      <c r="W10" s="193"/>
      <c r="X10" s="149">
        <f>+J10+K10</f>
        <v>0</v>
      </c>
      <c r="Y10" s="44">
        <f t="shared" si="9"/>
        <v>3733.161290322581</v>
      </c>
    </row>
    <row r="11" spans="1:31" ht="20.100000000000001" customHeight="1" x14ac:dyDescent="0.3">
      <c r="A11" s="30">
        <f t="shared" si="4"/>
        <v>36650</v>
      </c>
      <c r="B11" s="31">
        <v>20500</v>
      </c>
      <c r="C11" s="32">
        <v>20500</v>
      </c>
      <c r="D11" s="33">
        <f t="shared" si="0"/>
        <v>20957.716528993213</v>
      </c>
      <c r="E11" s="32"/>
      <c r="F11" s="34"/>
      <c r="G11" s="46">
        <v>20415</v>
      </c>
      <c r="H11" s="36">
        <f t="shared" si="1"/>
        <v>85</v>
      </c>
      <c r="I11" s="37">
        <f t="shared" si="5"/>
        <v>85</v>
      </c>
      <c r="J11" s="137">
        <v>3.3250000000000002</v>
      </c>
      <c r="K11" s="38">
        <f t="shared" ref="K11:K20" si="10">+$K$7</f>
        <v>0.05</v>
      </c>
      <c r="L11" s="39"/>
      <c r="M11" s="154">
        <f>ROUND((+J11/+$AD$3)-J11,4)</f>
        <v>7.4200000000000002E-2</v>
      </c>
      <c r="N11" s="155">
        <f>ROUND(+M11*G11,2)</f>
        <v>1514.79</v>
      </c>
      <c r="O11" s="155">
        <f t="shared" si="2"/>
        <v>1559.7059999999999</v>
      </c>
      <c r="P11" s="40">
        <f t="shared" si="3"/>
        <v>3.5275000000000003</v>
      </c>
      <c r="Q11" s="147">
        <v>0</v>
      </c>
      <c r="R11" s="153">
        <f t="shared" si="6"/>
        <v>0</v>
      </c>
      <c r="S11" s="41">
        <f t="shared" si="7"/>
        <v>0</v>
      </c>
      <c r="T11" s="41"/>
      <c r="U11" s="42">
        <f t="shared" si="8"/>
        <v>3733.161290322581</v>
      </c>
      <c r="V11" s="192"/>
      <c r="W11" s="193"/>
      <c r="X11" s="149">
        <f t="shared" ref="X11:X20" si="11">+J11+K11+$N$42</f>
        <v>3.4514</v>
      </c>
      <c r="Y11" s="44">
        <f t="shared" si="9"/>
        <v>74197.019790322578</v>
      </c>
    </row>
    <row r="12" spans="1:31" ht="20.100000000000001" customHeight="1" x14ac:dyDescent="0.3">
      <c r="A12" s="30">
        <f t="shared" si="4"/>
        <v>36651</v>
      </c>
      <c r="B12" s="31">
        <v>40000</v>
      </c>
      <c r="C12" s="32">
        <v>40000</v>
      </c>
      <c r="D12" s="33">
        <f t="shared" si="0"/>
        <v>40893.105422425775</v>
      </c>
      <c r="E12" s="32"/>
      <c r="F12" s="47"/>
      <c r="G12" s="46">
        <v>39510</v>
      </c>
      <c r="H12" s="36">
        <f t="shared" si="1"/>
        <v>490</v>
      </c>
      <c r="I12" s="37">
        <f t="shared" si="5"/>
        <v>575</v>
      </c>
      <c r="J12" s="137">
        <v>3.2450000000000001</v>
      </c>
      <c r="K12" s="38">
        <f t="shared" si="10"/>
        <v>0.05</v>
      </c>
      <c r="L12" s="39"/>
      <c r="M12" s="154">
        <f t="shared" ref="M12:M38" si="12">ROUND((+J12/+$AD$3)-J12,4)</f>
        <v>7.2499999999999995E-2</v>
      </c>
      <c r="N12" s="155">
        <f t="shared" ref="N12:N38" si="13">+M12*G12</f>
        <v>2864.4749999999999</v>
      </c>
      <c r="O12" s="155">
        <f t="shared" si="2"/>
        <v>3018.5639999999999</v>
      </c>
      <c r="P12" s="40">
        <f t="shared" si="3"/>
        <v>20.335000000000001</v>
      </c>
      <c r="Q12" s="147">
        <v>0</v>
      </c>
      <c r="R12" s="153">
        <f t="shared" si="6"/>
        <v>0</v>
      </c>
      <c r="S12" s="41">
        <f t="shared" si="7"/>
        <v>0</v>
      </c>
      <c r="T12" s="41"/>
      <c r="U12" s="42">
        <f t="shared" si="8"/>
        <v>3733.161290322581</v>
      </c>
      <c r="V12" s="192"/>
      <c r="W12" s="193"/>
      <c r="X12" s="149">
        <f t="shared" si="11"/>
        <v>3.3714</v>
      </c>
      <c r="Y12" s="44">
        <f t="shared" si="9"/>
        <v>136957.51029032256</v>
      </c>
    </row>
    <row r="13" spans="1:31" ht="16.95" customHeight="1" x14ac:dyDescent="0.3">
      <c r="A13" s="30">
        <f t="shared" si="4"/>
        <v>36652</v>
      </c>
      <c r="B13" s="48">
        <v>36000</v>
      </c>
      <c r="C13" s="49">
        <v>36000</v>
      </c>
      <c r="D13" s="50">
        <f t="shared" si="0"/>
        <v>36803.794880183203</v>
      </c>
      <c r="E13" s="51"/>
      <c r="F13" s="52"/>
      <c r="G13" s="53">
        <v>35565</v>
      </c>
      <c r="H13" s="48">
        <f t="shared" si="1"/>
        <v>435</v>
      </c>
      <c r="I13" s="37">
        <f t="shared" si="5"/>
        <v>1010</v>
      </c>
      <c r="J13" s="137">
        <v>3.2749999999999999</v>
      </c>
      <c r="K13" s="38">
        <f t="shared" si="10"/>
        <v>0.05</v>
      </c>
      <c r="L13" s="39"/>
      <c r="M13" s="154">
        <f t="shared" si="12"/>
        <v>7.3099999999999998E-2</v>
      </c>
      <c r="N13" s="155">
        <f t="shared" si="13"/>
        <v>2599.8015</v>
      </c>
      <c r="O13" s="155">
        <f t="shared" si="2"/>
        <v>2717.1659999999997</v>
      </c>
      <c r="P13" s="54">
        <f t="shared" si="3"/>
        <v>18.052500000000002</v>
      </c>
      <c r="Q13" s="147">
        <v>0</v>
      </c>
      <c r="R13" s="153">
        <f t="shared" si="6"/>
        <v>0</v>
      </c>
      <c r="S13" s="41">
        <f t="shared" si="7"/>
        <v>0</v>
      </c>
      <c r="T13" s="41"/>
      <c r="U13" s="42">
        <f t="shared" si="8"/>
        <v>3733.161290322581</v>
      </c>
      <c r="V13" s="229"/>
      <c r="W13" s="228"/>
      <c r="X13" s="149">
        <f t="shared" si="11"/>
        <v>3.4013999999999998</v>
      </c>
      <c r="Y13" s="44">
        <f t="shared" si="9"/>
        <v>124722.00479032256</v>
      </c>
    </row>
    <row r="14" spans="1:31" ht="20.100000000000001" customHeight="1" x14ac:dyDescent="0.3">
      <c r="A14" s="30">
        <f t="shared" si="4"/>
        <v>36653</v>
      </c>
      <c r="B14" s="59">
        <v>33500</v>
      </c>
      <c r="C14" s="60">
        <v>33500</v>
      </c>
      <c r="D14" s="61">
        <f t="shared" si="0"/>
        <v>34247.975791281591</v>
      </c>
      <c r="E14" s="62"/>
      <c r="F14" s="63"/>
      <c r="G14" s="64">
        <v>32882</v>
      </c>
      <c r="H14" s="65">
        <f t="shared" si="1"/>
        <v>618</v>
      </c>
      <c r="I14" s="37">
        <f t="shared" si="5"/>
        <v>1628</v>
      </c>
      <c r="J14" s="137">
        <v>3.2749999999999999</v>
      </c>
      <c r="K14" s="38">
        <f t="shared" si="10"/>
        <v>0.05</v>
      </c>
      <c r="L14" s="39"/>
      <c r="M14" s="154">
        <f t="shared" si="12"/>
        <v>7.3099999999999998E-2</v>
      </c>
      <c r="N14" s="155">
        <f t="shared" si="13"/>
        <v>2403.6741999999999</v>
      </c>
      <c r="O14" s="155">
        <f t="shared" si="2"/>
        <v>2512.1848</v>
      </c>
      <c r="P14" s="67">
        <f t="shared" si="3"/>
        <v>25.647000000000002</v>
      </c>
      <c r="Q14" s="147">
        <v>6457</v>
      </c>
      <c r="R14" s="153">
        <f t="shared" si="6"/>
        <v>-146.57389999999998</v>
      </c>
      <c r="S14" s="41">
        <f t="shared" si="7"/>
        <v>-193.70999999999998</v>
      </c>
      <c r="T14" s="41"/>
      <c r="U14" s="42">
        <f t="shared" si="8"/>
        <v>3733.161290322581</v>
      </c>
      <c r="V14" s="219"/>
      <c r="W14" s="220"/>
      <c r="X14" s="149">
        <f t="shared" si="11"/>
        <v>3.4013999999999998</v>
      </c>
      <c r="Y14" s="44">
        <f t="shared" si="9"/>
        <v>115263.35919032256</v>
      </c>
    </row>
    <row r="15" spans="1:31" ht="20.100000000000001" customHeight="1" x14ac:dyDescent="0.3">
      <c r="A15" s="30">
        <f t="shared" si="4"/>
        <v>36654</v>
      </c>
      <c r="B15" s="31">
        <v>28500</v>
      </c>
      <c r="C15" s="32">
        <v>28500</v>
      </c>
      <c r="D15" s="33">
        <f t="shared" si="0"/>
        <v>29136.337613478368</v>
      </c>
      <c r="E15" s="32"/>
      <c r="F15" s="34"/>
      <c r="G15" s="35">
        <v>27624</v>
      </c>
      <c r="H15" s="36">
        <f t="shared" si="1"/>
        <v>876</v>
      </c>
      <c r="I15" s="37">
        <f t="shared" si="5"/>
        <v>2504</v>
      </c>
      <c r="J15" s="137">
        <v>3.2749999999999999</v>
      </c>
      <c r="K15" s="38">
        <f t="shared" si="10"/>
        <v>0.05</v>
      </c>
      <c r="L15" s="39"/>
      <c r="M15" s="154">
        <f t="shared" si="12"/>
        <v>7.3099999999999998E-2</v>
      </c>
      <c r="N15" s="155">
        <f t="shared" si="13"/>
        <v>2019.3144</v>
      </c>
      <c r="O15" s="155">
        <f t="shared" si="2"/>
        <v>2110.4735999999998</v>
      </c>
      <c r="P15" s="68">
        <f t="shared" si="3"/>
        <v>36.353999999999999</v>
      </c>
      <c r="Q15" s="147">
        <v>10923</v>
      </c>
      <c r="R15" s="153">
        <f t="shared" si="6"/>
        <v>-247.95209999999997</v>
      </c>
      <c r="S15" s="41">
        <f t="shared" si="7"/>
        <v>-327.69</v>
      </c>
      <c r="T15" s="41"/>
      <c r="U15" s="42">
        <f t="shared" si="8"/>
        <v>3733.161290322581</v>
      </c>
      <c r="V15" s="221"/>
      <c r="W15" s="222"/>
      <c r="X15" s="149">
        <f t="shared" si="11"/>
        <v>3.4013999999999998</v>
      </c>
      <c r="Y15" s="44">
        <f t="shared" si="9"/>
        <v>97154.146790322571</v>
      </c>
    </row>
    <row r="16" spans="1:31" ht="20.100000000000001" customHeight="1" x14ac:dyDescent="0.3">
      <c r="A16" s="30">
        <f t="shared" si="4"/>
        <v>36655</v>
      </c>
      <c r="B16" s="31">
        <v>29000</v>
      </c>
      <c r="C16" s="32">
        <v>29000</v>
      </c>
      <c r="D16" s="61">
        <f t="shared" si="0"/>
        <v>29647.50143125869</v>
      </c>
      <c r="E16" s="32"/>
      <c r="F16" s="34"/>
      <c r="G16" s="35">
        <v>28335</v>
      </c>
      <c r="H16" s="36">
        <f t="shared" si="1"/>
        <v>665</v>
      </c>
      <c r="I16" s="37">
        <f t="shared" si="5"/>
        <v>3169</v>
      </c>
      <c r="J16" s="137">
        <v>3.28</v>
      </c>
      <c r="K16" s="38">
        <f t="shared" si="10"/>
        <v>0.05</v>
      </c>
      <c r="L16" s="39"/>
      <c r="M16" s="154">
        <f t="shared" si="12"/>
        <v>7.3200000000000001E-2</v>
      </c>
      <c r="N16" s="155">
        <f t="shared" si="13"/>
        <v>2074.1219999999998</v>
      </c>
      <c r="O16" s="155">
        <f t="shared" si="2"/>
        <v>2164.7939999999999</v>
      </c>
      <c r="P16" s="68">
        <f t="shared" si="3"/>
        <v>27.5975</v>
      </c>
      <c r="Q16" s="147">
        <v>5916</v>
      </c>
      <c r="R16" s="153">
        <f t="shared" si="6"/>
        <v>-134.29319999999998</v>
      </c>
      <c r="S16" s="41">
        <f t="shared" si="7"/>
        <v>-177.48</v>
      </c>
      <c r="T16" s="41"/>
      <c r="U16" s="42">
        <f t="shared" si="8"/>
        <v>3733.161290322581</v>
      </c>
      <c r="V16" s="192"/>
      <c r="W16" s="193"/>
      <c r="X16" s="149">
        <f t="shared" si="11"/>
        <v>3.4063999999999997</v>
      </c>
      <c r="Y16" s="44">
        <f t="shared" si="9"/>
        <v>99969.329590322566</v>
      </c>
    </row>
    <row r="17" spans="1:25" ht="20.100000000000001" customHeight="1" x14ac:dyDescent="0.3">
      <c r="A17" s="30">
        <f t="shared" si="4"/>
        <v>36656</v>
      </c>
      <c r="B17" s="31">
        <v>8600</v>
      </c>
      <c r="C17" s="32">
        <v>8600</v>
      </c>
      <c r="D17" s="61">
        <f t="shared" si="0"/>
        <v>8792.0176658215423</v>
      </c>
      <c r="E17" s="32"/>
      <c r="F17" s="34"/>
      <c r="G17" s="35">
        <v>8572</v>
      </c>
      <c r="H17" s="36">
        <f t="shared" si="1"/>
        <v>28</v>
      </c>
      <c r="I17" s="37">
        <f t="shared" si="5"/>
        <v>3197</v>
      </c>
      <c r="J17" s="137">
        <v>3.39</v>
      </c>
      <c r="K17" s="38">
        <f t="shared" si="10"/>
        <v>0.05</v>
      </c>
      <c r="L17" s="39"/>
      <c r="M17" s="154">
        <f t="shared" si="12"/>
        <v>7.5700000000000003E-2</v>
      </c>
      <c r="N17" s="155">
        <f t="shared" si="13"/>
        <v>648.90039999999999</v>
      </c>
      <c r="O17" s="155">
        <f t="shared" si="2"/>
        <v>654.9008</v>
      </c>
      <c r="P17" s="68">
        <f t="shared" si="3"/>
        <v>1.1620000000000001</v>
      </c>
      <c r="Q17" s="147">
        <v>497</v>
      </c>
      <c r="R17" s="153">
        <f t="shared" si="6"/>
        <v>-11.281899999999998</v>
      </c>
      <c r="S17" s="41">
        <f t="shared" si="7"/>
        <v>-14.91</v>
      </c>
      <c r="T17" s="41"/>
      <c r="U17" s="42">
        <f t="shared" si="8"/>
        <v>3733.161290322581</v>
      </c>
      <c r="V17" s="192"/>
      <c r="W17" s="193"/>
      <c r="X17" s="149">
        <f t="shared" si="11"/>
        <v>3.5164</v>
      </c>
      <c r="Y17" s="44">
        <f t="shared" si="9"/>
        <v>33850.712190322578</v>
      </c>
    </row>
    <row r="18" spans="1:25" ht="20.100000000000001" customHeight="1" x14ac:dyDescent="0.3">
      <c r="A18" s="30">
        <f t="shared" si="4"/>
        <v>36657</v>
      </c>
      <c r="B18" s="31">
        <v>5503</v>
      </c>
      <c r="C18" s="32">
        <v>5503</v>
      </c>
      <c r="D18" s="61">
        <f t="shared" si="0"/>
        <v>5625.8689784902263</v>
      </c>
      <c r="E18" s="32"/>
      <c r="F18" s="34"/>
      <c r="G18" s="35">
        <v>5503</v>
      </c>
      <c r="H18" s="36">
        <f t="shared" si="1"/>
        <v>0</v>
      </c>
      <c r="I18" s="37">
        <f t="shared" si="5"/>
        <v>3197</v>
      </c>
      <c r="J18" s="137">
        <v>3.35</v>
      </c>
      <c r="K18" s="38">
        <f t="shared" si="10"/>
        <v>0.05</v>
      </c>
      <c r="L18" s="39"/>
      <c r="M18" s="154">
        <f t="shared" si="12"/>
        <v>7.4800000000000005E-2</v>
      </c>
      <c r="N18" s="155">
        <f t="shared" si="13"/>
        <v>411.62440000000004</v>
      </c>
      <c r="O18" s="155">
        <f t="shared" si="2"/>
        <v>420.42919999999998</v>
      </c>
      <c r="P18" s="68">
        <f t="shared" si="3"/>
        <v>0</v>
      </c>
      <c r="Q18" s="147">
        <v>5272</v>
      </c>
      <c r="R18" s="153">
        <f t="shared" si="6"/>
        <v>-119.67439999999999</v>
      </c>
      <c r="S18" s="41">
        <f t="shared" si="7"/>
        <v>-158.16</v>
      </c>
      <c r="T18" s="41"/>
      <c r="U18" s="42">
        <f t="shared" si="8"/>
        <v>3733.161290322581</v>
      </c>
      <c r="V18" s="192"/>
      <c r="W18" s="193"/>
      <c r="X18" s="149">
        <f t="shared" si="11"/>
        <v>3.4763999999999999</v>
      </c>
      <c r="Y18" s="44">
        <f t="shared" si="9"/>
        <v>22585.956090322579</v>
      </c>
    </row>
    <row r="19" spans="1:25" ht="20.100000000000001" customHeight="1" x14ac:dyDescent="0.3">
      <c r="A19" s="30">
        <f t="shared" si="4"/>
        <v>36658</v>
      </c>
      <c r="B19" s="31">
        <v>32702</v>
      </c>
      <c r="C19" s="32">
        <v>32702</v>
      </c>
      <c r="D19" s="61">
        <f t="shared" si="0"/>
        <v>33432.158338104193</v>
      </c>
      <c r="E19" s="32"/>
      <c r="F19" s="34"/>
      <c r="G19" s="35">
        <v>32537</v>
      </c>
      <c r="H19" s="36">
        <f t="shared" si="1"/>
        <v>165</v>
      </c>
      <c r="I19" s="37">
        <f t="shared" si="5"/>
        <v>3362</v>
      </c>
      <c r="J19" s="137">
        <v>3.51</v>
      </c>
      <c r="K19" s="38">
        <f t="shared" si="10"/>
        <v>0.05</v>
      </c>
      <c r="L19" s="39"/>
      <c r="M19" s="154">
        <f t="shared" si="12"/>
        <v>7.8399999999999997E-2</v>
      </c>
      <c r="N19" s="155">
        <f t="shared" si="13"/>
        <v>2550.9007999999999</v>
      </c>
      <c r="O19" s="155">
        <f t="shared" si="2"/>
        <v>2485.8267999999998</v>
      </c>
      <c r="P19" s="68">
        <f t="shared" si="3"/>
        <v>6.8475000000000001</v>
      </c>
      <c r="Q19" s="147">
        <f>7510-47</f>
        <v>7463</v>
      </c>
      <c r="R19" s="153">
        <f t="shared" si="6"/>
        <v>-169.41009999999997</v>
      </c>
      <c r="S19" s="41">
        <f t="shared" si="7"/>
        <v>-223.89</v>
      </c>
      <c r="T19" s="41"/>
      <c r="U19" s="42">
        <f t="shared" si="8"/>
        <v>3733.161290322581</v>
      </c>
      <c r="V19" s="192"/>
      <c r="W19" s="193"/>
      <c r="X19" s="149">
        <f t="shared" si="11"/>
        <v>3.6363999999999996</v>
      </c>
      <c r="Y19" s="44">
        <f t="shared" si="9"/>
        <v>121664.25549032257</v>
      </c>
    </row>
    <row r="20" spans="1:25" ht="20.100000000000001" customHeight="1" x14ac:dyDescent="0.3">
      <c r="A20" s="30">
        <f t="shared" si="4"/>
        <v>36659</v>
      </c>
      <c r="B20" s="31">
        <v>20403</v>
      </c>
      <c r="C20" s="32">
        <v>20403</v>
      </c>
      <c r="D20" s="61">
        <f t="shared" si="0"/>
        <v>20858.550748343827</v>
      </c>
      <c r="E20" s="32"/>
      <c r="F20" s="34"/>
      <c r="G20" s="35">
        <v>20403</v>
      </c>
      <c r="H20" s="36">
        <f t="shared" si="1"/>
        <v>0</v>
      </c>
      <c r="I20" s="37">
        <f t="shared" si="5"/>
        <v>3362</v>
      </c>
      <c r="J20" s="137">
        <v>3.4950000000000001</v>
      </c>
      <c r="K20" s="38">
        <f t="shared" si="10"/>
        <v>0.05</v>
      </c>
      <c r="L20" s="39"/>
      <c r="M20" s="154">
        <f t="shared" si="12"/>
        <v>7.8E-2</v>
      </c>
      <c r="N20" s="155">
        <f t="shared" si="13"/>
        <v>1591.434</v>
      </c>
      <c r="O20" s="155">
        <f t="shared" si="2"/>
        <v>1558.7891999999999</v>
      </c>
      <c r="P20" s="68">
        <f t="shared" si="3"/>
        <v>0</v>
      </c>
      <c r="Q20" s="147">
        <v>0</v>
      </c>
      <c r="R20" s="153">
        <f t="shared" si="6"/>
        <v>0</v>
      </c>
      <c r="S20" s="41">
        <f t="shared" si="7"/>
        <v>0</v>
      </c>
      <c r="T20" s="41"/>
      <c r="U20" s="42">
        <f t="shared" si="8"/>
        <v>3733.161290322581</v>
      </c>
      <c r="V20" s="192"/>
      <c r="W20" s="193"/>
      <c r="X20" s="149">
        <f t="shared" si="11"/>
        <v>3.6214</v>
      </c>
      <c r="Y20" s="44">
        <f t="shared" si="9"/>
        <v>77620.58549032257</v>
      </c>
    </row>
    <row r="21" spans="1:25" ht="20.100000000000001" customHeight="1" x14ac:dyDescent="0.3">
      <c r="A21" s="30">
        <f t="shared" si="4"/>
        <v>36660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5"/>
        <v>3362</v>
      </c>
      <c r="J21" s="137"/>
      <c r="K21" s="38"/>
      <c r="L21" s="39"/>
      <c r="M21" s="154">
        <f t="shared" si="12"/>
        <v>0</v>
      </c>
      <c r="N21" s="155">
        <f t="shared" si="13"/>
        <v>0</v>
      </c>
      <c r="O21" s="155">
        <f t="shared" si="2"/>
        <v>0</v>
      </c>
      <c r="P21" s="68">
        <f t="shared" si="3"/>
        <v>0</v>
      </c>
      <c r="Q21" s="147">
        <v>0</v>
      </c>
      <c r="R21" s="153">
        <f t="shared" si="6"/>
        <v>0</v>
      </c>
      <c r="S21" s="41">
        <f t="shared" si="7"/>
        <v>0</v>
      </c>
      <c r="T21" s="41"/>
      <c r="U21" s="42">
        <f t="shared" si="8"/>
        <v>3733.161290322581</v>
      </c>
      <c r="V21" s="192"/>
      <c r="W21" s="193"/>
      <c r="X21" s="149">
        <f>+J21+K21</f>
        <v>0</v>
      </c>
      <c r="Y21" s="44">
        <f t="shared" si="9"/>
        <v>3733.161290322581</v>
      </c>
    </row>
    <row r="22" spans="1:25" ht="20.100000000000001" customHeight="1" x14ac:dyDescent="0.3">
      <c r="A22" s="30">
        <f t="shared" si="4"/>
        <v>36661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5"/>
        <v>3362</v>
      </c>
      <c r="J22" s="137"/>
      <c r="K22" s="38"/>
      <c r="L22" s="39"/>
      <c r="M22" s="154">
        <f t="shared" si="12"/>
        <v>0</v>
      </c>
      <c r="N22" s="155">
        <f t="shared" si="13"/>
        <v>0</v>
      </c>
      <c r="O22" s="155">
        <f t="shared" si="2"/>
        <v>0</v>
      </c>
      <c r="P22" s="68">
        <f t="shared" si="3"/>
        <v>0</v>
      </c>
      <c r="Q22" s="147">
        <v>5000</v>
      </c>
      <c r="R22" s="153">
        <f t="shared" si="6"/>
        <v>-113.49999999999999</v>
      </c>
      <c r="S22" s="41">
        <f t="shared" si="7"/>
        <v>-150</v>
      </c>
      <c r="T22" s="41"/>
      <c r="U22" s="42">
        <f t="shared" si="8"/>
        <v>3733.161290322581</v>
      </c>
      <c r="V22" s="192"/>
      <c r="W22" s="193"/>
      <c r="X22" s="149">
        <f>+J22+K22</f>
        <v>0</v>
      </c>
      <c r="Y22" s="44">
        <f t="shared" si="9"/>
        <v>3469.661290322581</v>
      </c>
    </row>
    <row r="23" spans="1:25" ht="20.100000000000001" customHeight="1" x14ac:dyDescent="0.3">
      <c r="A23" s="30">
        <f t="shared" si="4"/>
        <v>36662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5"/>
        <v>3362</v>
      </c>
      <c r="J23" s="137"/>
      <c r="K23" s="38"/>
      <c r="L23" s="39"/>
      <c r="M23" s="154">
        <f t="shared" si="12"/>
        <v>0</v>
      </c>
      <c r="N23" s="155">
        <f t="shared" si="13"/>
        <v>0</v>
      </c>
      <c r="O23" s="155">
        <f t="shared" si="2"/>
        <v>0</v>
      </c>
      <c r="P23" s="68">
        <f t="shared" si="3"/>
        <v>0</v>
      </c>
      <c r="Q23" s="147">
        <v>0</v>
      </c>
      <c r="R23" s="153">
        <f t="shared" si="6"/>
        <v>0</v>
      </c>
      <c r="S23" s="41">
        <f t="shared" si="7"/>
        <v>0</v>
      </c>
      <c r="T23" s="41"/>
      <c r="U23" s="42">
        <f t="shared" si="8"/>
        <v>3733.161290322581</v>
      </c>
      <c r="V23" s="192"/>
      <c r="W23" s="193"/>
      <c r="X23" s="149">
        <f>+J23+K23</f>
        <v>0</v>
      </c>
      <c r="Y23" s="44">
        <f t="shared" si="9"/>
        <v>3733.161290322581</v>
      </c>
    </row>
    <row r="24" spans="1:25" ht="20.100000000000001" customHeight="1" x14ac:dyDescent="0.3">
      <c r="A24" s="30">
        <f t="shared" si="4"/>
        <v>36663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5"/>
        <v>3362</v>
      </c>
      <c r="J24" s="137"/>
      <c r="K24" s="38"/>
      <c r="L24" s="39"/>
      <c r="M24" s="154">
        <f t="shared" si="12"/>
        <v>0</v>
      </c>
      <c r="N24" s="155">
        <f t="shared" si="13"/>
        <v>0</v>
      </c>
      <c r="O24" s="155">
        <f t="shared" si="2"/>
        <v>0</v>
      </c>
      <c r="P24" s="68">
        <f t="shared" si="3"/>
        <v>0</v>
      </c>
      <c r="Q24" s="147">
        <v>0</v>
      </c>
      <c r="R24" s="153">
        <f t="shared" si="6"/>
        <v>0</v>
      </c>
      <c r="S24" s="41">
        <f t="shared" si="7"/>
        <v>0</v>
      </c>
      <c r="T24" s="41"/>
      <c r="U24" s="42">
        <f t="shared" si="8"/>
        <v>3733.161290322581</v>
      </c>
      <c r="V24" s="192"/>
      <c r="W24" s="193"/>
      <c r="X24" s="149">
        <f>+J24+K24</f>
        <v>0</v>
      </c>
      <c r="Y24" s="44">
        <f t="shared" si="9"/>
        <v>3733.161290322581</v>
      </c>
    </row>
    <row r="25" spans="1:25" ht="20.100000000000001" customHeight="1" x14ac:dyDescent="0.3">
      <c r="A25" s="30">
        <f t="shared" si="4"/>
        <v>36664</v>
      </c>
      <c r="B25" s="31">
        <v>37544</v>
      </c>
      <c r="C25" s="32">
        <v>37544</v>
      </c>
      <c r="D25" s="61">
        <f t="shared" si="0"/>
        <v>38382.268749488838</v>
      </c>
      <c r="E25" s="32"/>
      <c r="F25" s="34"/>
      <c r="G25" s="35">
        <v>37544</v>
      </c>
      <c r="H25" s="36">
        <f t="shared" si="1"/>
        <v>0</v>
      </c>
      <c r="I25" s="37">
        <f t="shared" si="5"/>
        <v>3362</v>
      </c>
      <c r="J25" s="137">
        <v>3.6349999999999998</v>
      </c>
      <c r="K25" s="38">
        <f>+$K$7</f>
        <v>0.05</v>
      </c>
      <c r="L25" s="39"/>
      <c r="M25" s="154">
        <f t="shared" si="12"/>
        <v>8.1199999999999994E-2</v>
      </c>
      <c r="N25" s="155">
        <f t="shared" si="13"/>
        <v>3048.5727999999999</v>
      </c>
      <c r="O25" s="155">
        <f t="shared" si="2"/>
        <v>2868.3615999999997</v>
      </c>
      <c r="P25" s="68">
        <f t="shared" si="3"/>
        <v>0</v>
      </c>
      <c r="Q25" s="147">
        <v>0</v>
      </c>
      <c r="R25" s="153">
        <f t="shared" si="6"/>
        <v>0</v>
      </c>
      <c r="S25" s="41">
        <f t="shared" si="7"/>
        <v>0</v>
      </c>
      <c r="T25" s="41"/>
      <c r="U25" s="42">
        <f t="shared" si="8"/>
        <v>3733.161290322581</v>
      </c>
      <c r="V25" s="192"/>
      <c r="W25" s="193"/>
      <c r="X25" s="149">
        <f>+J25+K25+$N$42</f>
        <v>3.7613999999999996</v>
      </c>
      <c r="Y25" s="44">
        <f t="shared" si="9"/>
        <v>144951.16289032256</v>
      </c>
    </row>
    <row r="26" spans="1:25" ht="20.100000000000001" customHeight="1" x14ac:dyDescent="0.3">
      <c r="A26" s="30">
        <f t="shared" si="4"/>
        <v>36665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5"/>
        <v>3362</v>
      </c>
      <c r="J26" s="137"/>
      <c r="K26" s="38"/>
      <c r="L26" s="39"/>
      <c r="M26" s="154">
        <f t="shared" si="12"/>
        <v>0</v>
      </c>
      <c r="N26" s="155">
        <f t="shared" si="13"/>
        <v>0</v>
      </c>
      <c r="O26" s="155">
        <f t="shared" si="2"/>
        <v>0</v>
      </c>
      <c r="P26" s="68">
        <v>0</v>
      </c>
      <c r="Q26" s="147">
        <v>0</v>
      </c>
      <c r="R26" s="153">
        <f t="shared" si="6"/>
        <v>0</v>
      </c>
      <c r="S26" s="41">
        <f t="shared" si="7"/>
        <v>0</v>
      </c>
      <c r="T26" s="41"/>
      <c r="U26" s="42">
        <f t="shared" si="8"/>
        <v>3733.161290322581</v>
      </c>
      <c r="V26" s="192"/>
      <c r="W26" s="193"/>
      <c r="X26" s="149">
        <f>+J26+K26</f>
        <v>0</v>
      </c>
      <c r="Y26" s="44">
        <f t="shared" si="9"/>
        <v>3733.161290322581</v>
      </c>
    </row>
    <row r="27" spans="1:25" ht="20.100000000000001" customHeight="1" x14ac:dyDescent="0.3">
      <c r="A27" s="30">
        <f t="shared" si="4"/>
        <v>36666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5"/>
        <v>3362</v>
      </c>
      <c r="J27" s="137"/>
      <c r="K27" s="38"/>
      <c r="L27" s="39"/>
      <c r="M27" s="154">
        <f t="shared" si="12"/>
        <v>0</v>
      </c>
      <c r="N27" s="155">
        <f t="shared" si="13"/>
        <v>0</v>
      </c>
      <c r="O27" s="155">
        <f t="shared" si="2"/>
        <v>0</v>
      </c>
      <c r="P27" s="68">
        <f t="shared" ref="P27:P38" si="14">(IF(H27&lt;0,-H27*$P$7,H27*$P$7))</f>
        <v>0</v>
      </c>
      <c r="Q27" s="147">
        <v>0</v>
      </c>
      <c r="R27" s="153">
        <f t="shared" si="6"/>
        <v>0</v>
      </c>
      <c r="S27" s="41">
        <f t="shared" si="7"/>
        <v>0</v>
      </c>
      <c r="T27" s="41"/>
      <c r="U27" s="42">
        <f t="shared" si="8"/>
        <v>3733.161290322581</v>
      </c>
      <c r="V27" s="192"/>
      <c r="W27" s="193"/>
      <c r="X27" s="149">
        <f>+J27+K27</f>
        <v>0</v>
      </c>
      <c r="Y27" s="44">
        <f t="shared" si="9"/>
        <v>3733.161290322581</v>
      </c>
    </row>
    <row r="28" spans="1:25" ht="20.100000000000001" customHeight="1" x14ac:dyDescent="0.3">
      <c r="A28" s="30">
        <f t="shared" si="4"/>
        <v>36667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5"/>
        <v>3362</v>
      </c>
      <c r="J28" s="137"/>
      <c r="K28" s="38"/>
      <c r="L28" s="39"/>
      <c r="M28" s="154">
        <f t="shared" si="12"/>
        <v>0</v>
      </c>
      <c r="N28" s="155">
        <f>+M28*G28</f>
        <v>0</v>
      </c>
      <c r="O28" s="155">
        <f t="shared" si="2"/>
        <v>0</v>
      </c>
      <c r="P28" s="68">
        <f t="shared" si="14"/>
        <v>0</v>
      </c>
      <c r="Q28" s="147">
        <v>0</v>
      </c>
      <c r="R28" s="153">
        <f t="shared" si="6"/>
        <v>0</v>
      </c>
      <c r="S28" s="41">
        <f t="shared" si="7"/>
        <v>0</v>
      </c>
      <c r="T28" s="41"/>
      <c r="U28" s="42">
        <f t="shared" si="8"/>
        <v>3733.161290322581</v>
      </c>
      <c r="V28" s="192"/>
      <c r="W28" s="193"/>
      <c r="X28" s="149">
        <f>+J28+K28</f>
        <v>0</v>
      </c>
      <c r="Y28" s="44">
        <f t="shared" si="9"/>
        <v>3733.161290322581</v>
      </c>
    </row>
    <row r="29" spans="1:25" ht="20.100000000000001" customHeight="1" x14ac:dyDescent="0.3">
      <c r="A29" s="30">
        <f t="shared" si="4"/>
        <v>36668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5"/>
        <v>3362</v>
      </c>
      <c r="J29" s="137"/>
      <c r="K29" s="38"/>
      <c r="L29" s="39"/>
      <c r="M29" s="154">
        <f t="shared" si="12"/>
        <v>0</v>
      </c>
      <c r="N29" s="155">
        <f t="shared" si="13"/>
        <v>0</v>
      </c>
      <c r="O29" s="155">
        <f t="shared" si="2"/>
        <v>0</v>
      </c>
      <c r="P29" s="68">
        <f t="shared" si="14"/>
        <v>0</v>
      </c>
      <c r="Q29" s="147">
        <v>0</v>
      </c>
      <c r="R29" s="153">
        <f t="shared" si="6"/>
        <v>0</v>
      </c>
      <c r="S29" s="41">
        <f t="shared" si="7"/>
        <v>0</v>
      </c>
      <c r="T29" s="41"/>
      <c r="U29" s="42">
        <f t="shared" si="8"/>
        <v>3733.161290322581</v>
      </c>
      <c r="V29" s="192"/>
      <c r="W29" s="193"/>
      <c r="X29" s="149">
        <f>+J29+K29</f>
        <v>0</v>
      </c>
      <c r="Y29" s="44">
        <f t="shared" si="9"/>
        <v>3733.161290322581</v>
      </c>
    </row>
    <row r="30" spans="1:25" ht="20.100000000000001" customHeight="1" x14ac:dyDescent="0.3">
      <c r="A30" s="30">
        <f t="shared" si="4"/>
        <v>36669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5"/>
        <v>3362</v>
      </c>
      <c r="J30" s="137"/>
      <c r="K30" s="38"/>
      <c r="L30" s="39"/>
      <c r="M30" s="154">
        <f t="shared" si="12"/>
        <v>0</v>
      </c>
      <c r="N30" s="155">
        <f t="shared" si="13"/>
        <v>0</v>
      </c>
      <c r="O30" s="155">
        <f t="shared" si="2"/>
        <v>0</v>
      </c>
      <c r="P30" s="68">
        <f t="shared" si="14"/>
        <v>0</v>
      </c>
      <c r="Q30" s="147">
        <v>0</v>
      </c>
      <c r="R30" s="153">
        <f t="shared" si="6"/>
        <v>0</v>
      </c>
      <c r="S30" s="41">
        <f t="shared" si="7"/>
        <v>0</v>
      </c>
      <c r="T30" s="41"/>
      <c r="U30" s="42">
        <f t="shared" si="8"/>
        <v>3733.161290322581</v>
      </c>
      <c r="V30" s="192"/>
      <c r="W30" s="193"/>
      <c r="X30" s="149">
        <f>+J30+K30</f>
        <v>0</v>
      </c>
      <c r="Y30" s="44">
        <f t="shared" si="9"/>
        <v>3733.161290322581</v>
      </c>
    </row>
    <row r="31" spans="1:25" ht="20.100000000000001" customHeight="1" x14ac:dyDescent="0.3">
      <c r="A31" s="30">
        <f t="shared" si="4"/>
        <v>36670</v>
      </c>
      <c r="B31" s="31">
        <v>19590</v>
      </c>
      <c r="C31" s="32">
        <v>19590</v>
      </c>
      <c r="D31" s="61">
        <f t="shared" si="0"/>
        <v>20027.398380633025</v>
      </c>
      <c r="E31" s="32"/>
      <c r="F31" s="34"/>
      <c r="G31" s="35">
        <v>19590</v>
      </c>
      <c r="H31" s="36">
        <f t="shared" si="1"/>
        <v>0</v>
      </c>
      <c r="I31" s="37">
        <f t="shared" si="5"/>
        <v>3362</v>
      </c>
      <c r="J31" s="137">
        <v>3.98</v>
      </c>
      <c r="K31" s="38">
        <f>+$K$7</f>
        <v>0.05</v>
      </c>
      <c r="L31" s="39"/>
      <c r="M31" s="154">
        <f t="shared" si="12"/>
        <v>8.8900000000000007E-2</v>
      </c>
      <c r="N31" s="155">
        <f t="shared" si="13"/>
        <v>1741.5510000000002</v>
      </c>
      <c r="O31" s="155">
        <f t="shared" si="2"/>
        <v>1496.6759999999999</v>
      </c>
      <c r="P31" s="68">
        <f t="shared" si="14"/>
        <v>0</v>
      </c>
      <c r="Q31" s="147">
        <v>0</v>
      </c>
      <c r="R31" s="153">
        <f t="shared" si="6"/>
        <v>0</v>
      </c>
      <c r="S31" s="41">
        <f t="shared" si="7"/>
        <v>0</v>
      </c>
      <c r="T31" s="41"/>
      <c r="U31" s="42">
        <f t="shared" si="8"/>
        <v>3733.161290322581</v>
      </c>
      <c r="V31" s="192"/>
      <c r="W31" s="193"/>
      <c r="X31" s="149">
        <f>+J31+K31+$N$42</f>
        <v>4.1063999999999998</v>
      </c>
      <c r="Y31" s="44">
        <f t="shared" si="9"/>
        <v>84177.537290322594</v>
      </c>
    </row>
    <row r="32" spans="1:25" ht="20.100000000000001" customHeight="1" x14ac:dyDescent="0.3">
      <c r="A32" s="30">
        <f t="shared" si="4"/>
        <v>36671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5"/>
        <v>3362</v>
      </c>
      <c r="J32" s="137"/>
      <c r="K32" s="71"/>
      <c r="L32" s="72"/>
      <c r="M32" s="154">
        <f t="shared" si="12"/>
        <v>0</v>
      </c>
      <c r="N32" s="155">
        <f t="shared" si="13"/>
        <v>0</v>
      </c>
      <c r="O32" s="155">
        <f t="shared" si="2"/>
        <v>0</v>
      </c>
      <c r="P32" s="68">
        <f t="shared" si="14"/>
        <v>0</v>
      </c>
      <c r="Q32" s="147">
        <v>0</v>
      </c>
      <c r="R32" s="153">
        <f t="shared" si="6"/>
        <v>0</v>
      </c>
      <c r="S32" s="41">
        <f t="shared" si="7"/>
        <v>0</v>
      </c>
      <c r="T32" s="41"/>
      <c r="U32" s="42">
        <f t="shared" si="8"/>
        <v>3733.161290322581</v>
      </c>
      <c r="V32" s="192"/>
      <c r="W32" s="193"/>
      <c r="X32" s="149">
        <f t="shared" ref="X32:X38" si="15">+J32+K32</f>
        <v>0</v>
      </c>
      <c r="Y32" s="44">
        <f t="shared" si="9"/>
        <v>3733.161290322581</v>
      </c>
    </row>
    <row r="33" spans="1:26" ht="20.100000000000001" customHeight="1" x14ac:dyDescent="0.3">
      <c r="A33" s="30">
        <f t="shared" si="4"/>
        <v>36672</v>
      </c>
      <c r="B33" s="31">
        <v>4858</v>
      </c>
      <c r="C33" s="32">
        <v>4858</v>
      </c>
      <c r="D33" s="61">
        <f t="shared" si="0"/>
        <v>4966.4676535536109</v>
      </c>
      <c r="E33" s="32"/>
      <c r="F33" s="34"/>
      <c r="G33" s="35">
        <v>4858</v>
      </c>
      <c r="H33" s="36">
        <f t="shared" si="1"/>
        <v>0</v>
      </c>
      <c r="I33" s="37">
        <f t="shared" si="5"/>
        <v>3362</v>
      </c>
      <c r="J33" s="137">
        <v>4.3099999999999996</v>
      </c>
      <c r="K33" s="38">
        <f>+$K$7</f>
        <v>0.05</v>
      </c>
      <c r="L33" s="39"/>
      <c r="M33" s="154">
        <f t="shared" si="12"/>
        <v>9.6199999999999994E-2</v>
      </c>
      <c r="N33" s="155">
        <f t="shared" si="13"/>
        <v>467.33959999999996</v>
      </c>
      <c r="O33" s="155">
        <f t="shared" si="2"/>
        <v>371.15119999999996</v>
      </c>
      <c r="P33" s="68">
        <f t="shared" si="14"/>
        <v>0</v>
      </c>
      <c r="Q33" s="147">
        <v>0</v>
      </c>
      <c r="R33" s="153">
        <f t="shared" si="6"/>
        <v>0</v>
      </c>
      <c r="S33" s="41">
        <f t="shared" si="7"/>
        <v>0</v>
      </c>
      <c r="T33" s="41"/>
      <c r="U33" s="42">
        <f t="shared" si="8"/>
        <v>3733.161290322581</v>
      </c>
      <c r="V33" s="192"/>
      <c r="W33" s="193"/>
      <c r="X33" s="149">
        <f t="shared" si="15"/>
        <v>4.3599999999999994</v>
      </c>
      <c r="Y33" s="44">
        <f t="shared" si="9"/>
        <v>25285.192490322577</v>
      </c>
    </row>
    <row r="34" spans="1:26" ht="20.100000000000001" customHeight="1" x14ac:dyDescent="0.3">
      <c r="A34" s="30">
        <f t="shared" si="4"/>
        <v>36673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5"/>
        <v>3362</v>
      </c>
      <c r="J34" s="137"/>
      <c r="K34" s="38"/>
      <c r="L34" s="39"/>
      <c r="M34" s="154">
        <f t="shared" si="12"/>
        <v>0</v>
      </c>
      <c r="N34" s="155">
        <f t="shared" si="13"/>
        <v>0</v>
      </c>
      <c r="O34" s="155">
        <f t="shared" si="2"/>
        <v>0</v>
      </c>
      <c r="P34" s="68">
        <f t="shared" si="14"/>
        <v>0</v>
      </c>
      <c r="Q34" s="147">
        <v>0</v>
      </c>
      <c r="R34" s="153">
        <f t="shared" si="6"/>
        <v>0</v>
      </c>
      <c r="S34" s="41">
        <f t="shared" si="7"/>
        <v>0</v>
      </c>
      <c r="T34" s="41"/>
      <c r="U34" s="42">
        <f t="shared" si="8"/>
        <v>3733.161290322581</v>
      </c>
      <c r="V34" s="192"/>
      <c r="W34" s="193"/>
      <c r="X34" s="149">
        <f t="shared" si="15"/>
        <v>0</v>
      </c>
      <c r="Y34" s="44">
        <f t="shared" si="9"/>
        <v>3733.161290322581</v>
      </c>
    </row>
    <row r="35" spans="1:26" ht="20.100000000000001" customHeight="1" x14ac:dyDescent="0.3">
      <c r="A35" s="30">
        <f t="shared" si="4"/>
        <v>36674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5"/>
        <v>3362</v>
      </c>
      <c r="J35" s="137"/>
      <c r="K35" s="38"/>
      <c r="L35" s="39"/>
      <c r="M35" s="154">
        <f t="shared" si="12"/>
        <v>0</v>
      </c>
      <c r="N35" s="155">
        <f t="shared" si="13"/>
        <v>0</v>
      </c>
      <c r="O35" s="155">
        <f t="shared" si="2"/>
        <v>0</v>
      </c>
      <c r="P35" s="68">
        <f t="shared" si="14"/>
        <v>0</v>
      </c>
      <c r="Q35" s="147">
        <v>0</v>
      </c>
      <c r="R35" s="153">
        <f t="shared" si="6"/>
        <v>0</v>
      </c>
      <c r="S35" s="41">
        <f t="shared" si="7"/>
        <v>0</v>
      </c>
      <c r="T35" s="41"/>
      <c r="U35" s="42">
        <f t="shared" si="8"/>
        <v>3733.161290322581</v>
      </c>
      <c r="V35" s="192"/>
      <c r="W35" s="193"/>
      <c r="X35" s="149">
        <f t="shared" si="15"/>
        <v>0</v>
      </c>
      <c r="Y35" s="44">
        <f t="shared" si="9"/>
        <v>3733.161290322581</v>
      </c>
    </row>
    <row r="36" spans="1:26" ht="20.100000000000001" customHeight="1" x14ac:dyDescent="0.3">
      <c r="A36" s="30">
        <f t="shared" si="4"/>
        <v>36675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5"/>
        <v>3362</v>
      </c>
      <c r="J36" s="137"/>
      <c r="K36" s="38"/>
      <c r="L36" s="39"/>
      <c r="M36" s="154">
        <f t="shared" si="12"/>
        <v>0</v>
      </c>
      <c r="N36" s="155">
        <f t="shared" si="13"/>
        <v>0</v>
      </c>
      <c r="O36" s="155">
        <f t="shared" si="2"/>
        <v>0</v>
      </c>
      <c r="P36" s="68">
        <f t="shared" si="14"/>
        <v>0</v>
      </c>
      <c r="Q36" s="147">
        <v>0</v>
      </c>
      <c r="R36" s="153">
        <f t="shared" si="6"/>
        <v>0</v>
      </c>
      <c r="S36" s="41">
        <f t="shared" si="7"/>
        <v>0</v>
      </c>
      <c r="T36" s="41"/>
      <c r="U36" s="42">
        <f t="shared" si="8"/>
        <v>3733.161290322581</v>
      </c>
      <c r="V36" s="192"/>
      <c r="W36" s="193"/>
      <c r="X36" s="149">
        <f t="shared" si="15"/>
        <v>0</v>
      </c>
      <c r="Y36" s="44">
        <f t="shared" si="9"/>
        <v>3733.161290322581</v>
      </c>
    </row>
    <row r="37" spans="1:26" ht="20.100000000000001" customHeight="1" x14ac:dyDescent="0.3">
      <c r="A37" s="30">
        <f>A36+1</f>
        <v>36676</v>
      </c>
      <c r="B37" s="31"/>
      <c r="C37" s="32"/>
      <c r="D37" s="61">
        <f t="shared" si="0"/>
        <v>0</v>
      </c>
      <c r="E37" s="32"/>
      <c r="F37" s="34"/>
      <c r="G37" s="35"/>
      <c r="H37" s="36">
        <f>C37-G37</f>
        <v>0</v>
      </c>
      <c r="I37" s="37">
        <f>I36+H37</f>
        <v>3362</v>
      </c>
      <c r="J37" s="137"/>
      <c r="K37" s="38"/>
      <c r="L37" s="39"/>
      <c r="M37" s="154">
        <f t="shared" si="12"/>
        <v>0</v>
      </c>
      <c r="N37" s="155">
        <f t="shared" si="13"/>
        <v>0</v>
      </c>
      <c r="O37" s="155">
        <f t="shared" si="2"/>
        <v>0</v>
      </c>
      <c r="P37" s="68">
        <f t="shared" si="14"/>
        <v>0</v>
      </c>
      <c r="Q37" s="147">
        <v>0</v>
      </c>
      <c r="R37" s="153">
        <f t="shared" si="6"/>
        <v>0</v>
      </c>
      <c r="S37" s="41">
        <f t="shared" si="7"/>
        <v>0</v>
      </c>
      <c r="T37" s="41"/>
      <c r="U37" s="42">
        <f t="shared" si="8"/>
        <v>3733.161290322581</v>
      </c>
      <c r="V37" s="192"/>
      <c r="W37" s="193"/>
      <c r="X37" s="149">
        <f t="shared" si="15"/>
        <v>0</v>
      </c>
      <c r="Y37" s="44">
        <f t="shared" si="9"/>
        <v>3733.161290322581</v>
      </c>
    </row>
    <row r="38" spans="1:26" ht="20.100000000000001" customHeight="1" x14ac:dyDescent="0.3">
      <c r="A38" s="30">
        <f>A37+1</f>
        <v>36677</v>
      </c>
      <c r="B38" s="31"/>
      <c r="C38" s="32"/>
      <c r="D38" s="61">
        <f t="shared" si="0"/>
        <v>0</v>
      </c>
      <c r="E38" s="32"/>
      <c r="F38" s="34"/>
      <c r="G38" s="35"/>
      <c r="H38" s="36">
        <f t="shared" si="1"/>
        <v>0</v>
      </c>
      <c r="I38" s="37">
        <f>I36+H38</f>
        <v>3362</v>
      </c>
      <c r="J38" s="137"/>
      <c r="K38" s="38"/>
      <c r="L38" s="39"/>
      <c r="M38" s="154">
        <f t="shared" si="12"/>
        <v>0</v>
      </c>
      <c r="N38" s="155">
        <f t="shared" si="13"/>
        <v>0</v>
      </c>
      <c r="O38" s="155">
        <f t="shared" si="2"/>
        <v>0</v>
      </c>
      <c r="P38" s="68">
        <f t="shared" si="14"/>
        <v>0</v>
      </c>
      <c r="Q38" s="147">
        <v>0</v>
      </c>
      <c r="R38" s="153">
        <f t="shared" si="6"/>
        <v>0</v>
      </c>
      <c r="S38" s="41">
        <f t="shared" si="7"/>
        <v>0</v>
      </c>
      <c r="T38" s="41"/>
      <c r="U38" s="42">
        <f t="shared" si="8"/>
        <v>3733.161290322581</v>
      </c>
      <c r="V38" s="192"/>
      <c r="W38" s="193"/>
      <c r="X38" s="149">
        <f t="shared" si="15"/>
        <v>0</v>
      </c>
      <c r="Y38" s="44">
        <f t="shared" si="9"/>
        <v>3733.161290322581</v>
      </c>
    </row>
    <row r="39" spans="1:26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5"/>
      <c r="K39" s="88"/>
      <c r="L39" s="88"/>
      <c r="M39" s="88"/>
      <c r="N39" s="88"/>
      <c r="O39" s="88"/>
      <c r="P39" s="88"/>
      <c r="Q39" s="85"/>
      <c r="R39" s="85"/>
      <c r="S39" s="85"/>
      <c r="T39" s="85"/>
      <c r="U39" s="85"/>
      <c r="V39" s="225"/>
      <c r="W39" s="226"/>
      <c r="X39" s="89"/>
      <c r="Y39" s="85"/>
    </row>
    <row r="40" spans="1:26" ht="20.100000000000001" customHeight="1" thickBot="1" x14ac:dyDescent="0.35">
      <c r="A40" s="90" t="s">
        <v>33</v>
      </c>
      <c r="B40" s="91">
        <f t="shared" ref="B40:G40" si="16">SUM(B8:B38)</f>
        <v>316700</v>
      </c>
      <c r="C40" s="92">
        <f t="shared" si="16"/>
        <v>316700</v>
      </c>
      <c r="D40" s="92">
        <f t="shared" si="16"/>
        <v>323771.16218205605</v>
      </c>
      <c r="E40" s="94">
        <f t="shared" si="16"/>
        <v>0</v>
      </c>
      <c r="F40" s="95">
        <f t="shared" si="16"/>
        <v>0</v>
      </c>
      <c r="G40" s="92">
        <f t="shared" si="16"/>
        <v>313338</v>
      </c>
      <c r="H40" s="96"/>
      <c r="I40" s="96"/>
      <c r="J40" s="96"/>
      <c r="K40" s="97"/>
      <c r="L40" s="97"/>
      <c r="M40" s="97"/>
      <c r="N40" s="98">
        <f t="shared" ref="N40:U40" si="17">SUM(N8:N38)</f>
        <v>23936.500099999997</v>
      </c>
      <c r="O40" s="98">
        <f t="shared" si="17"/>
        <v>23939.0232</v>
      </c>
      <c r="P40" s="98">
        <f t="shared" si="17"/>
        <v>139.52300000000002</v>
      </c>
      <c r="Q40" s="152">
        <f t="shared" si="17"/>
        <v>41528</v>
      </c>
      <c r="R40" s="152">
        <f t="shared" si="17"/>
        <v>-942.68559999999979</v>
      </c>
      <c r="S40" s="99">
        <f t="shared" si="17"/>
        <v>-1245.8399999999999</v>
      </c>
      <c r="T40" s="99">
        <f t="shared" si="17"/>
        <v>0</v>
      </c>
      <c r="U40" s="99">
        <f t="shared" si="17"/>
        <v>115727.99999999996</v>
      </c>
      <c r="V40" s="223"/>
      <c r="W40" s="224"/>
      <c r="X40" s="96"/>
      <c r="Y40" s="100">
        <f>SUM(Y8:Y38)</f>
        <v>1225332.1756000007</v>
      </c>
    </row>
    <row r="41" spans="1:26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4"/>
      <c r="M41" s="103" t="s">
        <v>94</v>
      </c>
      <c r="P41" s="103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6" ht="21" customHeight="1" x14ac:dyDescent="0.3">
      <c r="A42" s="105"/>
      <c r="B42" s="106"/>
      <c r="C42" s="103"/>
      <c r="D42" s="103"/>
      <c r="E42" s="104"/>
      <c r="F42" s="107" t="s">
        <v>34</v>
      </c>
      <c r="G42" s="108">
        <f>'Apr 2000'!G41+'MAY 2000'!G40</f>
        <v>346188</v>
      </c>
      <c r="H42" s="109" t="s">
        <v>26</v>
      </c>
      <c r="K42" s="104"/>
      <c r="L42" s="104"/>
      <c r="M42" s="107" t="s">
        <v>91</v>
      </c>
      <c r="N42" s="157">
        <f>ROUND(+N40/G40,4)</f>
        <v>7.6399999999999996E-2</v>
      </c>
      <c r="O42" s="156"/>
      <c r="P42" s="104"/>
      <c r="Q42" s="104"/>
      <c r="R42" s="104"/>
      <c r="S42" s="104" t="s">
        <v>87</v>
      </c>
      <c r="U42" s="104"/>
      <c r="V42" s="104"/>
      <c r="W42" s="104"/>
      <c r="X42" s="110" t="s">
        <v>36</v>
      </c>
      <c r="Y42" s="111">
        <v>5854.83</v>
      </c>
      <c r="Z42" s="112"/>
    </row>
    <row r="43" spans="1:26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O43" s="104"/>
      <c r="P43" s="104"/>
      <c r="Q43" s="104"/>
      <c r="R43" s="104"/>
      <c r="S43" s="104"/>
      <c r="T43" s="104"/>
      <c r="U43" s="104"/>
      <c r="V43" s="104"/>
      <c r="W43" s="104"/>
      <c r="X43" s="110" t="s">
        <v>38</v>
      </c>
      <c r="Y43" s="113">
        <f>Y40-Y44-Y45-Y46-Y47-Y48-Y49-Y50-Y53</f>
        <v>1072047.2550000008</v>
      </c>
      <c r="Z43" s="114"/>
    </row>
    <row r="44" spans="1:26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5"/>
      <c r="K44" s="117"/>
      <c r="L44" s="117"/>
      <c r="M44" s="117"/>
      <c r="N44" s="117"/>
      <c r="O44" s="117"/>
      <c r="P44" s="104"/>
      <c r="Q44" s="104"/>
      <c r="R44" s="104"/>
      <c r="S44" s="104"/>
      <c r="T44" s="104"/>
      <c r="U44" s="104"/>
      <c r="V44" s="104"/>
      <c r="W44" s="117"/>
      <c r="X44" s="110" t="s">
        <v>40</v>
      </c>
      <c r="Y44" s="113">
        <f>(G40*0.05)</f>
        <v>15666.900000000001</v>
      </c>
    </row>
    <row r="45" spans="1:26" ht="21" customHeight="1" x14ac:dyDescent="0.3">
      <c r="A45" s="101"/>
      <c r="B45" s="118" t="s">
        <v>41</v>
      </c>
      <c r="C45" s="116">
        <f ca="1">NOW()</f>
        <v>36676.347972222226</v>
      </c>
      <c r="D45" s="116"/>
      <c r="E45" s="117"/>
      <c r="F45" s="117"/>
      <c r="G45" s="117"/>
      <c r="H45" s="117"/>
      <c r="I45" s="117"/>
      <c r="J45" s="117"/>
      <c r="K45" s="115" t="s">
        <v>42</v>
      </c>
      <c r="L45" s="115"/>
      <c r="M45" s="115"/>
      <c r="N45" s="115"/>
      <c r="O45" s="115"/>
      <c r="P45" s="104"/>
      <c r="Q45" s="104"/>
      <c r="R45" s="104"/>
      <c r="S45" s="104"/>
      <c r="T45" s="104"/>
      <c r="U45" s="104"/>
      <c r="V45" s="104"/>
      <c r="W45" s="117"/>
      <c r="X45" s="110" t="s">
        <v>73</v>
      </c>
      <c r="Y45" s="113">
        <v>0</v>
      </c>
      <c r="Z45" s="114"/>
    </row>
    <row r="46" spans="1:26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17"/>
      <c r="M46" s="117"/>
      <c r="N46" s="117"/>
      <c r="O46" s="117"/>
      <c r="P46" s="104"/>
      <c r="Q46" s="104"/>
      <c r="R46" s="104"/>
      <c r="S46" s="104"/>
      <c r="T46" s="104"/>
      <c r="U46" s="104"/>
      <c r="V46" s="104"/>
      <c r="W46" s="104"/>
      <c r="X46" s="110" t="s">
        <v>63</v>
      </c>
      <c r="Y46" s="113">
        <f>+P40</f>
        <v>139.52300000000002</v>
      </c>
      <c r="Z46" s="119"/>
    </row>
    <row r="47" spans="1:26" ht="21" customHeight="1" x14ac:dyDescent="0.3">
      <c r="A47" s="101"/>
      <c r="B47" s="117"/>
      <c r="C47" s="117"/>
      <c r="D47" s="117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04"/>
      <c r="Q47" s="104"/>
      <c r="R47" s="104"/>
      <c r="S47" s="104"/>
      <c r="T47" s="104"/>
      <c r="U47" s="104"/>
      <c r="V47" s="104"/>
      <c r="W47" s="104"/>
      <c r="X47" s="110" t="s">
        <v>65</v>
      </c>
      <c r="Y47" s="113">
        <f>+O40</f>
        <v>23939.0232</v>
      </c>
      <c r="Z47" s="119"/>
    </row>
    <row r="48" spans="1:26" ht="21" customHeight="1" x14ac:dyDescent="0.3">
      <c r="D48" s="179"/>
      <c r="E48" s="180"/>
      <c r="F48" s="180"/>
      <c r="G48" s="180"/>
      <c r="H48" s="180"/>
      <c r="I48" s="180"/>
      <c r="J48" s="180"/>
      <c r="K48" s="180"/>
      <c r="X48" s="110" t="s">
        <v>88</v>
      </c>
      <c r="Y48" s="123">
        <f>+R40</f>
        <v>-942.68559999999979</v>
      </c>
      <c r="Z48" s="124"/>
    </row>
    <row r="49" spans="4:26" ht="21" customHeight="1" x14ac:dyDescent="0.3">
      <c r="D49" s="179"/>
      <c r="E49" s="180"/>
      <c r="F49" s="180"/>
      <c r="G49" s="180"/>
      <c r="H49" s="180"/>
      <c r="I49" s="180"/>
      <c r="J49" s="180"/>
      <c r="K49" s="180"/>
      <c r="X49" s="110" t="s">
        <v>89</v>
      </c>
      <c r="Y49" s="123">
        <f>+S40</f>
        <v>-1245.8399999999999</v>
      </c>
      <c r="Z49" s="124"/>
    </row>
    <row r="50" spans="4:26" ht="21" customHeight="1" x14ac:dyDescent="0.3">
      <c r="D50" s="121"/>
      <c r="E50" s="122"/>
      <c r="F50" s="122"/>
      <c r="G50" s="122"/>
      <c r="H50" s="122"/>
      <c r="I50" s="122"/>
      <c r="J50" s="122"/>
      <c r="K50" s="122"/>
      <c r="X50" s="110" t="s">
        <v>79</v>
      </c>
      <c r="Y50" s="123">
        <f>+T40</f>
        <v>0</v>
      </c>
      <c r="Z50" s="124"/>
    </row>
    <row r="51" spans="4:26" ht="21" customHeight="1" x14ac:dyDescent="0.3">
      <c r="X51" s="128" t="s">
        <v>81</v>
      </c>
      <c r="Y51" s="129">
        <f>SUM(Y42:Y50)</f>
        <v>1115459.0056000007</v>
      </c>
      <c r="Z51" s="124"/>
    </row>
    <row r="52" spans="4:26" ht="21" customHeight="1" x14ac:dyDescent="0.3">
      <c r="X52" s="128"/>
      <c r="Y52" s="129"/>
      <c r="Z52" s="124"/>
    </row>
    <row r="53" spans="4:26" ht="21" customHeight="1" x14ac:dyDescent="0.3">
      <c r="X53" s="110" t="s">
        <v>80</v>
      </c>
      <c r="Y53" s="123">
        <f>+U40</f>
        <v>115727.99999999996</v>
      </c>
      <c r="Z53" s="124"/>
    </row>
    <row r="54" spans="4:26" ht="21" customHeight="1" x14ac:dyDescent="0.3">
      <c r="X54" s="110"/>
      <c r="Y54" s="123"/>
      <c r="Z54" s="124"/>
    </row>
    <row r="55" spans="4:26" ht="21" customHeight="1" x14ac:dyDescent="0.3">
      <c r="U55" s="130" t="s">
        <v>69</v>
      </c>
      <c r="V55" s="104"/>
      <c r="X55" s="110" t="s">
        <v>48</v>
      </c>
      <c r="Y55" s="123">
        <v>0</v>
      </c>
      <c r="Z55" s="124"/>
    </row>
    <row r="56" spans="4:26" ht="21" customHeight="1" x14ac:dyDescent="0.3">
      <c r="U56" s="130" t="s">
        <v>70</v>
      </c>
      <c r="X56" s="110" t="s">
        <v>50</v>
      </c>
      <c r="Y56" s="123">
        <v>0</v>
      </c>
      <c r="Z56" s="124"/>
    </row>
    <row r="57" spans="4:26" x14ac:dyDescent="0.3">
      <c r="U57" s="130" t="s">
        <v>51</v>
      </c>
      <c r="X57" s="126" t="s">
        <v>52</v>
      </c>
      <c r="Y57" s="111">
        <v>0</v>
      </c>
    </row>
    <row r="58" spans="4:26" ht="21" customHeight="1" thickBot="1" x14ac:dyDescent="0.35">
      <c r="X58" s="8" t="s">
        <v>86</v>
      </c>
      <c r="Y58" s="131">
        <f>Y51+Y53+Y55+Y56+Y57</f>
        <v>1231187.0056000007</v>
      </c>
    </row>
    <row r="59" spans="4:26" ht="17.399999999999999" thickTop="1" x14ac:dyDescent="0.3"/>
  </sheetData>
  <mergeCells count="61">
    <mergeCell ref="D48:K48"/>
    <mergeCell ref="M4:M6"/>
    <mergeCell ref="N4:N6"/>
    <mergeCell ref="O4:O6"/>
    <mergeCell ref="J4:J6"/>
    <mergeCell ref="A4:A6"/>
    <mergeCell ref="X4:X7"/>
    <mergeCell ref="D4:D6"/>
    <mergeCell ref="B4:B6"/>
    <mergeCell ref="F4:G6"/>
    <mergeCell ref="C4:C6"/>
    <mergeCell ref="H4:H6"/>
    <mergeCell ref="Q4:T4"/>
    <mergeCell ref="W1:X1"/>
    <mergeCell ref="A1:V1"/>
    <mergeCell ref="V3:X3"/>
    <mergeCell ref="K3:U3"/>
    <mergeCell ref="H3:I3"/>
    <mergeCell ref="E3:G3"/>
    <mergeCell ref="B3:D3"/>
    <mergeCell ref="D49:K49"/>
    <mergeCell ref="V4:W7"/>
    <mergeCell ref="I4:I6"/>
    <mergeCell ref="E4:E6"/>
    <mergeCell ref="V10:W10"/>
    <mergeCell ref="V11:W11"/>
    <mergeCell ref="V12:W12"/>
    <mergeCell ref="V17:W17"/>
    <mergeCell ref="V18:W18"/>
    <mergeCell ref="V19:W19"/>
    <mergeCell ref="Y3:Y7"/>
    <mergeCell ref="K4:K6"/>
    <mergeCell ref="P4:P6"/>
    <mergeCell ref="V16:W16"/>
    <mergeCell ref="V8:W8"/>
    <mergeCell ref="V9:W9"/>
    <mergeCell ref="L4:L6"/>
    <mergeCell ref="V14:W14"/>
    <mergeCell ref="V15:W15"/>
    <mergeCell ref="V13:W13"/>
    <mergeCell ref="V26:W26"/>
    <mergeCell ref="V27:W27"/>
    <mergeCell ref="V20:W20"/>
    <mergeCell ref="V21:W21"/>
    <mergeCell ref="V22:W22"/>
    <mergeCell ref="V23:W23"/>
    <mergeCell ref="V24:W24"/>
    <mergeCell ref="V25:W25"/>
    <mergeCell ref="V40:W40"/>
    <mergeCell ref="V39:W39"/>
    <mergeCell ref="V35:W35"/>
    <mergeCell ref="V36:W36"/>
    <mergeCell ref="V38:W38"/>
    <mergeCell ref="V37:W37"/>
    <mergeCell ref="V32:W32"/>
    <mergeCell ref="V33:W33"/>
    <mergeCell ref="V34:W34"/>
    <mergeCell ref="V28:W28"/>
    <mergeCell ref="V29:W29"/>
    <mergeCell ref="V30:W30"/>
    <mergeCell ref="V31:W31"/>
  </mergeCells>
  <pageMargins left="0.35" right="0.31" top="0.37" bottom="0.34" header="0.17" footer="0.26"/>
  <pageSetup scale="35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7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9.109375" defaultRowHeight="16.8" x14ac:dyDescent="0.3"/>
  <cols>
    <col min="1" max="1" width="10.44140625" style="120" customWidth="1"/>
    <col min="2" max="4" width="14" style="2" customWidth="1"/>
    <col min="5" max="5" width="14.109375" style="2" customWidth="1"/>
    <col min="6" max="6" width="13.6640625" style="2" customWidth="1"/>
    <col min="7" max="7" width="13.88671875" style="2" customWidth="1"/>
    <col min="8" max="8" width="13.6640625" style="2" customWidth="1"/>
    <col min="9" max="9" width="14.33203125" style="2" customWidth="1"/>
    <col min="10" max="10" width="15.6640625" style="2" customWidth="1"/>
    <col min="11" max="11" width="4.6640625" style="2" customWidth="1"/>
    <col min="12" max="12" width="14.6640625" style="2" customWidth="1"/>
    <col min="13" max="13" width="17" style="2" customWidth="1"/>
    <col min="14" max="14" width="16.88671875" style="2" customWidth="1"/>
    <col min="15" max="15" width="18.5546875" style="2" customWidth="1"/>
    <col min="16" max="16" width="15.109375" style="2" customWidth="1"/>
    <col min="17" max="17" width="16.88671875" style="2" customWidth="1"/>
    <col min="18" max="18" width="24.88671875" style="2" customWidth="1"/>
    <col min="19" max="19" width="24.6640625" style="2" customWidth="1"/>
    <col min="20" max="22" width="9.109375" style="2"/>
    <col min="23" max="23" width="9.44140625" style="2" customWidth="1"/>
    <col min="24" max="24" width="11.33203125" style="2" customWidth="1"/>
    <col min="25" max="16384" width="9.109375" style="2"/>
  </cols>
  <sheetData>
    <row r="1" spans="1:24" ht="22.8" x14ac:dyDescent="0.4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7">
        <f>A4</f>
        <v>117610</v>
      </c>
      <c r="Q1" s="167"/>
      <c r="R1" s="1"/>
      <c r="S1" s="1"/>
    </row>
    <row r="2" spans="1:24" ht="17.399999999999999" thickBo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6"/>
    </row>
    <row r="3" spans="1:24" ht="15.75" customHeight="1" thickBot="1" x14ac:dyDescent="0.35">
      <c r="A3" s="7"/>
      <c r="B3" s="176" t="s">
        <v>1</v>
      </c>
      <c r="C3" s="177"/>
      <c r="D3" s="178"/>
      <c r="E3" s="174" t="s">
        <v>2</v>
      </c>
      <c r="F3" s="174"/>
      <c r="G3" s="175"/>
      <c r="H3" s="171" t="s">
        <v>3</v>
      </c>
      <c r="I3" s="173"/>
      <c r="J3" s="171" t="s">
        <v>4</v>
      </c>
      <c r="K3" s="172"/>
      <c r="L3" s="172"/>
      <c r="M3" s="172"/>
      <c r="N3" s="173"/>
      <c r="O3" s="169" t="s">
        <v>5</v>
      </c>
      <c r="P3" s="169"/>
      <c r="Q3" s="170"/>
      <c r="R3" s="208" t="s">
        <v>54</v>
      </c>
      <c r="V3" s="8" t="s">
        <v>6</v>
      </c>
      <c r="W3" s="9">
        <v>0.97884000000000004</v>
      </c>
      <c r="X3" s="10" t="s">
        <v>7</v>
      </c>
    </row>
    <row r="4" spans="1:24" ht="18" customHeight="1" x14ac:dyDescent="0.3">
      <c r="A4" s="158">
        <v>117610</v>
      </c>
      <c r="B4" s="194" t="s">
        <v>8</v>
      </c>
      <c r="C4" s="203" t="s">
        <v>9</v>
      </c>
      <c r="D4" s="164" t="s">
        <v>10</v>
      </c>
      <c r="E4" s="189" t="s">
        <v>11</v>
      </c>
      <c r="F4" s="197" t="s">
        <v>12</v>
      </c>
      <c r="G4" s="198"/>
      <c r="H4" s="206" t="s">
        <v>13</v>
      </c>
      <c r="I4" s="187" t="s">
        <v>14</v>
      </c>
      <c r="J4" s="210" t="s">
        <v>15</v>
      </c>
      <c r="K4" s="216"/>
      <c r="L4" s="212" t="s">
        <v>16</v>
      </c>
      <c r="M4" s="217" t="s">
        <v>17</v>
      </c>
      <c r="N4" s="218"/>
      <c r="O4" s="181" t="s">
        <v>18</v>
      </c>
      <c r="P4" s="182"/>
      <c r="Q4" s="161" t="s">
        <v>19</v>
      </c>
      <c r="R4" s="208"/>
      <c r="V4" s="8" t="s">
        <v>20</v>
      </c>
      <c r="W4" s="11">
        <v>0.05</v>
      </c>
    </row>
    <row r="5" spans="1:24" ht="17.25" customHeight="1" x14ac:dyDescent="0.3">
      <c r="A5" s="159"/>
      <c r="B5" s="195"/>
      <c r="C5" s="204"/>
      <c r="D5" s="165"/>
      <c r="E5" s="190"/>
      <c r="F5" s="199"/>
      <c r="G5" s="200"/>
      <c r="H5" s="206"/>
      <c r="I5" s="187"/>
      <c r="J5" s="210"/>
      <c r="K5" s="216"/>
      <c r="L5" s="213"/>
      <c r="M5" s="12" t="s">
        <v>21</v>
      </c>
      <c r="N5" s="13" t="s">
        <v>22</v>
      </c>
      <c r="O5" s="183"/>
      <c r="P5" s="184"/>
      <c r="Q5" s="162"/>
      <c r="R5" s="208"/>
      <c r="V5" s="8" t="s">
        <v>23</v>
      </c>
      <c r="W5" s="11">
        <v>0.03</v>
      </c>
    </row>
    <row r="6" spans="1:24" ht="16.5" customHeight="1" thickBot="1" x14ac:dyDescent="0.35">
      <c r="A6" s="160"/>
      <c r="B6" s="196"/>
      <c r="C6" s="205"/>
      <c r="D6" s="166"/>
      <c r="E6" s="191"/>
      <c r="F6" s="201"/>
      <c r="G6" s="202"/>
      <c r="H6" s="207"/>
      <c r="I6" s="188"/>
      <c r="J6" s="211"/>
      <c r="K6" s="216"/>
      <c r="L6" s="213"/>
      <c r="M6" s="14"/>
      <c r="N6" s="15">
        <v>40000</v>
      </c>
      <c r="O6" s="183"/>
      <c r="P6" s="184"/>
      <c r="Q6" s="162"/>
      <c r="R6" s="208"/>
      <c r="T6" s="16" t="s">
        <v>24</v>
      </c>
      <c r="U6" s="8"/>
    </row>
    <row r="7" spans="1:24" ht="15" customHeight="1" thickBot="1" x14ac:dyDescent="0.35">
      <c r="A7" s="17" t="s">
        <v>25</v>
      </c>
      <c r="B7" s="18" t="s">
        <v>26</v>
      </c>
      <c r="C7" s="19" t="s">
        <v>26</v>
      </c>
      <c r="D7" s="20" t="s">
        <v>26</v>
      </c>
      <c r="E7" s="21" t="s">
        <v>26</v>
      </c>
      <c r="F7" s="22" t="s">
        <v>27</v>
      </c>
      <c r="G7" s="23" t="s">
        <v>28</v>
      </c>
      <c r="H7" s="24" t="s">
        <v>29</v>
      </c>
      <c r="I7" s="19" t="s">
        <v>29</v>
      </c>
      <c r="J7" s="25" t="s">
        <v>30</v>
      </c>
      <c r="K7" s="26"/>
      <c r="L7" s="27">
        <v>4.1500000000000002E-2</v>
      </c>
      <c r="M7" s="28">
        <v>1.54E-2</v>
      </c>
      <c r="N7" s="132">
        <f>2.8932</f>
        <v>2.8932000000000002</v>
      </c>
      <c r="O7" s="185"/>
      <c r="P7" s="186"/>
      <c r="Q7" s="163"/>
      <c r="R7" s="209"/>
      <c r="T7" s="29"/>
      <c r="U7" s="29" t="s">
        <v>31</v>
      </c>
    </row>
    <row r="8" spans="1:24" ht="20.100000000000001" customHeight="1" x14ac:dyDescent="0.3">
      <c r="A8" s="30">
        <f>A4</f>
        <v>117610</v>
      </c>
      <c r="B8" s="31"/>
      <c r="C8" s="32"/>
      <c r="D8" s="33">
        <f t="shared" ref="D8:D38" si="0">C8/$W$3</f>
        <v>0</v>
      </c>
      <c r="E8" s="32"/>
      <c r="F8" s="34"/>
      <c r="G8" s="35"/>
      <c r="H8" s="36">
        <f t="shared" ref="H8:H38" si="1">C8-G8</f>
        <v>0</v>
      </c>
      <c r="I8" s="37">
        <f>H8</f>
        <v>0</v>
      </c>
      <c r="J8" s="38"/>
      <c r="K8" s="39"/>
      <c r="L8" s="40">
        <f t="shared" ref="L8:L38" si="2">(IF(H8&lt;0,-H8*$L$7,H8*$L$7))</f>
        <v>0</v>
      </c>
      <c r="M8" s="41">
        <f t="shared" ref="M8:M38" si="3">G8*$M$7</f>
        <v>0</v>
      </c>
      <c r="N8" s="42">
        <f>(N6*N7)/31</f>
        <v>3733.161290322581</v>
      </c>
      <c r="O8" s="214"/>
      <c r="P8" s="215"/>
      <c r="Q8" s="43" t="s">
        <v>32</v>
      </c>
      <c r="R8" s="44">
        <f t="shared" ref="R8:R38" si="4">G8*J8+L8+M8+N8</f>
        <v>3733.161290322581</v>
      </c>
    </row>
    <row r="9" spans="1:24" ht="20.100000000000001" customHeight="1" x14ac:dyDescent="0.3">
      <c r="A9" s="30">
        <f t="shared" ref="A9:A38" si="5">A8+1</f>
        <v>117611</v>
      </c>
      <c r="B9" s="31"/>
      <c r="C9" s="32"/>
      <c r="D9" s="33">
        <f t="shared" si="0"/>
        <v>0</v>
      </c>
      <c r="E9" s="32"/>
      <c r="F9" s="34"/>
      <c r="G9" s="35"/>
      <c r="H9" s="36">
        <f t="shared" si="1"/>
        <v>0</v>
      </c>
      <c r="I9" s="37">
        <f t="shared" ref="I9:I38" si="6">I8+H9</f>
        <v>0</v>
      </c>
      <c r="J9" s="38">
        <v>3</v>
      </c>
      <c r="K9" s="39"/>
      <c r="L9" s="40">
        <f t="shared" si="2"/>
        <v>0</v>
      </c>
      <c r="M9" s="41">
        <f t="shared" si="3"/>
        <v>0</v>
      </c>
      <c r="N9" s="45">
        <f t="shared" ref="N9:N38" si="7">N8</f>
        <v>3733.161290322581</v>
      </c>
      <c r="O9" s="192"/>
      <c r="P9" s="193"/>
      <c r="Q9" s="43" t="s">
        <v>32</v>
      </c>
      <c r="R9" s="44">
        <f t="shared" si="4"/>
        <v>3733.161290322581</v>
      </c>
    </row>
    <row r="10" spans="1:24" ht="20.100000000000001" customHeight="1" x14ac:dyDescent="0.3">
      <c r="A10" s="30">
        <f t="shared" si="5"/>
        <v>117612</v>
      </c>
      <c r="B10" s="31"/>
      <c r="C10" s="32"/>
      <c r="D10" s="33">
        <f t="shared" si="0"/>
        <v>0</v>
      </c>
      <c r="E10" s="32"/>
      <c r="F10" s="34"/>
      <c r="G10" s="35"/>
      <c r="H10" s="36">
        <f t="shared" si="1"/>
        <v>0</v>
      </c>
      <c r="I10" s="37">
        <f t="shared" si="6"/>
        <v>0</v>
      </c>
      <c r="J10" s="38"/>
      <c r="K10" s="39"/>
      <c r="L10" s="40">
        <f t="shared" si="2"/>
        <v>0</v>
      </c>
      <c r="M10" s="41">
        <f t="shared" si="3"/>
        <v>0</v>
      </c>
      <c r="N10" s="45">
        <f t="shared" si="7"/>
        <v>3733.161290322581</v>
      </c>
      <c r="O10" s="192"/>
      <c r="P10" s="193"/>
      <c r="Q10" s="43" t="s">
        <v>32</v>
      </c>
      <c r="R10" s="44">
        <f t="shared" si="4"/>
        <v>3733.161290322581</v>
      </c>
    </row>
    <row r="11" spans="1:24" ht="20.100000000000001" customHeight="1" x14ac:dyDescent="0.3">
      <c r="A11" s="30">
        <f t="shared" si="5"/>
        <v>117613</v>
      </c>
      <c r="B11" s="31"/>
      <c r="C11" s="32"/>
      <c r="D11" s="33">
        <f t="shared" si="0"/>
        <v>0</v>
      </c>
      <c r="E11" s="32"/>
      <c r="F11" s="34"/>
      <c r="G11" s="46"/>
      <c r="H11" s="36">
        <f t="shared" si="1"/>
        <v>0</v>
      </c>
      <c r="I11" s="37">
        <f t="shared" si="6"/>
        <v>0</v>
      </c>
      <c r="J11" s="38"/>
      <c r="K11" s="39"/>
      <c r="L11" s="40">
        <f t="shared" si="2"/>
        <v>0</v>
      </c>
      <c r="M11" s="41">
        <f t="shared" si="3"/>
        <v>0</v>
      </c>
      <c r="N11" s="45">
        <f t="shared" si="7"/>
        <v>3733.161290322581</v>
      </c>
      <c r="O11" s="192"/>
      <c r="P11" s="193"/>
      <c r="Q11" s="43" t="s">
        <v>32</v>
      </c>
      <c r="R11" s="44">
        <f t="shared" si="4"/>
        <v>3733.161290322581</v>
      </c>
    </row>
    <row r="12" spans="1:24" ht="20.100000000000001" customHeight="1" x14ac:dyDescent="0.3">
      <c r="A12" s="30">
        <f t="shared" si="5"/>
        <v>117614</v>
      </c>
      <c r="B12" s="31"/>
      <c r="C12" s="32"/>
      <c r="D12" s="33">
        <f t="shared" si="0"/>
        <v>0</v>
      </c>
      <c r="E12" s="32"/>
      <c r="F12" s="47"/>
      <c r="G12" s="46"/>
      <c r="H12" s="36">
        <f t="shared" si="1"/>
        <v>0</v>
      </c>
      <c r="I12" s="37">
        <f t="shared" si="6"/>
        <v>0</v>
      </c>
      <c r="J12" s="38"/>
      <c r="K12" s="39"/>
      <c r="L12" s="40">
        <f t="shared" si="2"/>
        <v>0</v>
      </c>
      <c r="M12" s="41">
        <f t="shared" si="3"/>
        <v>0</v>
      </c>
      <c r="N12" s="45">
        <f t="shared" si="7"/>
        <v>3733.161290322581</v>
      </c>
      <c r="O12" s="192"/>
      <c r="P12" s="193"/>
      <c r="Q12" s="43" t="s">
        <v>32</v>
      </c>
      <c r="R12" s="44">
        <f t="shared" si="4"/>
        <v>3733.161290322581</v>
      </c>
    </row>
    <row r="13" spans="1:24" ht="16.95" customHeight="1" x14ac:dyDescent="0.3">
      <c r="A13" s="30">
        <f t="shared" si="5"/>
        <v>117615</v>
      </c>
      <c r="B13" s="48"/>
      <c r="C13" s="49"/>
      <c r="D13" s="50">
        <f t="shared" si="0"/>
        <v>0</v>
      </c>
      <c r="E13" s="51"/>
      <c r="F13" s="52"/>
      <c r="G13" s="53"/>
      <c r="H13" s="48">
        <f t="shared" si="1"/>
        <v>0</v>
      </c>
      <c r="I13" s="37">
        <f t="shared" si="6"/>
        <v>0</v>
      </c>
      <c r="J13" s="38"/>
      <c r="K13" s="39"/>
      <c r="L13" s="54">
        <f t="shared" si="2"/>
        <v>0</v>
      </c>
      <c r="M13" s="55">
        <f t="shared" si="3"/>
        <v>0</v>
      </c>
      <c r="N13" s="56">
        <f t="shared" si="7"/>
        <v>3733.161290322581</v>
      </c>
      <c r="O13" s="229"/>
      <c r="P13" s="228"/>
      <c r="Q13" s="57" t="s">
        <v>32</v>
      </c>
      <c r="R13" s="58">
        <f t="shared" si="4"/>
        <v>3733.161290322581</v>
      </c>
    </row>
    <row r="14" spans="1:24" ht="20.100000000000001" customHeight="1" x14ac:dyDescent="0.3">
      <c r="A14" s="30">
        <f t="shared" si="5"/>
        <v>117616</v>
      </c>
      <c r="B14" s="59"/>
      <c r="C14" s="60"/>
      <c r="D14" s="61">
        <f t="shared" si="0"/>
        <v>0</v>
      </c>
      <c r="E14" s="62"/>
      <c r="F14" s="63"/>
      <c r="G14" s="64"/>
      <c r="H14" s="65">
        <f t="shared" si="1"/>
        <v>0</v>
      </c>
      <c r="I14" s="37">
        <f t="shared" si="6"/>
        <v>0</v>
      </c>
      <c r="J14" s="66"/>
      <c r="K14" s="39"/>
      <c r="L14" s="67">
        <f t="shared" si="2"/>
        <v>0</v>
      </c>
      <c r="M14" s="41">
        <f t="shared" si="3"/>
        <v>0</v>
      </c>
      <c r="N14" s="45">
        <f t="shared" si="7"/>
        <v>3733.161290322581</v>
      </c>
      <c r="O14" s="219"/>
      <c r="P14" s="220"/>
      <c r="Q14" s="43" t="s">
        <v>32</v>
      </c>
      <c r="R14" s="44">
        <f t="shared" si="4"/>
        <v>3733.161290322581</v>
      </c>
    </row>
    <row r="15" spans="1:24" ht="20.100000000000001" customHeight="1" x14ac:dyDescent="0.3">
      <c r="A15" s="30">
        <f t="shared" si="5"/>
        <v>117617</v>
      </c>
      <c r="B15" s="31"/>
      <c r="C15" s="32"/>
      <c r="D15" s="33">
        <f t="shared" si="0"/>
        <v>0</v>
      </c>
      <c r="E15" s="32"/>
      <c r="F15" s="34"/>
      <c r="G15" s="35"/>
      <c r="H15" s="36">
        <f t="shared" si="1"/>
        <v>0</v>
      </c>
      <c r="I15" s="37">
        <f t="shared" si="6"/>
        <v>0</v>
      </c>
      <c r="J15" s="38"/>
      <c r="K15" s="39"/>
      <c r="L15" s="68">
        <f t="shared" si="2"/>
        <v>0</v>
      </c>
      <c r="M15" s="41">
        <f t="shared" si="3"/>
        <v>0</v>
      </c>
      <c r="N15" s="45">
        <f t="shared" si="7"/>
        <v>3733.161290322581</v>
      </c>
      <c r="O15" s="221"/>
      <c r="P15" s="222"/>
      <c r="Q15" s="43" t="s">
        <v>32</v>
      </c>
      <c r="R15" s="44">
        <f t="shared" si="4"/>
        <v>3733.161290322581</v>
      </c>
    </row>
    <row r="16" spans="1:24" ht="20.100000000000001" customHeight="1" x14ac:dyDescent="0.3">
      <c r="A16" s="30">
        <f t="shared" si="5"/>
        <v>117618</v>
      </c>
      <c r="B16" s="31"/>
      <c r="C16" s="32"/>
      <c r="D16" s="61">
        <f t="shared" si="0"/>
        <v>0</v>
      </c>
      <c r="E16" s="32"/>
      <c r="F16" s="34"/>
      <c r="G16" s="35"/>
      <c r="H16" s="36">
        <f t="shared" si="1"/>
        <v>0</v>
      </c>
      <c r="I16" s="37">
        <f t="shared" si="6"/>
        <v>0</v>
      </c>
      <c r="J16" s="38"/>
      <c r="K16" s="39"/>
      <c r="L16" s="68">
        <f t="shared" si="2"/>
        <v>0</v>
      </c>
      <c r="M16" s="41">
        <f t="shared" si="3"/>
        <v>0</v>
      </c>
      <c r="N16" s="45">
        <f t="shared" si="7"/>
        <v>3733.161290322581</v>
      </c>
      <c r="O16" s="192"/>
      <c r="P16" s="193"/>
      <c r="Q16" s="43" t="s">
        <v>32</v>
      </c>
      <c r="R16" s="44">
        <f t="shared" si="4"/>
        <v>3733.161290322581</v>
      </c>
    </row>
    <row r="17" spans="1:18" ht="20.100000000000001" customHeight="1" x14ac:dyDescent="0.3">
      <c r="A17" s="30">
        <f t="shared" si="5"/>
        <v>117619</v>
      </c>
      <c r="B17" s="31"/>
      <c r="C17" s="32"/>
      <c r="D17" s="61">
        <f t="shared" si="0"/>
        <v>0</v>
      </c>
      <c r="E17" s="32"/>
      <c r="F17" s="34"/>
      <c r="G17" s="35"/>
      <c r="H17" s="36">
        <f t="shared" si="1"/>
        <v>0</v>
      </c>
      <c r="I17" s="37">
        <f t="shared" si="6"/>
        <v>0</v>
      </c>
      <c r="J17" s="38"/>
      <c r="K17" s="39"/>
      <c r="L17" s="68">
        <f t="shared" si="2"/>
        <v>0</v>
      </c>
      <c r="M17" s="41">
        <f t="shared" si="3"/>
        <v>0</v>
      </c>
      <c r="N17" s="45">
        <f t="shared" si="7"/>
        <v>3733.161290322581</v>
      </c>
      <c r="O17" s="192"/>
      <c r="P17" s="193"/>
      <c r="Q17" s="43" t="s">
        <v>32</v>
      </c>
      <c r="R17" s="44">
        <f t="shared" si="4"/>
        <v>3733.161290322581</v>
      </c>
    </row>
    <row r="18" spans="1:18" ht="20.100000000000001" customHeight="1" x14ac:dyDescent="0.3">
      <c r="A18" s="30">
        <f t="shared" si="5"/>
        <v>117620</v>
      </c>
      <c r="B18" s="31"/>
      <c r="C18" s="32"/>
      <c r="D18" s="61">
        <f t="shared" si="0"/>
        <v>0</v>
      </c>
      <c r="E18" s="32"/>
      <c r="F18" s="34"/>
      <c r="G18" s="35"/>
      <c r="H18" s="36">
        <f t="shared" si="1"/>
        <v>0</v>
      </c>
      <c r="I18" s="37">
        <f t="shared" si="6"/>
        <v>0</v>
      </c>
      <c r="J18" s="38"/>
      <c r="K18" s="39"/>
      <c r="L18" s="68">
        <f t="shared" si="2"/>
        <v>0</v>
      </c>
      <c r="M18" s="41">
        <f t="shared" si="3"/>
        <v>0</v>
      </c>
      <c r="N18" s="45">
        <f t="shared" si="7"/>
        <v>3733.161290322581</v>
      </c>
      <c r="O18" s="192"/>
      <c r="P18" s="193"/>
      <c r="Q18" s="43" t="s">
        <v>32</v>
      </c>
      <c r="R18" s="44">
        <f t="shared" si="4"/>
        <v>3733.161290322581</v>
      </c>
    </row>
    <row r="19" spans="1:18" ht="20.100000000000001" customHeight="1" x14ac:dyDescent="0.3">
      <c r="A19" s="30">
        <f t="shared" si="5"/>
        <v>117621</v>
      </c>
      <c r="B19" s="31"/>
      <c r="C19" s="32"/>
      <c r="D19" s="61">
        <f t="shared" si="0"/>
        <v>0</v>
      </c>
      <c r="E19" s="32"/>
      <c r="F19" s="34"/>
      <c r="G19" s="35"/>
      <c r="H19" s="36">
        <f t="shared" si="1"/>
        <v>0</v>
      </c>
      <c r="I19" s="37">
        <f t="shared" si="6"/>
        <v>0</v>
      </c>
      <c r="J19" s="69"/>
      <c r="K19" s="39"/>
      <c r="L19" s="68">
        <f t="shared" si="2"/>
        <v>0</v>
      </c>
      <c r="M19" s="41">
        <f t="shared" si="3"/>
        <v>0</v>
      </c>
      <c r="N19" s="45">
        <f t="shared" si="7"/>
        <v>3733.161290322581</v>
      </c>
      <c r="O19" s="192"/>
      <c r="P19" s="193"/>
      <c r="Q19" s="43" t="s">
        <v>32</v>
      </c>
      <c r="R19" s="44">
        <f t="shared" si="4"/>
        <v>3733.161290322581</v>
      </c>
    </row>
    <row r="20" spans="1:18" ht="20.100000000000001" customHeight="1" x14ac:dyDescent="0.3">
      <c r="A20" s="30">
        <f t="shared" si="5"/>
        <v>117622</v>
      </c>
      <c r="B20" s="31"/>
      <c r="C20" s="32"/>
      <c r="D20" s="61">
        <f t="shared" si="0"/>
        <v>0</v>
      </c>
      <c r="E20" s="32"/>
      <c r="F20" s="34"/>
      <c r="G20" s="35"/>
      <c r="H20" s="36">
        <f t="shared" si="1"/>
        <v>0</v>
      </c>
      <c r="I20" s="37">
        <f t="shared" si="6"/>
        <v>0</v>
      </c>
      <c r="J20" s="38"/>
      <c r="K20" s="39"/>
      <c r="L20" s="68">
        <f t="shared" si="2"/>
        <v>0</v>
      </c>
      <c r="M20" s="41">
        <f t="shared" si="3"/>
        <v>0</v>
      </c>
      <c r="N20" s="45">
        <f t="shared" si="7"/>
        <v>3733.161290322581</v>
      </c>
      <c r="O20" s="192"/>
      <c r="P20" s="193"/>
      <c r="Q20" s="43" t="s">
        <v>32</v>
      </c>
      <c r="R20" s="44">
        <f t="shared" si="4"/>
        <v>3733.161290322581</v>
      </c>
    </row>
    <row r="21" spans="1:18" ht="20.100000000000001" customHeight="1" x14ac:dyDescent="0.3">
      <c r="A21" s="30">
        <f t="shared" si="5"/>
        <v>117623</v>
      </c>
      <c r="B21" s="31"/>
      <c r="C21" s="32"/>
      <c r="D21" s="61">
        <f t="shared" si="0"/>
        <v>0</v>
      </c>
      <c r="E21" s="32"/>
      <c r="F21" s="34"/>
      <c r="G21" s="35"/>
      <c r="H21" s="36">
        <f t="shared" si="1"/>
        <v>0</v>
      </c>
      <c r="I21" s="37">
        <f t="shared" si="6"/>
        <v>0</v>
      </c>
      <c r="J21" s="38"/>
      <c r="K21" s="39"/>
      <c r="L21" s="68">
        <f t="shared" si="2"/>
        <v>0</v>
      </c>
      <c r="M21" s="41">
        <f t="shared" si="3"/>
        <v>0</v>
      </c>
      <c r="N21" s="45">
        <f t="shared" si="7"/>
        <v>3733.161290322581</v>
      </c>
      <c r="O21" s="192"/>
      <c r="P21" s="193"/>
      <c r="Q21" s="43" t="s">
        <v>32</v>
      </c>
      <c r="R21" s="44">
        <f t="shared" si="4"/>
        <v>3733.161290322581</v>
      </c>
    </row>
    <row r="22" spans="1:18" ht="20.100000000000001" customHeight="1" x14ac:dyDescent="0.3">
      <c r="A22" s="30">
        <f t="shared" si="5"/>
        <v>117624</v>
      </c>
      <c r="B22" s="31"/>
      <c r="C22" s="32"/>
      <c r="D22" s="61">
        <f t="shared" si="0"/>
        <v>0</v>
      </c>
      <c r="E22" s="32"/>
      <c r="F22" s="34"/>
      <c r="G22" s="35"/>
      <c r="H22" s="36">
        <f t="shared" si="1"/>
        <v>0</v>
      </c>
      <c r="I22" s="37">
        <f t="shared" si="6"/>
        <v>0</v>
      </c>
      <c r="J22" s="38"/>
      <c r="K22" s="39"/>
      <c r="L22" s="68">
        <f t="shared" si="2"/>
        <v>0</v>
      </c>
      <c r="M22" s="41">
        <f t="shared" si="3"/>
        <v>0</v>
      </c>
      <c r="N22" s="45">
        <f t="shared" si="7"/>
        <v>3733.161290322581</v>
      </c>
      <c r="O22" s="192"/>
      <c r="P22" s="193"/>
      <c r="Q22" s="43" t="s">
        <v>32</v>
      </c>
      <c r="R22" s="44">
        <f t="shared" si="4"/>
        <v>3733.161290322581</v>
      </c>
    </row>
    <row r="23" spans="1:18" ht="20.100000000000001" customHeight="1" x14ac:dyDescent="0.3">
      <c r="A23" s="30">
        <f t="shared" si="5"/>
        <v>117625</v>
      </c>
      <c r="B23" s="31"/>
      <c r="C23" s="32"/>
      <c r="D23" s="61">
        <f t="shared" si="0"/>
        <v>0</v>
      </c>
      <c r="E23" s="32"/>
      <c r="F23" s="34"/>
      <c r="G23" s="35"/>
      <c r="H23" s="36">
        <f t="shared" si="1"/>
        <v>0</v>
      </c>
      <c r="I23" s="37">
        <f t="shared" si="6"/>
        <v>0</v>
      </c>
      <c r="J23" s="38"/>
      <c r="K23" s="39"/>
      <c r="L23" s="68">
        <f t="shared" si="2"/>
        <v>0</v>
      </c>
      <c r="M23" s="41">
        <f t="shared" si="3"/>
        <v>0</v>
      </c>
      <c r="N23" s="45">
        <f t="shared" si="7"/>
        <v>3733.161290322581</v>
      </c>
      <c r="O23" s="192"/>
      <c r="P23" s="193"/>
      <c r="Q23" s="43" t="s">
        <v>32</v>
      </c>
      <c r="R23" s="44">
        <f t="shared" si="4"/>
        <v>3733.161290322581</v>
      </c>
    </row>
    <row r="24" spans="1:18" ht="20.100000000000001" customHeight="1" x14ac:dyDescent="0.3">
      <c r="A24" s="30">
        <f t="shared" si="5"/>
        <v>117626</v>
      </c>
      <c r="B24" s="31"/>
      <c r="C24" s="32"/>
      <c r="D24" s="61">
        <f t="shared" si="0"/>
        <v>0</v>
      </c>
      <c r="E24" s="32"/>
      <c r="F24" s="34"/>
      <c r="G24" s="35"/>
      <c r="H24" s="36">
        <f t="shared" si="1"/>
        <v>0</v>
      </c>
      <c r="I24" s="37">
        <f t="shared" si="6"/>
        <v>0</v>
      </c>
      <c r="J24" s="38"/>
      <c r="K24" s="39"/>
      <c r="L24" s="68">
        <f t="shared" si="2"/>
        <v>0</v>
      </c>
      <c r="M24" s="41">
        <f t="shared" si="3"/>
        <v>0</v>
      </c>
      <c r="N24" s="45">
        <f t="shared" si="7"/>
        <v>3733.161290322581</v>
      </c>
      <c r="O24" s="192"/>
      <c r="P24" s="193"/>
      <c r="Q24" s="43" t="s">
        <v>32</v>
      </c>
      <c r="R24" s="44">
        <f t="shared" si="4"/>
        <v>3733.161290322581</v>
      </c>
    </row>
    <row r="25" spans="1:18" ht="20.100000000000001" customHeight="1" x14ac:dyDescent="0.3">
      <c r="A25" s="30">
        <f t="shared" si="5"/>
        <v>117627</v>
      </c>
      <c r="B25" s="31"/>
      <c r="C25" s="32"/>
      <c r="D25" s="61">
        <f t="shared" si="0"/>
        <v>0</v>
      </c>
      <c r="E25" s="32"/>
      <c r="F25" s="34"/>
      <c r="G25" s="35"/>
      <c r="H25" s="36">
        <f t="shared" si="1"/>
        <v>0</v>
      </c>
      <c r="I25" s="37">
        <f t="shared" si="6"/>
        <v>0</v>
      </c>
      <c r="J25" s="38"/>
      <c r="K25" s="39"/>
      <c r="L25" s="68">
        <f t="shared" si="2"/>
        <v>0</v>
      </c>
      <c r="M25" s="41">
        <f t="shared" si="3"/>
        <v>0</v>
      </c>
      <c r="N25" s="45">
        <f t="shared" si="7"/>
        <v>3733.161290322581</v>
      </c>
      <c r="O25" s="192"/>
      <c r="P25" s="193"/>
      <c r="Q25" s="43" t="s">
        <v>32</v>
      </c>
      <c r="R25" s="44">
        <f t="shared" si="4"/>
        <v>3733.161290322581</v>
      </c>
    </row>
    <row r="26" spans="1:18" ht="20.100000000000001" customHeight="1" x14ac:dyDescent="0.3">
      <c r="A26" s="30">
        <f t="shared" si="5"/>
        <v>117628</v>
      </c>
      <c r="B26" s="31"/>
      <c r="C26" s="32"/>
      <c r="D26" s="61">
        <f t="shared" si="0"/>
        <v>0</v>
      </c>
      <c r="E26" s="32"/>
      <c r="F26" s="34"/>
      <c r="G26" s="35"/>
      <c r="H26" s="36">
        <f t="shared" si="1"/>
        <v>0</v>
      </c>
      <c r="I26" s="37">
        <f t="shared" si="6"/>
        <v>0</v>
      </c>
      <c r="J26" s="38"/>
      <c r="K26" s="39"/>
      <c r="L26" s="68">
        <f t="shared" si="2"/>
        <v>0</v>
      </c>
      <c r="M26" s="41">
        <f t="shared" si="3"/>
        <v>0</v>
      </c>
      <c r="N26" s="45">
        <f t="shared" si="7"/>
        <v>3733.161290322581</v>
      </c>
      <c r="O26" s="192"/>
      <c r="P26" s="193"/>
      <c r="Q26" s="43" t="s">
        <v>32</v>
      </c>
      <c r="R26" s="44">
        <f t="shared" si="4"/>
        <v>3733.161290322581</v>
      </c>
    </row>
    <row r="27" spans="1:18" ht="20.100000000000001" customHeight="1" x14ac:dyDescent="0.3">
      <c r="A27" s="30">
        <f t="shared" si="5"/>
        <v>117629</v>
      </c>
      <c r="B27" s="31"/>
      <c r="C27" s="32"/>
      <c r="D27" s="61">
        <f t="shared" si="0"/>
        <v>0</v>
      </c>
      <c r="E27" s="32"/>
      <c r="F27" s="34"/>
      <c r="G27" s="35"/>
      <c r="H27" s="36">
        <f t="shared" si="1"/>
        <v>0</v>
      </c>
      <c r="I27" s="37">
        <f t="shared" si="6"/>
        <v>0</v>
      </c>
      <c r="J27" s="38"/>
      <c r="K27" s="39"/>
      <c r="L27" s="68">
        <f t="shared" si="2"/>
        <v>0</v>
      </c>
      <c r="M27" s="41">
        <f t="shared" si="3"/>
        <v>0</v>
      </c>
      <c r="N27" s="45">
        <f t="shared" si="7"/>
        <v>3733.161290322581</v>
      </c>
      <c r="O27" s="192"/>
      <c r="P27" s="193"/>
      <c r="Q27" s="43" t="s">
        <v>32</v>
      </c>
      <c r="R27" s="44">
        <f t="shared" si="4"/>
        <v>3733.161290322581</v>
      </c>
    </row>
    <row r="28" spans="1:18" ht="20.100000000000001" customHeight="1" x14ac:dyDescent="0.3">
      <c r="A28" s="30">
        <f t="shared" si="5"/>
        <v>117630</v>
      </c>
      <c r="B28" s="31"/>
      <c r="C28" s="32"/>
      <c r="D28" s="61">
        <f t="shared" si="0"/>
        <v>0</v>
      </c>
      <c r="E28" s="70"/>
      <c r="F28" s="34"/>
      <c r="G28" s="35"/>
      <c r="H28" s="36">
        <f t="shared" si="1"/>
        <v>0</v>
      </c>
      <c r="I28" s="37">
        <f t="shared" si="6"/>
        <v>0</v>
      </c>
      <c r="J28" s="38"/>
      <c r="K28" s="39"/>
      <c r="L28" s="68">
        <f t="shared" si="2"/>
        <v>0</v>
      </c>
      <c r="M28" s="41">
        <f t="shared" si="3"/>
        <v>0</v>
      </c>
      <c r="N28" s="45">
        <f t="shared" si="7"/>
        <v>3733.161290322581</v>
      </c>
      <c r="O28" s="192"/>
      <c r="P28" s="193"/>
      <c r="Q28" s="43" t="s">
        <v>32</v>
      </c>
      <c r="R28" s="44">
        <f t="shared" si="4"/>
        <v>3733.161290322581</v>
      </c>
    </row>
    <row r="29" spans="1:18" ht="20.100000000000001" customHeight="1" x14ac:dyDescent="0.3">
      <c r="A29" s="30">
        <f t="shared" si="5"/>
        <v>117631</v>
      </c>
      <c r="B29" s="31"/>
      <c r="C29" s="32"/>
      <c r="D29" s="61">
        <f t="shared" si="0"/>
        <v>0</v>
      </c>
      <c r="E29" s="32"/>
      <c r="F29" s="34"/>
      <c r="G29" s="35"/>
      <c r="H29" s="36">
        <f t="shared" si="1"/>
        <v>0</v>
      </c>
      <c r="I29" s="37">
        <f t="shared" si="6"/>
        <v>0</v>
      </c>
      <c r="J29" s="38"/>
      <c r="K29" s="39"/>
      <c r="L29" s="68">
        <f t="shared" si="2"/>
        <v>0</v>
      </c>
      <c r="M29" s="41">
        <f t="shared" si="3"/>
        <v>0</v>
      </c>
      <c r="N29" s="45">
        <f t="shared" si="7"/>
        <v>3733.161290322581</v>
      </c>
      <c r="O29" s="192"/>
      <c r="P29" s="193"/>
      <c r="Q29" s="43" t="s">
        <v>32</v>
      </c>
      <c r="R29" s="44">
        <f t="shared" si="4"/>
        <v>3733.161290322581</v>
      </c>
    </row>
    <row r="30" spans="1:18" ht="20.100000000000001" customHeight="1" x14ac:dyDescent="0.3">
      <c r="A30" s="30">
        <f t="shared" si="5"/>
        <v>117632</v>
      </c>
      <c r="B30" s="31"/>
      <c r="C30" s="32"/>
      <c r="D30" s="61">
        <f t="shared" si="0"/>
        <v>0</v>
      </c>
      <c r="E30" s="32"/>
      <c r="F30" s="34"/>
      <c r="G30" s="35"/>
      <c r="H30" s="36">
        <f t="shared" si="1"/>
        <v>0</v>
      </c>
      <c r="I30" s="37">
        <f t="shared" si="6"/>
        <v>0</v>
      </c>
      <c r="J30" s="38"/>
      <c r="K30" s="39"/>
      <c r="L30" s="68">
        <f t="shared" si="2"/>
        <v>0</v>
      </c>
      <c r="M30" s="41">
        <f t="shared" si="3"/>
        <v>0</v>
      </c>
      <c r="N30" s="45">
        <f t="shared" si="7"/>
        <v>3733.161290322581</v>
      </c>
      <c r="O30" s="192"/>
      <c r="P30" s="193"/>
      <c r="Q30" s="43" t="s">
        <v>32</v>
      </c>
      <c r="R30" s="44">
        <f t="shared" si="4"/>
        <v>3733.161290322581</v>
      </c>
    </row>
    <row r="31" spans="1:18" ht="20.100000000000001" customHeight="1" x14ac:dyDescent="0.3">
      <c r="A31" s="30">
        <f t="shared" si="5"/>
        <v>117633</v>
      </c>
      <c r="B31" s="31"/>
      <c r="C31" s="32"/>
      <c r="D31" s="61">
        <f t="shared" si="0"/>
        <v>0</v>
      </c>
      <c r="E31" s="32"/>
      <c r="F31" s="34"/>
      <c r="G31" s="35"/>
      <c r="H31" s="36">
        <f t="shared" si="1"/>
        <v>0</v>
      </c>
      <c r="I31" s="37">
        <f t="shared" si="6"/>
        <v>0</v>
      </c>
      <c r="J31" s="38"/>
      <c r="K31" s="39"/>
      <c r="L31" s="68">
        <f t="shared" si="2"/>
        <v>0</v>
      </c>
      <c r="M31" s="41">
        <f t="shared" si="3"/>
        <v>0</v>
      </c>
      <c r="N31" s="45">
        <f t="shared" si="7"/>
        <v>3733.161290322581</v>
      </c>
      <c r="O31" s="192"/>
      <c r="P31" s="193"/>
      <c r="Q31" s="43" t="s">
        <v>32</v>
      </c>
      <c r="R31" s="44">
        <f t="shared" si="4"/>
        <v>3733.161290322581</v>
      </c>
    </row>
    <row r="32" spans="1:18" ht="20.100000000000001" customHeight="1" x14ac:dyDescent="0.3">
      <c r="A32" s="30">
        <f t="shared" si="5"/>
        <v>117634</v>
      </c>
      <c r="B32" s="31"/>
      <c r="C32" s="32"/>
      <c r="D32" s="61">
        <f t="shared" si="0"/>
        <v>0</v>
      </c>
      <c r="E32" s="32"/>
      <c r="F32" s="34"/>
      <c r="G32" s="35"/>
      <c r="H32" s="36">
        <f t="shared" si="1"/>
        <v>0</v>
      </c>
      <c r="I32" s="37">
        <f t="shared" si="6"/>
        <v>0</v>
      </c>
      <c r="J32" s="71"/>
      <c r="K32" s="72"/>
      <c r="L32" s="68">
        <f t="shared" si="2"/>
        <v>0</v>
      </c>
      <c r="M32" s="41">
        <f t="shared" si="3"/>
        <v>0</v>
      </c>
      <c r="N32" s="45">
        <f t="shared" si="7"/>
        <v>3733.161290322581</v>
      </c>
      <c r="O32" s="192"/>
      <c r="P32" s="193"/>
      <c r="Q32" s="43" t="s">
        <v>32</v>
      </c>
      <c r="R32" s="44">
        <f t="shared" si="4"/>
        <v>3733.161290322581</v>
      </c>
    </row>
    <row r="33" spans="1:19" ht="20.100000000000001" customHeight="1" x14ac:dyDescent="0.3">
      <c r="A33" s="30">
        <f t="shared" si="5"/>
        <v>117635</v>
      </c>
      <c r="B33" s="31"/>
      <c r="C33" s="32"/>
      <c r="D33" s="61">
        <f t="shared" si="0"/>
        <v>0</v>
      </c>
      <c r="E33" s="32"/>
      <c r="F33" s="34"/>
      <c r="G33" s="35"/>
      <c r="H33" s="36">
        <f t="shared" si="1"/>
        <v>0</v>
      </c>
      <c r="I33" s="37">
        <f t="shared" si="6"/>
        <v>0</v>
      </c>
      <c r="J33" s="38"/>
      <c r="K33" s="39"/>
      <c r="L33" s="68">
        <f t="shared" si="2"/>
        <v>0</v>
      </c>
      <c r="M33" s="41">
        <f t="shared" si="3"/>
        <v>0</v>
      </c>
      <c r="N33" s="45">
        <f t="shared" si="7"/>
        <v>3733.161290322581</v>
      </c>
      <c r="O33" s="192"/>
      <c r="P33" s="193"/>
      <c r="Q33" s="43" t="s">
        <v>32</v>
      </c>
      <c r="R33" s="44">
        <f t="shared" si="4"/>
        <v>3733.161290322581</v>
      </c>
    </row>
    <row r="34" spans="1:19" ht="20.100000000000001" customHeight="1" x14ac:dyDescent="0.3">
      <c r="A34" s="30">
        <f t="shared" si="5"/>
        <v>117636</v>
      </c>
      <c r="B34" s="31"/>
      <c r="C34" s="32"/>
      <c r="D34" s="61">
        <f t="shared" si="0"/>
        <v>0</v>
      </c>
      <c r="E34" s="32"/>
      <c r="F34" s="34"/>
      <c r="G34" s="35"/>
      <c r="H34" s="36">
        <f t="shared" si="1"/>
        <v>0</v>
      </c>
      <c r="I34" s="37">
        <f t="shared" si="6"/>
        <v>0</v>
      </c>
      <c r="J34" s="38"/>
      <c r="K34" s="39"/>
      <c r="L34" s="68">
        <f t="shared" si="2"/>
        <v>0</v>
      </c>
      <c r="M34" s="41">
        <f t="shared" si="3"/>
        <v>0</v>
      </c>
      <c r="N34" s="45">
        <f t="shared" si="7"/>
        <v>3733.161290322581</v>
      </c>
      <c r="O34" s="192"/>
      <c r="P34" s="193"/>
      <c r="Q34" s="43" t="s">
        <v>32</v>
      </c>
      <c r="R34" s="44">
        <f t="shared" si="4"/>
        <v>3733.161290322581</v>
      </c>
    </row>
    <row r="35" spans="1:19" ht="20.100000000000001" customHeight="1" x14ac:dyDescent="0.3">
      <c r="A35" s="30">
        <f t="shared" si="5"/>
        <v>117637</v>
      </c>
      <c r="B35" s="31"/>
      <c r="C35" s="32"/>
      <c r="D35" s="61">
        <f t="shared" si="0"/>
        <v>0</v>
      </c>
      <c r="E35" s="32"/>
      <c r="F35" s="34"/>
      <c r="G35" s="35"/>
      <c r="H35" s="36">
        <f t="shared" si="1"/>
        <v>0</v>
      </c>
      <c r="I35" s="37">
        <f t="shared" si="6"/>
        <v>0</v>
      </c>
      <c r="J35" s="38"/>
      <c r="K35" s="39"/>
      <c r="L35" s="68">
        <f t="shared" si="2"/>
        <v>0</v>
      </c>
      <c r="M35" s="41">
        <f t="shared" si="3"/>
        <v>0</v>
      </c>
      <c r="N35" s="45">
        <f t="shared" si="7"/>
        <v>3733.161290322581</v>
      </c>
      <c r="O35" s="192"/>
      <c r="P35" s="193"/>
      <c r="Q35" s="43" t="s">
        <v>32</v>
      </c>
      <c r="R35" s="44">
        <f t="shared" si="4"/>
        <v>3733.161290322581</v>
      </c>
    </row>
    <row r="36" spans="1:19" ht="20.100000000000001" customHeight="1" x14ac:dyDescent="0.3">
      <c r="A36" s="30">
        <f t="shared" si="5"/>
        <v>117638</v>
      </c>
      <c r="B36" s="31"/>
      <c r="C36" s="32"/>
      <c r="D36" s="61">
        <f t="shared" si="0"/>
        <v>0</v>
      </c>
      <c r="E36" s="32"/>
      <c r="F36" s="34"/>
      <c r="G36" s="35"/>
      <c r="H36" s="36">
        <f t="shared" si="1"/>
        <v>0</v>
      </c>
      <c r="I36" s="37">
        <f t="shared" si="6"/>
        <v>0</v>
      </c>
      <c r="J36" s="38"/>
      <c r="K36" s="39"/>
      <c r="L36" s="68">
        <f t="shared" si="2"/>
        <v>0</v>
      </c>
      <c r="M36" s="41">
        <f t="shared" si="3"/>
        <v>0</v>
      </c>
      <c r="N36" s="45">
        <f t="shared" si="7"/>
        <v>3733.161290322581</v>
      </c>
      <c r="O36" s="192"/>
      <c r="P36" s="193"/>
      <c r="Q36" s="43" t="s">
        <v>32</v>
      </c>
      <c r="R36" s="44">
        <f t="shared" si="4"/>
        <v>3733.161290322581</v>
      </c>
    </row>
    <row r="37" spans="1:19" ht="20.100000000000001" customHeight="1" x14ac:dyDescent="0.3">
      <c r="A37" s="30">
        <f t="shared" si="5"/>
        <v>117639</v>
      </c>
      <c r="B37" s="31"/>
      <c r="C37" s="32"/>
      <c r="D37" s="61">
        <f t="shared" si="0"/>
        <v>0</v>
      </c>
      <c r="E37" s="32"/>
      <c r="F37" s="34"/>
      <c r="G37" s="35"/>
      <c r="H37" s="36">
        <f t="shared" si="1"/>
        <v>0</v>
      </c>
      <c r="I37" s="37">
        <f t="shared" si="6"/>
        <v>0</v>
      </c>
      <c r="J37" s="38"/>
      <c r="K37" s="39"/>
      <c r="L37" s="68">
        <f t="shared" si="2"/>
        <v>0</v>
      </c>
      <c r="M37" s="41">
        <f t="shared" si="3"/>
        <v>0</v>
      </c>
      <c r="N37" s="45">
        <f t="shared" si="7"/>
        <v>3733.161290322581</v>
      </c>
      <c r="O37" s="192"/>
      <c r="P37" s="193"/>
      <c r="Q37" s="43" t="s">
        <v>32</v>
      </c>
      <c r="R37" s="44">
        <f t="shared" si="4"/>
        <v>3733.161290322581</v>
      </c>
    </row>
    <row r="38" spans="1:19" ht="20.100000000000001" customHeight="1" x14ac:dyDescent="0.3">
      <c r="A38" s="30">
        <f t="shared" si="5"/>
        <v>117640</v>
      </c>
      <c r="B38" s="73"/>
      <c r="C38" s="74"/>
      <c r="D38" s="50">
        <f t="shared" si="0"/>
        <v>0</v>
      </c>
      <c r="E38" s="74"/>
      <c r="F38" s="75"/>
      <c r="G38" s="76"/>
      <c r="H38" s="77">
        <f t="shared" si="1"/>
        <v>0</v>
      </c>
      <c r="I38" s="78">
        <f t="shared" si="6"/>
        <v>0</v>
      </c>
      <c r="J38" s="79"/>
      <c r="K38" s="39"/>
      <c r="L38" s="80">
        <f t="shared" si="2"/>
        <v>0</v>
      </c>
      <c r="M38" s="81">
        <f t="shared" si="3"/>
        <v>0</v>
      </c>
      <c r="N38" s="45">
        <f t="shared" si="7"/>
        <v>3733.161290322581</v>
      </c>
      <c r="O38" s="227"/>
      <c r="P38" s="228"/>
      <c r="Q38" s="82" t="s">
        <v>32</v>
      </c>
      <c r="R38" s="44">
        <f t="shared" si="4"/>
        <v>3733.161290322581</v>
      </c>
    </row>
    <row r="39" spans="1:19" ht="20.100000000000001" customHeight="1" thickBot="1" x14ac:dyDescent="0.35">
      <c r="A39" s="83"/>
      <c r="B39" s="84"/>
      <c r="C39" s="85"/>
      <c r="D39" s="86"/>
      <c r="E39" s="87"/>
      <c r="F39" s="85"/>
      <c r="G39" s="85"/>
      <c r="H39" s="85"/>
      <c r="I39" s="85"/>
      <c r="J39" s="88"/>
      <c r="K39" s="88"/>
      <c r="L39" s="88"/>
      <c r="M39" s="85"/>
      <c r="N39" s="85"/>
      <c r="O39" s="225"/>
      <c r="P39" s="226"/>
      <c r="Q39" s="89"/>
      <c r="R39" s="85"/>
    </row>
    <row r="40" spans="1:19" ht="20.100000000000001" customHeight="1" thickBot="1" x14ac:dyDescent="0.35">
      <c r="A40" s="90" t="s">
        <v>33</v>
      </c>
      <c r="B40" s="91">
        <f>SUM(B8:B38)</f>
        <v>0</v>
      </c>
      <c r="C40" s="92">
        <f>SUM(C8:C38)</f>
        <v>0</v>
      </c>
      <c r="D40" s="93"/>
      <c r="E40" s="94">
        <f>SUM(E8:E38)</f>
        <v>0</v>
      </c>
      <c r="F40" s="95">
        <f>SUM(F8:F38)</f>
        <v>0</v>
      </c>
      <c r="G40" s="92">
        <f>SUM(G8:G38)</f>
        <v>0</v>
      </c>
      <c r="H40" s="96"/>
      <c r="I40" s="96"/>
      <c r="J40" s="97"/>
      <c r="K40" s="97"/>
      <c r="L40" s="98">
        <f>SUM(L8:L38)</f>
        <v>0</v>
      </c>
      <c r="M40" s="99">
        <f>SUM(M8:M38)</f>
        <v>0</v>
      </c>
      <c r="N40" s="99">
        <f>N6*N7</f>
        <v>115728.00000000001</v>
      </c>
      <c r="O40" s="223"/>
      <c r="P40" s="224"/>
      <c r="Q40" s="96"/>
      <c r="R40" s="100">
        <f>SUM(R8:R38)</f>
        <v>115727.99999999996</v>
      </c>
    </row>
    <row r="41" spans="1:19" ht="20.100000000000001" customHeight="1" x14ac:dyDescent="0.3">
      <c r="A41" s="101"/>
      <c r="B41" s="102"/>
      <c r="C41" s="103"/>
      <c r="D41" s="103"/>
      <c r="E41" s="104"/>
      <c r="F41" s="104"/>
      <c r="G41" s="104"/>
      <c r="H41" s="104"/>
      <c r="I41" s="104"/>
      <c r="J41" s="104"/>
      <c r="K41" s="104"/>
      <c r="L41" s="103"/>
      <c r="M41" s="104"/>
      <c r="N41" s="104"/>
      <c r="O41" s="104"/>
      <c r="P41" s="104"/>
      <c r="Q41" s="104"/>
      <c r="R41" s="104"/>
    </row>
    <row r="42" spans="1:19" ht="21" customHeight="1" x14ac:dyDescent="0.3">
      <c r="A42" s="105"/>
      <c r="B42" s="106"/>
      <c r="C42" s="103"/>
      <c r="D42" s="103"/>
      <c r="E42" s="104"/>
      <c r="F42" s="107" t="s">
        <v>34</v>
      </c>
      <c r="G42" s="108" t="s">
        <v>35</v>
      </c>
      <c r="H42" s="109" t="s">
        <v>26</v>
      </c>
      <c r="J42" s="104"/>
      <c r="K42" s="104"/>
      <c r="L42" s="104"/>
      <c r="M42" s="104"/>
      <c r="N42" s="104"/>
      <c r="O42" s="104"/>
      <c r="P42" s="104"/>
      <c r="Q42" s="110" t="s">
        <v>36</v>
      </c>
      <c r="R42" s="111">
        <v>5854.83</v>
      </c>
      <c r="S42" s="112"/>
    </row>
    <row r="43" spans="1:19" ht="21" customHeight="1" x14ac:dyDescent="0.3">
      <c r="A43" s="101"/>
      <c r="B43" s="106" t="s">
        <v>37</v>
      </c>
      <c r="C43" s="103"/>
      <c r="D43" s="103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10" t="s">
        <v>38</v>
      </c>
      <c r="R43" s="113">
        <f>R40-R44-R45-R46-R47-R53-R54</f>
        <v>-5.8207660913467407E-11</v>
      </c>
      <c r="S43" s="114"/>
    </row>
    <row r="44" spans="1:19" ht="21" customHeight="1" x14ac:dyDescent="0.3">
      <c r="A44" s="101"/>
      <c r="B44" s="115"/>
      <c r="C44" s="116"/>
      <c r="D44" s="116"/>
      <c r="E44" s="117"/>
      <c r="F44" s="117"/>
      <c r="G44" s="117"/>
      <c r="H44" s="117"/>
      <c r="I44" s="115" t="s">
        <v>39</v>
      </c>
      <c r="J44" s="117"/>
      <c r="K44" s="117"/>
      <c r="L44" s="104"/>
      <c r="M44" s="104"/>
      <c r="N44" s="104"/>
      <c r="O44" s="104"/>
      <c r="P44" s="117"/>
      <c r="Q44" s="110" t="s">
        <v>40</v>
      </c>
      <c r="R44" s="113">
        <f>(G40*0.03)</f>
        <v>0</v>
      </c>
      <c r="S44" s="114"/>
    </row>
    <row r="45" spans="1:19" ht="21" customHeight="1" x14ac:dyDescent="0.3">
      <c r="A45" s="101"/>
      <c r="B45" s="118" t="s">
        <v>41</v>
      </c>
      <c r="C45" s="116">
        <f ca="1">NOW()</f>
        <v>36676.347972337964</v>
      </c>
      <c r="D45" s="116"/>
      <c r="E45" s="117"/>
      <c r="F45" s="117"/>
      <c r="G45" s="117"/>
      <c r="H45" s="117"/>
      <c r="I45" s="117"/>
      <c r="J45" s="115" t="s">
        <v>42</v>
      </c>
      <c r="K45" s="115"/>
      <c r="L45" s="104"/>
      <c r="M45" s="104"/>
      <c r="N45" s="104"/>
      <c r="O45" s="104"/>
      <c r="P45" s="117"/>
      <c r="Q45" s="110" t="s">
        <v>43</v>
      </c>
      <c r="R45" s="113">
        <v>0</v>
      </c>
      <c r="S45" s="114"/>
    </row>
    <row r="46" spans="1:19" ht="21" customHeight="1" x14ac:dyDescent="0.3">
      <c r="A46" s="101"/>
      <c r="B46" s="117"/>
      <c r="C46" s="117"/>
      <c r="D46" s="117"/>
      <c r="E46" s="117"/>
      <c r="F46" s="117"/>
      <c r="G46" s="117"/>
      <c r="H46" s="117"/>
      <c r="I46" s="117"/>
      <c r="J46" s="117"/>
      <c r="K46" s="117"/>
      <c r="L46" s="104"/>
      <c r="M46" s="104"/>
      <c r="N46" s="104"/>
      <c r="O46" s="104"/>
      <c r="P46" s="104"/>
      <c r="Q46" s="110" t="s">
        <v>44</v>
      </c>
      <c r="R46" s="113">
        <v>0</v>
      </c>
      <c r="S46" s="119"/>
    </row>
    <row r="47" spans="1:19" ht="21" customHeight="1" x14ac:dyDescent="0.3">
      <c r="D47" s="179"/>
      <c r="E47" s="180"/>
      <c r="F47" s="180"/>
      <c r="G47" s="180"/>
      <c r="H47" s="180"/>
      <c r="I47" s="180"/>
      <c r="J47" s="180"/>
      <c r="Q47" s="110" t="s">
        <v>45</v>
      </c>
      <c r="R47" s="123">
        <f>L40</f>
        <v>0</v>
      </c>
      <c r="S47" s="124"/>
    </row>
    <row r="48" spans="1:19" ht="21" customHeight="1" x14ac:dyDescent="0.3">
      <c r="D48" s="121"/>
      <c r="E48" s="122"/>
      <c r="F48" s="122"/>
      <c r="G48" s="122"/>
      <c r="H48" s="122"/>
      <c r="I48" s="122"/>
      <c r="J48" s="122"/>
      <c r="Q48" s="110" t="s">
        <v>55</v>
      </c>
      <c r="R48" s="125">
        <v>0</v>
      </c>
      <c r="S48" s="124"/>
    </row>
    <row r="49" spans="4:19" ht="21" customHeight="1" x14ac:dyDescent="0.3">
      <c r="D49" s="121"/>
      <c r="E49" s="122"/>
      <c r="F49" s="122"/>
      <c r="G49" s="122"/>
      <c r="H49" s="122"/>
      <c r="I49" s="122"/>
      <c r="J49" s="122"/>
      <c r="Q49" s="110" t="s">
        <v>56</v>
      </c>
      <c r="R49" s="125">
        <v>0</v>
      </c>
      <c r="S49" s="124"/>
    </row>
    <row r="50" spans="4:19" ht="21" customHeight="1" x14ac:dyDescent="0.3">
      <c r="D50" s="121"/>
      <c r="E50" s="122"/>
      <c r="F50" s="122"/>
      <c r="G50" s="122"/>
      <c r="H50" s="122"/>
      <c r="I50" s="122"/>
      <c r="J50" s="122"/>
      <c r="Q50" s="126" t="s">
        <v>57</v>
      </c>
      <c r="R50" s="127">
        <v>0</v>
      </c>
      <c r="S50" s="124"/>
    </row>
    <row r="51" spans="4:19" ht="21" customHeight="1" x14ac:dyDescent="0.3">
      <c r="Q51" s="128" t="s">
        <v>46</v>
      </c>
      <c r="R51" s="129">
        <f>SUM(R42:R50)</f>
        <v>5854.8299999999417</v>
      </c>
      <c r="S51" s="124"/>
    </row>
    <row r="52" spans="4:19" ht="21" customHeight="1" x14ac:dyDescent="0.3">
      <c r="Q52" s="110"/>
      <c r="R52" s="123"/>
      <c r="S52" s="124"/>
    </row>
    <row r="53" spans="4:19" ht="21" customHeight="1" x14ac:dyDescent="0.3">
      <c r="N53" s="130" t="s">
        <v>47</v>
      </c>
      <c r="O53" s="104"/>
      <c r="Q53" s="110" t="s">
        <v>48</v>
      </c>
      <c r="R53" s="123">
        <f>N40</f>
        <v>115728.00000000001</v>
      </c>
      <c r="S53" s="124"/>
    </row>
    <row r="54" spans="4:19" ht="21" customHeight="1" x14ac:dyDescent="0.3">
      <c r="N54" s="130" t="s">
        <v>49</v>
      </c>
      <c r="Q54" s="110" t="s">
        <v>50</v>
      </c>
      <c r="R54" s="123">
        <f>G40*0.0154</f>
        <v>0</v>
      </c>
      <c r="S54" s="124"/>
    </row>
    <row r="55" spans="4:19" x14ac:dyDescent="0.3">
      <c r="N55" s="130" t="s">
        <v>51</v>
      </c>
      <c r="Q55" s="126" t="s">
        <v>52</v>
      </c>
      <c r="R55" s="111">
        <v>0</v>
      </c>
    </row>
    <row r="56" spans="4:19" ht="21" customHeight="1" thickBot="1" x14ac:dyDescent="0.35">
      <c r="Q56" s="8" t="s">
        <v>53</v>
      </c>
      <c r="R56" s="131">
        <f>R51+R53+R54+R55</f>
        <v>121582.82999999996</v>
      </c>
    </row>
    <row r="57" spans="4:19" ht="17.399999999999999" thickTop="1" x14ac:dyDescent="0.3"/>
  </sheetData>
  <mergeCells count="56">
    <mergeCell ref="P1:Q1"/>
    <mergeCell ref="A1:O1"/>
    <mergeCell ref="O3:Q3"/>
    <mergeCell ref="J3:N3"/>
    <mergeCell ref="H3:I3"/>
    <mergeCell ref="E3:G3"/>
    <mergeCell ref="B3:D3"/>
    <mergeCell ref="O12:P12"/>
    <mergeCell ref="O17:P17"/>
    <mergeCell ref="O18:P18"/>
    <mergeCell ref="O19:P19"/>
    <mergeCell ref="A4:A6"/>
    <mergeCell ref="Q4:Q7"/>
    <mergeCell ref="D4:D6"/>
    <mergeCell ref="B4:B6"/>
    <mergeCell ref="F4:G6"/>
    <mergeCell ref="C4:C6"/>
    <mergeCell ref="H4:H6"/>
    <mergeCell ref="D47:J47"/>
    <mergeCell ref="O4:P7"/>
    <mergeCell ref="I4:I6"/>
    <mergeCell ref="E4:E6"/>
    <mergeCell ref="O10:P10"/>
    <mergeCell ref="O11:P11"/>
    <mergeCell ref="R3:R7"/>
    <mergeCell ref="J4:J6"/>
    <mergeCell ref="L4:L6"/>
    <mergeCell ref="O16:P16"/>
    <mergeCell ref="O8:P8"/>
    <mergeCell ref="O9:P9"/>
    <mergeCell ref="K4:K6"/>
    <mergeCell ref="M4:N4"/>
    <mergeCell ref="O14:P14"/>
    <mergeCell ref="O15:P15"/>
    <mergeCell ref="O26:P26"/>
    <mergeCell ref="O27:P27"/>
    <mergeCell ref="O20:P20"/>
    <mergeCell ref="O21:P21"/>
    <mergeCell ref="O22:P22"/>
    <mergeCell ref="O23:P23"/>
    <mergeCell ref="O40:P40"/>
    <mergeCell ref="O39:P39"/>
    <mergeCell ref="O35:P35"/>
    <mergeCell ref="O36:P36"/>
    <mergeCell ref="O37:P37"/>
    <mergeCell ref="O38:P38"/>
    <mergeCell ref="O13:P13"/>
    <mergeCell ref="O32:P32"/>
    <mergeCell ref="O33:P33"/>
    <mergeCell ref="O34:P34"/>
    <mergeCell ref="O28:P28"/>
    <mergeCell ref="O29:P29"/>
    <mergeCell ref="O30:P30"/>
    <mergeCell ref="O31:P31"/>
    <mergeCell ref="O24:P24"/>
    <mergeCell ref="O25:P25"/>
  </mergeCells>
  <pageMargins left="0.35" right="0.31" top="0.37" bottom="0.34" header="0.17" footer="0.26"/>
  <pageSetup scale="5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Jan 2000</vt:lpstr>
      <vt:lpstr>Feb 2000</vt:lpstr>
      <vt:lpstr>Mar 2000</vt:lpstr>
      <vt:lpstr>Apr 2000</vt:lpstr>
      <vt:lpstr>MAY 2000</vt:lpstr>
      <vt:lpstr>NEW MASTER SHEET</vt:lpstr>
      <vt:lpstr>'Apr 2000'!Print_Area</vt:lpstr>
      <vt:lpstr>'Feb 2000'!Print_Area</vt:lpstr>
      <vt:lpstr>'Jan 2000'!Print_Area</vt:lpstr>
      <vt:lpstr>'Mar 2000'!Print_Area</vt:lpstr>
      <vt:lpstr>'MAY 2000'!Print_Area</vt:lpstr>
      <vt:lpstr>'NEW MASTER SHEET'!Print_Area</vt:lpstr>
    </vt:vector>
  </TitlesOfParts>
  <Company>Columbia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 Service</dc:creator>
  <cp:lastModifiedBy>Havlíček Jan</cp:lastModifiedBy>
  <cp:lastPrinted>2000-05-30T13:23:13Z</cp:lastPrinted>
  <dcterms:created xsi:type="dcterms:W3CDTF">2000-02-10T19:42:25Z</dcterms:created>
  <dcterms:modified xsi:type="dcterms:W3CDTF">2023-09-10T15:47:25Z</dcterms:modified>
</cp:coreProperties>
</file>