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4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6276" windowHeight="7752" tabRatio="665" firstSheet="1" activeTab="3"/>
  </bookViews>
  <sheets>
    <sheet name="IT &amp; Pooling" sheetId="10" r:id="rId1"/>
    <sheet name="CES IT" sheetId="18" r:id="rId2"/>
    <sheet name="CES Wholesale" sheetId="17" r:id="rId3"/>
    <sheet name="ECT Trans" sheetId="3" r:id="rId4"/>
    <sheet name="Matrix May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Production" sheetId="6" r:id="rId11"/>
    <sheet name="Cashout" sheetId="7" r:id="rId12"/>
    <sheet name="Sheet2" sheetId="15" r:id="rId13"/>
    <sheet name="Transport Deal Tickets" sheetId="8" r:id="rId14"/>
  </sheets>
  <definedNames>
    <definedName name="_xlnm.Print_Area" localSheetId="9">Basis!$A$33:$I$42</definedName>
    <definedName name="_xlnm.Print_Area" localSheetId="3">'ECT Trans'!$A$1:$W$161</definedName>
    <definedName name="_xlnm.Print_Area" localSheetId="4">'Matrix May'!$A$3:$L$67</definedName>
    <definedName name="_xlnm.Print_Area" localSheetId="5">Rates!$S$1:$X$72</definedName>
    <definedName name="_xlnm.Print_Area" localSheetId="13">'Transport Deal Tickets'!$A$13:$I$50</definedName>
  </definedNames>
  <calcPr calcId="0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2" i="17"/>
  <c r="O12" i="17"/>
  <c r="S12" i="17"/>
  <c r="I13" i="17"/>
  <c r="O13" i="17"/>
  <c r="S13" i="17"/>
  <c r="I14" i="17"/>
  <c r="O14" i="17"/>
  <c r="S14" i="17"/>
  <c r="I15" i="17"/>
  <c r="O15" i="17"/>
  <c r="S15" i="17"/>
  <c r="I16" i="17"/>
  <c r="O16" i="17"/>
  <c r="Q17" i="17"/>
  <c r="S17" i="17"/>
  <c r="T17" i="17"/>
  <c r="O19" i="17"/>
  <c r="S19" i="17"/>
  <c r="O20" i="17"/>
  <c r="S20" i="17"/>
  <c r="O21" i="17"/>
  <c r="S21" i="17"/>
  <c r="O22" i="17"/>
  <c r="S22" i="17"/>
  <c r="Q23" i="17"/>
  <c r="S23" i="17"/>
  <c r="T23" i="17"/>
  <c r="O25" i="17"/>
  <c r="S25" i="17"/>
  <c r="O26" i="17"/>
  <c r="S26" i="17"/>
  <c r="I27" i="17"/>
  <c r="O27" i="17"/>
  <c r="S27" i="17"/>
  <c r="I28" i="17"/>
  <c r="O28" i="17"/>
  <c r="S28" i="17"/>
  <c r="I29" i="17"/>
  <c r="O29" i="17"/>
  <c r="S29" i="17"/>
  <c r="I30" i="17"/>
  <c r="O30" i="17"/>
  <c r="S30" i="17"/>
  <c r="I31" i="17"/>
  <c r="O31" i="17"/>
  <c r="S31" i="17"/>
  <c r="I32" i="17"/>
  <c r="O32" i="17"/>
  <c r="I33" i="17"/>
  <c r="O33" i="17"/>
  <c r="S33" i="17"/>
  <c r="I34" i="17"/>
  <c r="O34" i="17"/>
  <c r="S34" i="17"/>
  <c r="I35" i="17"/>
  <c r="O35" i="17"/>
  <c r="S35" i="17"/>
  <c r="I36" i="17"/>
  <c r="O36" i="17"/>
  <c r="S36" i="17"/>
  <c r="O37" i="17"/>
  <c r="S37" i="17"/>
  <c r="Q38" i="17"/>
  <c r="S38" i="17"/>
  <c r="T38" i="17"/>
  <c r="I40" i="17"/>
  <c r="O40" i="17"/>
  <c r="S40" i="17"/>
  <c r="O41" i="17"/>
  <c r="S41" i="17"/>
  <c r="I42" i="17"/>
  <c r="O42" i="17"/>
  <c r="S42" i="17"/>
  <c r="I43" i="17"/>
  <c r="O43" i="17"/>
  <c r="S43" i="17"/>
  <c r="I44" i="17"/>
  <c r="O44" i="17"/>
  <c r="S44" i="17"/>
  <c r="I45" i="17"/>
  <c r="O45" i="17"/>
  <c r="S45" i="17"/>
  <c r="I46" i="17"/>
  <c r="O46" i="17"/>
  <c r="S46" i="17"/>
  <c r="I47" i="17"/>
  <c r="O47" i="17"/>
  <c r="S47" i="17"/>
  <c r="I48" i="17"/>
  <c r="O48" i="17"/>
  <c r="S48" i="17"/>
  <c r="I49" i="17"/>
  <c r="O49" i="17"/>
  <c r="S49" i="17"/>
  <c r="I50" i="17"/>
  <c r="O50" i="17"/>
  <c r="S50" i="17"/>
  <c r="I51" i="17"/>
  <c r="O51" i="17"/>
  <c r="S51" i="17"/>
  <c r="I52" i="17"/>
  <c r="O52" i="17"/>
  <c r="S52" i="17"/>
  <c r="Q54" i="17"/>
  <c r="S54" i="17"/>
  <c r="T54" i="17"/>
  <c r="O56" i="17"/>
  <c r="S57" i="17"/>
  <c r="I59" i="17"/>
  <c r="O59" i="17"/>
  <c r="S59" i="17"/>
  <c r="S60" i="17"/>
  <c r="I62" i="17"/>
  <c r="O62" i="17"/>
  <c r="S62" i="17"/>
  <c r="I63" i="17"/>
  <c r="O63" i="17"/>
  <c r="S63" i="17"/>
  <c r="I64" i="17"/>
  <c r="O64" i="17"/>
  <c r="S64" i="17"/>
  <c r="S65" i="17"/>
  <c r="I67" i="17"/>
  <c r="S67" i="17"/>
  <c r="I68" i="17"/>
  <c r="S68" i="17"/>
  <c r="S69" i="17"/>
  <c r="S72" i="17"/>
  <c r="S73" i="17"/>
  <c r="S74" i="17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T6" i="3"/>
  <c r="T7" i="3"/>
  <c r="I9" i="3"/>
  <c r="N9" i="3"/>
  <c r="P9" i="3"/>
  <c r="T9" i="3"/>
  <c r="I10" i="3"/>
  <c r="N10" i="3"/>
  <c r="P10" i="3"/>
  <c r="T10" i="3"/>
  <c r="T11" i="3"/>
  <c r="U11" i="3"/>
  <c r="N14" i="3"/>
  <c r="P14" i="3"/>
  <c r="T14" i="3"/>
  <c r="N15" i="3"/>
  <c r="P15" i="3"/>
  <c r="T15" i="3"/>
  <c r="N16" i="3"/>
  <c r="P16" i="3"/>
  <c r="T16" i="3"/>
  <c r="T17" i="3"/>
  <c r="N18" i="3"/>
  <c r="P18" i="3"/>
  <c r="T18" i="3"/>
  <c r="N19" i="3"/>
  <c r="P19" i="3"/>
  <c r="T19" i="3"/>
  <c r="N20" i="3"/>
  <c r="P20" i="3"/>
  <c r="T20" i="3"/>
  <c r="N21" i="3"/>
  <c r="P21" i="3"/>
  <c r="T21" i="3"/>
  <c r="N22" i="3"/>
  <c r="P22" i="3"/>
  <c r="T22" i="3"/>
  <c r="N23" i="3"/>
  <c r="P23" i="3"/>
  <c r="T23" i="3"/>
  <c r="N24" i="3"/>
  <c r="P24" i="3"/>
  <c r="T24" i="3"/>
  <c r="N25" i="3"/>
  <c r="P25" i="3"/>
  <c r="T25" i="3"/>
  <c r="N26" i="3"/>
  <c r="P26" i="3"/>
  <c r="T26" i="3"/>
  <c r="N27" i="3"/>
  <c r="P27" i="3"/>
  <c r="T27" i="3"/>
  <c r="N28" i="3"/>
  <c r="P28" i="3"/>
  <c r="T28" i="3"/>
  <c r="N29" i="3"/>
  <c r="P29" i="3"/>
  <c r="T29" i="3"/>
  <c r="N30" i="3"/>
  <c r="P30" i="3"/>
  <c r="T30" i="3"/>
  <c r="N31" i="3"/>
  <c r="P31" i="3"/>
  <c r="T32" i="3"/>
  <c r="I34" i="3"/>
  <c r="N34" i="3"/>
  <c r="P34" i="3"/>
  <c r="T34" i="3"/>
  <c r="I35" i="3"/>
  <c r="N35" i="3"/>
  <c r="P35" i="3"/>
  <c r="T35" i="3"/>
  <c r="T36" i="3"/>
  <c r="U36" i="3"/>
  <c r="N38" i="3"/>
  <c r="P38" i="3"/>
  <c r="T38" i="3"/>
  <c r="T39" i="3"/>
  <c r="U39" i="3"/>
  <c r="N46" i="3"/>
  <c r="P46" i="3"/>
  <c r="T46" i="3"/>
  <c r="I47" i="3"/>
  <c r="N47" i="3"/>
  <c r="P47" i="3"/>
  <c r="T47" i="3"/>
  <c r="I48" i="3"/>
  <c r="N48" i="3"/>
  <c r="P48" i="3"/>
  <c r="T48" i="3"/>
  <c r="N49" i="3"/>
  <c r="P49" i="3"/>
  <c r="T49" i="3"/>
  <c r="N50" i="3"/>
  <c r="P50" i="3"/>
  <c r="T50" i="3"/>
  <c r="I51" i="3"/>
  <c r="N51" i="3"/>
  <c r="P51" i="3"/>
  <c r="T51" i="3"/>
  <c r="N52" i="3"/>
  <c r="P52" i="3"/>
  <c r="T52" i="3"/>
  <c r="I53" i="3"/>
  <c r="N53" i="3"/>
  <c r="P53" i="3"/>
  <c r="T53" i="3"/>
  <c r="I54" i="3"/>
  <c r="N54" i="3"/>
  <c r="P54" i="3"/>
  <c r="T54" i="3"/>
  <c r="I55" i="3"/>
  <c r="N55" i="3"/>
  <c r="P55" i="3"/>
  <c r="T55" i="3"/>
  <c r="I56" i="3"/>
  <c r="N56" i="3"/>
  <c r="P56" i="3"/>
  <c r="T56" i="3"/>
  <c r="P57" i="3"/>
  <c r="T57" i="3"/>
  <c r="P58" i="3"/>
  <c r="T58" i="3"/>
  <c r="N59" i="3"/>
  <c r="P59" i="3"/>
  <c r="T59" i="3"/>
  <c r="N60" i="3"/>
  <c r="P60" i="3"/>
  <c r="T60" i="3"/>
  <c r="N61" i="3"/>
  <c r="P61" i="3"/>
  <c r="T61" i="3"/>
  <c r="P62" i="3"/>
  <c r="N63" i="3"/>
  <c r="P63" i="3"/>
  <c r="N64" i="3"/>
  <c r="P64" i="3"/>
  <c r="T64" i="3"/>
  <c r="N71" i="3"/>
  <c r="P71" i="3"/>
  <c r="T71" i="3"/>
  <c r="N72" i="3"/>
  <c r="P72" i="3"/>
  <c r="T72" i="3"/>
  <c r="N73" i="3"/>
  <c r="P73" i="3"/>
  <c r="T73" i="3"/>
  <c r="N74" i="3"/>
  <c r="P74" i="3"/>
  <c r="T74" i="3"/>
  <c r="N75" i="3"/>
  <c r="P75" i="3"/>
  <c r="T75" i="3"/>
  <c r="N76" i="3"/>
  <c r="P76" i="3"/>
  <c r="T76" i="3"/>
  <c r="N77" i="3"/>
  <c r="P77" i="3"/>
  <c r="T77" i="3"/>
  <c r="N78" i="3"/>
  <c r="P78" i="3"/>
  <c r="T78" i="3"/>
  <c r="N79" i="3"/>
  <c r="P79" i="3"/>
  <c r="T79" i="3"/>
  <c r="N80" i="3"/>
  <c r="P80" i="3"/>
  <c r="T80" i="3"/>
  <c r="N81" i="3"/>
  <c r="P81" i="3"/>
  <c r="T81" i="3"/>
  <c r="N82" i="3"/>
  <c r="P82" i="3"/>
  <c r="T82" i="3"/>
  <c r="N83" i="3"/>
  <c r="P83" i="3"/>
  <c r="T83" i="3"/>
  <c r="N84" i="3"/>
  <c r="P84" i="3"/>
  <c r="T84" i="3"/>
  <c r="N85" i="3"/>
  <c r="P85" i="3"/>
  <c r="T85" i="3"/>
  <c r="I86" i="3"/>
  <c r="T86" i="3"/>
  <c r="N87" i="3"/>
  <c r="P87" i="3"/>
  <c r="T87" i="3"/>
  <c r="N88" i="3"/>
  <c r="P88" i="3"/>
  <c r="T88" i="3"/>
  <c r="N89" i="3"/>
  <c r="P89" i="3"/>
  <c r="N91" i="3"/>
  <c r="P91" i="3"/>
  <c r="T91" i="3"/>
  <c r="N92" i="3"/>
  <c r="P92" i="3"/>
  <c r="T92" i="3"/>
  <c r="N93" i="3"/>
  <c r="P93" i="3"/>
  <c r="T93" i="3"/>
  <c r="N96" i="3"/>
  <c r="P96" i="3"/>
  <c r="T97" i="3"/>
  <c r="U97" i="3"/>
  <c r="I99" i="3"/>
  <c r="N99" i="3"/>
  <c r="P99" i="3"/>
  <c r="T99" i="3"/>
  <c r="I100" i="3"/>
  <c r="N100" i="3"/>
  <c r="P100" i="3"/>
  <c r="T100" i="3"/>
  <c r="I101" i="3"/>
  <c r="N101" i="3"/>
  <c r="P101" i="3"/>
  <c r="T101" i="3"/>
  <c r="I102" i="3"/>
  <c r="N102" i="3"/>
  <c r="P102" i="3"/>
  <c r="I103" i="3"/>
  <c r="N103" i="3"/>
  <c r="P103" i="3"/>
  <c r="T103" i="3"/>
  <c r="T106" i="3"/>
  <c r="T107" i="3"/>
  <c r="T108" i="3"/>
  <c r="T110" i="3"/>
  <c r="U110" i="3"/>
  <c r="I112" i="3"/>
  <c r="T112" i="3"/>
  <c r="I113" i="3"/>
  <c r="T113" i="3"/>
  <c r="I115" i="3"/>
  <c r="T115" i="3"/>
  <c r="I116" i="3"/>
  <c r="T116" i="3"/>
  <c r="I117" i="3"/>
  <c r="T117" i="3"/>
  <c r="I118" i="3"/>
  <c r="T118" i="3"/>
  <c r="I119" i="3"/>
  <c r="T119" i="3"/>
  <c r="I120" i="3"/>
  <c r="T120" i="3"/>
  <c r="I121" i="3"/>
  <c r="T121" i="3"/>
  <c r="I122" i="3"/>
  <c r="T122" i="3"/>
  <c r="I123" i="3"/>
  <c r="T123" i="3"/>
  <c r="I124" i="3"/>
  <c r="T124" i="3"/>
  <c r="I125" i="3"/>
  <c r="T125" i="3"/>
  <c r="I126" i="3"/>
  <c r="T126" i="3"/>
  <c r="I127" i="3"/>
  <c r="T127" i="3"/>
  <c r="I128" i="3"/>
  <c r="T128" i="3"/>
  <c r="I129" i="3"/>
  <c r="T129" i="3"/>
  <c r="I130" i="3"/>
  <c r="T130" i="3"/>
  <c r="I131" i="3"/>
  <c r="T131" i="3"/>
  <c r="T135" i="3"/>
  <c r="T141" i="3"/>
  <c r="T145" i="3"/>
  <c r="T146" i="3"/>
  <c r="T147" i="3"/>
  <c r="T148" i="3"/>
  <c r="T149" i="3"/>
  <c r="T150" i="3"/>
  <c r="T151" i="3"/>
  <c r="T152" i="3"/>
  <c r="T153" i="3"/>
  <c r="T154" i="3"/>
  <c r="T156" i="3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K58" i="12"/>
  <c r="B59" i="12"/>
  <c r="E59" i="12"/>
  <c r="B60" i="12"/>
  <c r="E60" i="12"/>
  <c r="B61" i="12"/>
  <c r="E61" i="12"/>
  <c r="B62" i="12"/>
  <c r="E62" i="12"/>
  <c r="B63" i="12"/>
  <c r="E63" i="12"/>
  <c r="B64" i="12"/>
  <c r="B65" i="12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4" i="6"/>
  <c r="N25" i="6"/>
  <c r="N26" i="6"/>
  <c r="N27" i="6"/>
  <c r="N28" i="6"/>
  <c r="E3" i="5"/>
  <c r="AC3" i="5"/>
  <c r="AL3" i="5"/>
  <c r="AO3" i="5"/>
  <c r="AR3" i="5"/>
  <c r="E4" i="5"/>
  <c r="N4" i="5"/>
  <c r="W4" i="5"/>
  <c r="E5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K120" i="5"/>
  <c r="B121" i="5"/>
  <c r="H121" i="5"/>
  <c r="K121" i="5"/>
  <c r="B122" i="5"/>
  <c r="H122" i="5"/>
  <c r="K122" i="5"/>
  <c r="H125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H141" i="5"/>
  <c r="H142" i="5"/>
  <c r="B145" i="5"/>
  <c r="B146" i="5"/>
  <c r="H146" i="5"/>
  <c r="B147" i="5"/>
  <c r="H147" i="5"/>
  <c r="H148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<sst xmlns="http://schemas.openxmlformats.org/spreadsheetml/2006/main" count="4016" uniqueCount="1135">
  <si>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</si>
  <si>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</si>
  <si>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</si>
  <si>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</si>
  <si>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</si>
  <si>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</si>
  <si>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</si>
  <si>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</si>
  <si>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</si>
  <si>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</si>
  <si>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</si>
  <si>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</si>
  <si>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</si>
  <si>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</si>
  <si>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</si>
  <si>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</si>
  <si>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</si>
  <si>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</si>
  <si>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</si>
  <si>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</si>
  <si>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</si>
  <si>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</si>
  <si>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</si>
  <si>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</si>
  <si>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</si>
  <si>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</si>
  <si>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</si>
  <si>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</si>
  <si>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</si>
  <si>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</si>
  <si>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</si>
  <si>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</si>
  <si>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</si>
  <si>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</si>
  <si>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</si>
  <si>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</si>
  <si>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</si>
  <si>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</si>
  <si>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</si>
  <si>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</si>
  <si>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</si>
  <si>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</si>
  <si>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</si>
  <si>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</si>
  <si>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</si>
  <si>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</si>
  <si>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</si>
  <si>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</si>
  <si>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</si>
  <si>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</si>
  <si>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</si>
  <si>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</si>
  <si>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</si>
  <si>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</si>
  <si>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</si>
  <si>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</si>
  <si>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</si>
  <si>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</si>
  <si>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</si>
  <si>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</si>
  <si>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</si>
  <si>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</si>
  <si>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</si>
  <si>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</si>
  <si>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</si>
  <si>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</si>
  <si>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</si>
  <si>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</si>
  <si>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</si>
  <si>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</si>
  <si>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</si>
  <si>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</si>
  <si>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</si>
  <si>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Discount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</si>
  <si>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</si>
  <si>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</si>
  <si>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</si>
  <si>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</si>
  <si>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</si>
  <si>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</si>
  <si>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</si>
  <si>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</si>
  <si>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</si>
  <si>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</si>
  <si>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</si>
  <si>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</si>
  <si>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</si>
  <si>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</si>
  <si>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</si>
  <si>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Reimbursements COMM(CGAS)</t>
  </si>
  <si>
    <t>Reimbursements(CGAS)</t>
  </si>
  <si>
    <t>Reimbursements IROQ( BOSTON)</t>
  </si>
  <si>
    <t>Reimbursements IROQ( CANADA)</t>
  </si>
  <si>
    <t>Reimbursements TENN( BOSTON)</t>
  </si>
  <si>
    <t>Reimbursements TENN( CANADA)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</si>
  <si>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</si>
  <si>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</si>
  <si>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</si>
  <si>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</si>
  <si>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</si>
  <si>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</si>
  <si>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</si>
  <si>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</si>
  <si>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</si>
  <si>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</si>
  <si>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</si>
  <si>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</si>
  <si>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</si>
  <si>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</si>
  <si>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</si>
  <si>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</si>
  <si>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</si>
  <si>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</si>
  <si>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</si>
  <si>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</si>
  <si>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</si>
  <si>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</si>
  <si>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</si>
  <si>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</si>
  <si>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</si>
  <si>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</si>
  <si>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</si>
  <si>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</si>
  <si>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</si>
  <si>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</si>
  <si>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</si>
  <si>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</si>
  <si>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</si>
  <si>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</si>
  <si>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</si>
  <si>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</si>
  <si>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</si>
  <si>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</si>
  <si>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</si>
  <si>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</si>
  <si>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</si>
  <si>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</si>
  <si>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</si>
  <si>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</si>
  <si>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</si>
  <si>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</si>
  <si>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</si>
  <si>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</si>
  <si>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</si>
  <si>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</si>
  <si>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</si>
  <si>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</si>
  <si>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</si>
  <si>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</si>
  <si>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</si>
  <si>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</si>
  <si>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</si>
  <si>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</si>
  <si>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</si>
  <si>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</si>
  <si>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</si>
  <si>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</si>
  <si>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</si>
  <si>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</si>
  <si>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</si>
  <si>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</si>
  <si>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</si>
  <si>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</si>
  <si>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</si>
  <si>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</si>
  <si>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</si>
  <si>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</si>
  <si>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</si>
  <si>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</si>
  <si>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</si>
  <si>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</si>
  <si>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</si>
  <si>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</si>
  <si>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</si>
  <si>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</si>
  <si>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</si>
  <si>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</si>
  <si>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</si>
  <si>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</si>
  <si>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</si>
  <si>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</si>
  <si>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</si>
  <si>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</si>
  <si>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</si>
  <si>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</si>
  <si>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</si>
  <si>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</si>
  <si>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</si>
  <si>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</si>
  <si>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</si>
  <si>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</si>
  <si>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</si>
  <si>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</si>
  <si>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</si>
  <si>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</si>
  <si>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</si>
  <si>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</si>
  <si>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</si>
  <si>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</si>
  <si>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</si>
  <si>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</si>
  <si>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</si>
  <si>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</si>
  <si>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</si>
  <si>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</si>
  <si>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</si>
  <si>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</si>
  <si>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</si>
  <si>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</si>
  <si>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</si>
  <si>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</si>
  <si>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</si>
  <si>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</si>
  <si>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</si>
  <si>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</si>
  <si>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</si>
  <si>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</si>
  <si>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</si>
  <si>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</si>
  <si>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</si>
  <si>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</si>
  <si>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</si>
  <si>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</si>
  <si>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</si>
  <si>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</si>
  <si>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</si>
  <si>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</si>
  <si>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</si>
  <si>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</si>
  <si>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</si>
  <si>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</si>
  <si>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</si>
  <si>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</si>
  <si>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</si>
  <si>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</si>
  <si>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</si>
  <si>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</si>
  <si>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</si>
  <si>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</si>
  <si>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</si>
  <si>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</si>
  <si>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</si>
  <si>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</si>
  <si>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</si>
  <si>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DEAL #</t>
  </si>
  <si>
    <t>PIPELINE</t>
  </si>
  <si>
    <t>POINT</t>
  </si>
  <si>
    <t>PRODUCER</t>
  </si>
  <si>
    <t xml:space="preserve">COMMODITY </t>
  </si>
  <si>
    <t>FUEL %</t>
  </si>
  <si>
    <t>INDEX</t>
  </si>
  <si>
    <t>TRANSCO</t>
  </si>
  <si>
    <t>Z1 WH</t>
  </si>
  <si>
    <t>AMERICAN EXPLORATION</t>
  </si>
  <si>
    <t>DOMINION RESERVES</t>
  </si>
  <si>
    <t>ZILKHA ENERGY</t>
  </si>
  <si>
    <t>Z2 WH</t>
  </si>
  <si>
    <t>ENRON OIL &amp; GAS</t>
  </si>
  <si>
    <t>Z3 WH</t>
  </si>
  <si>
    <t>MARINER ENERGY</t>
  </si>
  <si>
    <t>NEWFIELD EXPLORATION</t>
  </si>
  <si>
    <t>HALLWOOD PETROLEUM</t>
  </si>
  <si>
    <t>OCEAN ENERGY</t>
  </si>
  <si>
    <t>Z4 WH</t>
  </si>
  <si>
    <t>OEDC EXPLORATION</t>
  </si>
  <si>
    <t>VENICE</t>
  </si>
  <si>
    <t>S PELTO 5</t>
  </si>
  <si>
    <t>UP TO 30,000</t>
  </si>
  <si>
    <t>S TIM 37</t>
  </si>
  <si>
    <t>Mariner Energy</t>
  </si>
  <si>
    <t>6/23/98 CG</t>
  </si>
  <si>
    <t>CNR</t>
  </si>
  <si>
    <t>ECT deducts processing of $.06 and gathering of $.26 until of February of 1999.</t>
  </si>
  <si>
    <t>The following producers pay their own gathering and processing invoices:</t>
  </si>
  <si>
    <t>Deal #</t>
  </si>
  <si>
    <t>Producer</t>
  </si>
  <si>
    <t>Dry Creek Oil &amp; Gas</t>
  </si>
  <si>
    <t>Elliott, We Jr., Trustee</t>
  </si>
  <si>
    <t>Jacks Creek Oil &amp; Gas</t>
  </si>
  <si>
    <t>Lindsey &amp; Elliott Perry/Fletcher</t>
  </si>
  <si>
    <t>Lindsey Enterprises</t>
  </si>
  <si>
    <t>Gatherco</t>
  </si>
  <si>
    <t>ECT pays $.25 gathering for all producers.</t>
  </si>
  <si>
    <t>Gathering fees are $.30 if index goes above $3.49</t>
  </si>
  <si>
    <t>All producers on Gatherco receive the gathering deduct.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</si>
  <si>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</si>
  <si>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</si>
  <si>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</si>
  <si>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</si>
  <si>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</si>
  <si>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</si>
  <si>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</si>
  <si>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</si>
  <si>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</si>
  <si>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</si>
  <si>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</si>
  <si>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</si>
  <si>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</si>
  <si>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</si>
  <si>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</si>
  <si>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</si>
  <si>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</si>
  <si>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</si>
  <si>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</si>
  <si>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</si>
  <si>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</si>
  <si>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</si>
  <si>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</si>
  <si>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</si>
  <si>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</si>
  <si>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</si>
  <si>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</si>
  <si>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</si>
  <si>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</si>
  <si>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</si>
  <si>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</si>
  <si>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</si>
  <si>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</si>
  <si>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</si>
  <si>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</si>
  <si>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</si>
  <si>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</si>
  <si>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</si>
  <si>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</si>
  <si>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</si>
  <si>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</si>
  <si>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</si>
  <si>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</si>
  <si>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</si>
  <si>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</si>
  <si>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</si>
  <si>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</si>
  <si>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</si>
  <si>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</si>
  <si>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</si>
  <si>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</si>
  <si>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</si>
  <si>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</si>
  <si>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</si>
  <si>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</si>
  <si>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</si>
  <si>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</si>
  <si>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</si>
  <si>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</si>
  <si>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</si>
  <si>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</si>
  <si>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</si>
  <si>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</si>
  <si>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</si>
  <si>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</si>
  <si>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</si>
  <si>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</si>
  <si>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</si>
  <si>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</si>
  <si>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</si>
  <si>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</si>
  <si>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</si>
  <si>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</si>
  <si>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</si>
  <si>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</si>
  <si>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</si>
  <si>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</si>
  <si>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</si>
  <si>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</si>
  <si>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</si>
  <si>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</si>
  <si>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</si>
  <si>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</si>
  <si>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</si>
  <si>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</si>
  <si>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</si>
  <si>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</si>
  <si>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</si>
  <si>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</si>
  <si>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</si>
  <si>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</si>
  <si>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</si>
  <si>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</si>
  <si>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</si>
  <si>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</si>
  <si>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</si>
  <si>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</si>
  <si>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</si>
  <si>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</si>
  <si>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</si>
  <si>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</si>
  <si>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</si>
  <si>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</si>
  <si>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</si>
  <si>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</si>
  <si>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</si>
  <si>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</si>
  <si>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</si>
  <si>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</si>
  <si>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</si>
  <si>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</si>
  <si>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</si>
  <si>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</si>
  <si>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</si>
  <si>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</si>
  <si>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</si>
  <si>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</si>
  <si>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</si>
  <si>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</si>
  <si>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</si>
  <si>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</si>
  <si>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</si>
  <si>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</si>
  <si>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</si>
  <si>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</si>
  <si>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</si>
  <si>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</si>
  <si>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</si>
  <si>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</si>
  <si>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</si>
  <si>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</si>
  <si>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</si>
  <si>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</si>
  <si>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</si>
  <si>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</si>
  <si>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</si>
  <si>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</si>
  <si>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</si>
  <si>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</si>
  <si>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</si>
  <si>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</si>
  <si>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</si>
  <si>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</si>
  <si>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</si>
  <si>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</si>
  <si>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</si>
  <si>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</si>
  <si>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</si>
  <si>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</si>
  <si>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</si>
  <si>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</si>
  <si>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</si>
  <si>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</si>
  <si>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</si>
  <si>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</si>
  <si>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</si>
  <si>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</si>
  <si>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</si>
  <si>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</si>
  <si>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</si>
  <si>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</si>
  <si>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</si>
  <si>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</si>
  <si>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</si>
  <si>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</si>
  <si>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</si>
  <si>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</si>
  <si>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</si>
  <si>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</si>
  <si>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</si>
  <si>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</si>
  <si>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</si>
  <si>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</si>
  <si>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</si>
  <si>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</si>
  <si>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</si>
  <si>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</si>
  <si>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</si>
  <si>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</si>
  <si>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</si>
  <si>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</si>
  <si>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</si>
  <si>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</si>
  <si>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</si>
  <si>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</si>
  <si>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</si>
  <si>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</si>
  <si>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</si>
  <si>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</si>
  <si>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</si>
  <si>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</si>
  <si>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zn 3</t>
  </si>
  <si>
    <t>zone 1/0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</si>
  <si>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</si>
  <si>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</si>
  <si>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</si>
  <si>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</si>
  <si>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</si>
  <si>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</si>
  <si>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</si>
  <si>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</si>
  <si>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</si>
  <si>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</si>
  <si>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</si>
  <si>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</si>
  <si>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</si>
  <si>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</si>
  <si>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</si>
  <si>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</si>
  <si>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</si>
  <si>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</si>
  <si>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</si>
  <si>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</si>
  <si>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</si>
  <si>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</si>
  <si>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</si>
  <si>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</si>
  <si>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</si>
  <si>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</si>
  <si>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</si>
  <si>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</si>
  <si>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</si>
  <si>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</si>
  <si>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</si>
  <si>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</si>
  <si>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</si>
  <si>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</si>
  <si>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</si>
  <si>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</si>
  <si>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</si>
  <si>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</si>
  <si>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</si>
  <si>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</si>
  <si>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</si>
  <si>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</si>
  <si>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</si>
  <si>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</si>
  <si>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</si>
  <si>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</si>
  <si>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</si>
  <si>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</si>
  <si>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</si>
  <si>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</si>
  <si>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</si>
  <si>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</si>
  <si>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</si>
  <si>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</si>
  <si>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</si>
  <si>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</si>
  <si>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</si>
  <si>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</si>
  <si>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</si>
  <si>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</si>
  <si>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</si>
  <si>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</si>
  <si>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</si>
  <si>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</si>
  <si>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</si>
  <si>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</si>
  <si>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</si>
  <si>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</si>
  <si>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</si>
  <si>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</si>
  <si>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 xml:space="preserve">Sitara 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</si>
  <si>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</si>
  <si>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</si>
  <si>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</si>
  <si>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</si>
  <si>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</si>
  <si>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</si>
  <si>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</si>
  <si>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</si>
  <si>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</si>
  <si>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</si>
  <si>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</si>
  <si>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</si>
  <si>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</si>
  <si>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</si>
  <si>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</si>
  <si>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</si>
  <si>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</si>
  <si>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</si>
  <si>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</si>
  <si>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</si>
  <si>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</si>
  <si>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</si>
  <si>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</si>
  <si>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</si>
  <si>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</si>
  <si>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</si>
  <si>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</si>
  <si>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</si>
  <si>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</si>
  <si>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</si>
  <si>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</si>
  <si>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</si>
  <si>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</si>
  <si>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</si>
  <si>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</si>
  <si>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</si>
  <si>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</si>
  <si>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</si>
  <si>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</si>
  <si>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</si>
  <si>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</si>
  <si>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</si>
  <si>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</si>
  <si>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</si>
  <si>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</si>
  <si>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</si>
  <si>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</si>
  <si>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z4 Northern Strg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</si>
  <si>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</si>
  <si>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</si>
  <si>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</si>
  <si>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</si>
  <si>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</si>
  <si>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</si>
  <si>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</si>
  <si>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</si>
  <si>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</si>
  <si>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</si>
  <si>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</si>
  <si>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</si>
  <si>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</si>
  <si>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</si>
  <si>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</si>
  <si>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</si>
  <si>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</si>
  <si>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</si>
  <si>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</si>
  <si>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</si>
  <si>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</si>
  <si>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</si>
  <si>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</si>
  <si>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</si>
  <si>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</si>
  <si>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</si>
  <si>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</si>
  <si>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</si>
  <si>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</si>
  <si>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Conn Natural</t>
  </si>
  <si>
    <t>zone/0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</si>
  <si>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</si>
  <si>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</si>
  <si>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</si>
  <si>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</si>
  <si>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</si>
  <si>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</si>
  <si>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</si>
  <si>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</si>
  <si>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Unsusal Items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</si>
  <si>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</si>
  <si>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</si>
  <si>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</si>
  <si>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</si>
  <si>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</si>
  <si>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</si>
  <si>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</si>
  <si>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</si>
  <si>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</si>
  <si>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</si>
  <si>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</si>
  <si>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</si>
  <si>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</si>
  <si>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</si>
  <si>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</si>
  <si>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</si>
  <si>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</si>
  <si>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</si>
  <si>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</si>
  <si>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</si>
  <si>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</si>
  <si>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</si>
  <si>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zl  800 leg</t>
  </si>
  <si>
    <t>Segment</t>
  </si>
  <si>
    <t>BUG</t>
  </si>
  <si>
    <t>Zone L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</si>
  <si>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</si>
  <si>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</si>
  <si>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</si>
  <si>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</si>
  <si>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</si>
  <si>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</si>
  <si>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</si>
  <si>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</si>
  <si>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</si>
  <si>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</si>
  <si>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</si>
  <si>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</si>
  <si>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</si>
  <si>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</si>
  <si>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</si>
  <si>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</si>
  <si>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</si>
  <si>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</si>
  <si>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</si>
  <si>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</si>
  <si>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</si>
  <si>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</si>
  <si>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</si>
  <si>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</si>
  <si>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</si>
  <si>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</si>
  <si>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</si>
  <si>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</si>
  <si>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</si>
  <si>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</si>
  <si>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</si>
  <si>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</si>
  <si>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fuel(1.11)</t>
  </si>
  <si>
    <t>CES</t>
  </si>
  <si>
    <t>Portland</t>
  </si>
  <si>
    <t>0/1</t>
  </si>
  <si>
    <t>MidCoast</t>
  </si>
  <si>
    <t>Sheffield</t>
  </si>
  <si>
    <t>Russelvile</t>
  </si>
  <si>
    <t>Cherokee</t>
  </si>
  <si>
    <t>Huntsville</t>
  </si>
  <si>
    <t>Decatur</t>
  </si>
  <si>
    <t>entex strg</t>
  </si>
  <si>
    <t>3996/4004</t>
  </si>
  <si>
    <t>reimbursed</t>
  </si>
  <si>
    <t>Reimbursements( TENN)Entex demand</t>
  </si>
  <si>
    <t>Reimbursements CES MUNICIPLES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</si>
  <si>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</si>
  <si>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</si>
  <si>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</si>
  <si>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</si>
  <si>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</si>
  <si>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</si>
  <si>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</si>
  <si>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</si>
  <si>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</si>
  <si>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</si>
  <si>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</si>
  <si>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</si>
  <si>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</si>
  <si>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</si>
  <si>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</si>
  <si>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</si>
  <si>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</si>
  <si>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</si>
  <si>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</si>
  <si>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Z0</t>
  </si>
  <si>
    <t>z2</t>
  </si>
  <si>
    <t>500 leg</t>
  </si>
  <si>
    <t>zone 1</t>
  </si>
  <si>
    <t xml:space="preserve">LGS </t>
  </si>
  <si>
    <t>LGS strg</t>
  </si>
  <si>
    <t>Reimbursements(TENN)LGS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</si>
  <si>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</si>
  <si>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</si>
  <si>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</si>
  <si>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</si>
  <si>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</si>
  <si>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</si>
  <si>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</si>
  <si>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</si>
  <si>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</si>
  <si>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</si>
  <si>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</si>
  <si>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</si>
  <si>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</si>
  <si>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</si>
  <si>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</si>
  <si>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</si>
  <si>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</si>
  <si>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</si>
  <si>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</si>
  <si>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</si>
  <si>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</si>
  <si>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</si>
  <si>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</si>
  <si>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</si>
  <si>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</si>
  <si>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</si>
  <si>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</si>
  <si>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</si>
  <si>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</si>
  <si>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</si>
  <si>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</si>
  <si>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</si>
  <si>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</si>
  <si>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</si>
  <si>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</si>
  <si>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</si>
  <si>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</si>
  <si>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UGI Energy Services</t>
  </si>
  <si>
    <t>CES/CALP</t>
  </si>
  <si>
    <t>Broad run</t>
  </si>
  <si>
    <t>CALP</t>
  </si>
  <si>
    <t>Primary delivery to constrained area on TCO 5-7.  For Retail needs.</t>
  </si>
  <si>
    <t>Type</t>
  </si>
  <si>
    <t>FTS</t>
  </si>
  <si>
    <t>Environgas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</si>
  <si>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</si>
  <si>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</si>
  <si>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</si>
  <si>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</si>
  <si>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</si>
  <si>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</si>
  <si>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</si>
  <si>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</si>
  <si>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Penn Fuel Reimbursements</t>
  </si>
  <si>
    <t>Net East Desk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</si>
  <si>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</si>
  <si>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</si>
  <si>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</si>
  <si>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</si>
  <si>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</si>
  <si>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</si>
  <si>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</si>
  <si>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</si>
  <si>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</si>
  <si>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</si>
  <si>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</si>
  <si>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</si>
  <si>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</si>
  <si>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</si>
  <si>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</si>
  <si>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</si>
  <si>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</si>
  <si>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</si>
  <si>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</si>
  <si>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</si>
  <si>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</si>
  <si>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</si>
  <si>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</si>
  <si>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</si>
  <si>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</si>
  <si>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</si>
  <si>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</si>
  <si>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</si>
  <si>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</si>
  <si>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</si>
  <si>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</si>
  <si>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</si>
  <si>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</si>
  <si>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</si>
  <si>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</si>
  <si>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</si>
  <si>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</si>
  <si>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</si>
  <si>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</si>
  <si>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</si>
  <si>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</si>
  <si>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</si>
  <si>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</si>
  <si>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</si>
  <si>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</si>
  <si>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</si>
  <si>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</si>
  <si>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</si>
  <si>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</si>
  <si>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</si>
  <si>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</si>
  <si>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</si>
  <si>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</si>
  <si>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</si>
  <si>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</si>
  <si>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</si>
  <si>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</si>
  <si>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</si>
  <si>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</si>
  <si>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</si>
  <si>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</si>
  <si>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</si>
  <si>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</si>
  <si>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</si>
  <si>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</si>
  <si>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</si>
  <si>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</si>
  <si>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</si>
  <si>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</si>
  <si>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</si>
  <si>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</si>
  <si>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</si>
  <si>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</si>
  <si>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</si>
  <si>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</si>
  <si>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</si>
  <si>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</si>
  <si>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</si>
  <si>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</si>
  <si>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</si>
  <si>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</si>
  <si>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</si>
  <si>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</si>
  <si>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</si>
  <si>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</si>
  <si>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</si>
  <si>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</si>
  <si>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</si>
  <si>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</si>
  <si>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</si>
  <si>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</si>
  <si>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</si>
  <si>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</si>
  <si>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</si>
  <si>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</si>
  <si>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</si>
  <si>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</si>
  <si>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</si>
  <si>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</si>
  <si>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</si>
  <si>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</si>
  <si>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3.4144 / .7537</t>
  </si>
  <si>
    <t>Station 62</t>
  </si>
  <si>
    <t>Utos</t>
  </si>
  <si>
    <t>3.4271 / .7537</t>
  </si>
  <si>
    <t>#18944</t>
  </si>
  <si>
    <t>#18908, Released Month to Month thru October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</si>
  <si>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</si>
  <si>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</si>
  <si>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</si>
  <si>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</si>
  <si>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</si>
  <si>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</si>
  <si>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</si>
  <si>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</si>
  <si>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</si>
  <si>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</si>
  <si>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</si>
  <si>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</si>
  <si>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</si>
  <si>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</si>
  <si>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</si>
  <si>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</si>
  <si>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</si>
  <si>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</si>
  <si>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</si>
  <si>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</si>
  <si>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</si>
  <si>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</si>
  <si>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</si>
  <si>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</si>
  <si>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</si>
  <si>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</si>
  <si>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</si>
  <si>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</si>
  <si>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</si>
  <si>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</si>
  <si>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</si>
  <si>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</si>
  <si>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</si>
  <si>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</si>
  <si>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</si>
  <si>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</si>
  <si>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</si>
  <si>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</si>
  <si>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</si>
  <si>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</si>
  <si>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</si>
  <si>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</si>
  <si>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</si>
  <si>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</si>
  <si>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</si>
  <si>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</si>
  <si>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 xml:space="preserve">                                                                                                                                                                       </t>
  </si>
  <si>
    <t>Energynorth</t>
  </si>
  <si>
    <t>Y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</si>
  <si>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</si>
  <si>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</si>
  <si>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</si>
  <si>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</si>
  <si>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</si>
  <si>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</si>
  <si>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</si>
  <si>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</si>
  <si>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</si>
  <si>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</si>
  <si>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</si>
  <si>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</si>
  <si>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</si>
  <si>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</si>
  <si>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</si>
  <si>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</si>
  <si>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</si>
  <si>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</si>
  <si>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</si>
  <si>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</si>
  <si>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</si>
  <si>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</si>
  <si>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</si>
  <si>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</si>
  <si>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</si>
  <si>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</si>
  <si>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</si>
  <si>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</si>
  <si>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</si>
  <si>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</si>
  <si>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</si>
  <si>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</si>
  <si>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</si>
  <si>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</si>
  <si>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</si>
  <si>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</si>
  <si>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</si>
  <si>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</si>
  <si>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</si>
  <si>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</si>
  <si>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</si>
  <si>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</si>
  <si>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</si>
  <si>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</si>
  <si>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</si>
  <si>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</si>
  <si>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</si>
  <si>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</si>
  <si>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</si>
  <si>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</si>
  <si>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</si>
  <si>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</si>
  <si>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</si>
  <si>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</si>
  <si>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</si>
  <si>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</si>
  <si>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</si>
  <si>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</si>
  <si>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</si>
  <si>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</si>
  <si>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</si>
  <si>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</si>
  <si>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</si>
  <si>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East Desk Transportation Capacity for May, 2000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</si>
  <si>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</si>
  <si>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</si>
  <si>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</si>
  <si>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</si>
  <si>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</si>
  <si>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</si>
  <si>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>#16696</t>
  </si>
  <si>
    <t xml:space="preserve"> 252056 / 252057</t>
  </si>
  <si>
    <t>Bug</t>
  </si>
  <si>
    <t>Telescoped</t>
  </si>
  <si>
    <t>6558 BUG</t>
  </si>
  <si>
    <t>3.4708 / .7537</t>
  </si>
  <si>
    <t>#19328</t>
  </si>
  <si>
    <t>3.4620 / .7537</t>
  </si>
  <si>
    <t>#19327</t>
  </si>
  <si>
    <t>252822 / 252835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</si>
  <si>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</si>
  <si>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</si>
  <si>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</si>
  <si>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</si>
  <si>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</si>
  <si>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</si>
  <si>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</si>
  <si>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</si>
  <si>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</si>
  <si>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</si>
  <si>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 xml:space="preserve">                   CNG May Fuel Waivers</t>
  </si>
  <si>
    <t>Sabinsville (TGP)</t>
  </si>
  <si>
    <t>Morrisville (TGP)</t>
  </si>
  <si>
    <t>Leidy (TETCO)</t>
  </si>
  <si>
    <t>Leidy (TRANSCO)</t>
  </si>
  <si>
    <t>From 33141</t>
  </si>
  <si>
    <t>From 33550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</si>
  <si>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</si>
  <si>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</si>
  <si>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</si>
  <si>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</si>
  <si>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</si>
  <si>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</si>
  <si>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</si>
  <si>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</si>
  <si>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</si>
  <si>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23-1, 23-5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</si>
  <si>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</si>
  <si>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</si>
  <si>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</si>
  <si>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</si>
  <si>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</si>
  <si>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</si>
  <si>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</si>
  <si>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</si>
  <si>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</si>
  <si>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</si>
  <si>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</si>
  <si>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</si>
  <si>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</si>
  <si>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</si>
  <si>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</si>
  <si>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</si>
  <si>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</si>
  <si>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</si>
  <si>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</si>
  <si>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</si>
  <si>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</si>
  <si>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>Even</t>
  </si>
  <si>
    <t>fuel(0)</t>
  </si>
  <si>
    <t>fuel(0.00)</t>
  </si>
  <si>
    <t>fuel(.0)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</si>
  <si>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</si>
  <si>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</si>
  <si>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</si>
  <si>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</si>
  <si>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</si>
  <si>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</si>
  <si>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</si>
  <si>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</si>
  <si>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fuel(0.58)</t>
  </si>
  <si>
    <t>TET Stor.</t>
  </si>
  <si>
    <t>MGAG</t>
  </si>
  <si>
    <t>Z3</t>
  </si>
  <si>
    <t>Z4</t>
  </si>
  <si>
    <t>3.5004 / 3.4367</t>
  </si>
  <si>
    <t>#19624</t>
  </si>
  <si>
    <t>3.5005 / 3.4367</t>
  </si>
  <si>
    <t>3.5006 / 3.4367</t>
  </si>
  <si>
    <t>3.5007 / 3.4367</t>
  </si>
  <si>
    <t>3.5008 / 3.4367</t>
  </si>
  <si>
    <t>3.5009 / 3.4367</t>
  </si>
  <si>
    <t>3.5010 / 3.4367</t>
  </si>
  <si>
    <t>3.5011 / 3.4367</t>
  </si>
  <si>
    <t>3.5012 / 3.4367</t>
  </si>
  <si>
    <t>3.5013 / 3.4367</t>
  </si>
  <si>
    <t>3.5014 / 3.4367</t>
  </si>
  <si>
    <t>#19626</t>
  </si>
  <si>
    <t>#19634</t>
  </si>
  <si>
    <t>#19636</t>
  </si>
  <si>
    <t>#19637</t>
  </si>
  <si>
    <t>#19638</t>
  </si>
  <si>
    <t>#19612</t>
  </si>
  <si>
    <t>#19620</t>
  </si>
  <si>
    <t>#19619</t>
  </si>
  <si>
    <t>#19618</t>
  </si>
  <si>
    <t>#19617</t>
  </si>
  <si>
    <t>Caladonia</t>
  </si>
  <si>
    <t>fuel(.603)</t>
  </si>
  <si>
    <t>fuel(2.82)</t>
  </si>
  <si>
    <t>fuel(.489)</t>
  </si>
  <si>
    <t xml:space="preserve">Total Demand Charges  </t>
  </si>
  <si>
    <t>Total Reimbursements</t>
  </si>
  <si>
    <t>Net ENA Expense</t>
  </si>
  <si>
    <t>eff 10/1/2000</t>
  </si>
  <si>
    <t>Purchased directly from the pipe.</t>
  </si>
  <si>
    <t xml:space="preserve">Buy </t>
  </si>
  <si>
    <t>30RV - Richmond</t>
  </si>
  <si>
    <t>Dynergi capcity released month to month.</t>
  </si>
  <si>
    <t>Dynegy - released month to month</t>
  </si>
  <si>
    <t>Term capcity</t>
  </si>
  <si>
    <t>23N-7</t>
  </si>
  <si>
    <t>Released CES capacity to IGS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</si>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</sst>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165" fontId="0" fillId="0" borderId="0" xfId="0" applyNumberFormat="1"/>
    <xf numFmtId="1" fontId="0" fillId="0" borderId="0" xfId="1" applyNumberFormat="1" applyFont="1"/>
    <xf numFmtId="10" fontId="0" fillId="0" borderId="0" xfId="3" applyNumberFormat="1" applyFont="1"/>
    <xf numFmtId="7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38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67" fontId="6" fillId="0" borderId="0" xfId="2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40" fontId="6" fillId="0" borderId="2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38" fontId="7" fillId="4" borderId="3" xfId="0" applyNumberFormat="1" applyFont="1" applyFill="1" applyBorder="1" applyAlignment="1">
      <alignment horizontal="right"/>
    </xf>
    <xf numFmtId="38" fontId="6" fillId="8" borderId="0" xfId="0" applyNumberFormat="1" applyFont="1" applyFill="1" applyAlignment="1">
      <alignment horizontal="right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15" fillId="3" borderId="0" xfId="0" applyFont="1" applyFill="1"/>
    <xf numFmtId="15" fontId="19" fillId="0" borderId="0" xfId="0" applyNumberFormat="1" applyFont="1" applyFill="1" applyAlignment="1">
      <alignment horizontal="center"/>
    </xf>
    <xf numFmtId="0" fontId="6" fillId="3" borderId="0" xfId="0" quotePrefix="1" applyNumberFormat="1" applyFont="1" applyFill="1" applyAlignment="1">
      <alignment horizontal="left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right"/>
    </xf>
    <xf numFmtId="171" fontId="8" fillId="0" borderId="0" xfId="2" applyNumberFormat="1" applyFont="1" applyFill="1" applyAlignment="1">
      <alignment horizontal="right"/>
    </xf>
    <xf numFmtId="38" fontId="8" fillId="0" borderId="3" xfId="0" applyNumberFormat="1" applyFont="1" applyFill="1" applyBorder="1" applyAlignment="1">
      <alignment horizontal="right"/>
    </xf>
    <xf numFmtId="171" fontId="8" fillId="0" borderId="0" xfId="0" applyNumberFormat="1" applyFont="1" applyFill="1" applyAlignment="1">
      <alignment horizontal="right"/>
    </xf>
    <xf numFmtId="38" fontId="8" fillId="0" borderId="0" xfId="0" quotePrefix="1" applyNumberFormat="1" applyFont="1" applyFill="1" applyAlignment="1">
      <alignment horizontal="right"/>
    </xf>
    <xf numFmtId="38" fontId="8" fillId="0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9" borderId="0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71" fontId="8" fillId="7" borderId="0" xfId="2" applyNumberFormat="1" applyFont="1" applyFill="1" applyAlignment="1">
      <alignment horizontal="right"/>
    </xf>
    <xf numFmtId="0" fontId="15" fillId="7" borderId="0" xfId="0" applyFont="1" applyFill="1"/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164" fontId="7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38" fontId="6" fillId="4" borderId="0" xfId="0" applyNumberFormat="1" applyFont="1" applyFill="1" applyBorder="1" applyAlignment="1">
      <alignment horizontal="left"/>
    </xf>
    <xf numFmtId="38" fontId="6" fillId="4" borderId="0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169" fontId="6" fillId="4" borderId="0" xfId="0" applyNumberFormat="1" applyFont="1" applyFill="1" applyBorder="1" applyAlignment="1">
      <alignment horizontal="center"/>
    </xf>
    <xf numFmtId="168" fontId="6" fillId="4" borderId="0" xfId="0" applyNumberFormat="1" applyFont="1" applyFill="1" applyBorder="1" applyAlignment="1">
      <alignment horizontal="center"/>
    </xf>
    <xf numFmtId="10" fontId="6" fillId="4" borderId="0" xfId="0" applyNumberFormat="1" applyFont="1" applyFill="1" applyBorder="1" applyAlignment="1">
      <alignment horizontal="center"/>
    </xf>
    <xf numFmtId="1" fontId="6" fillId="4" borderId="0" xfId="0" applyNumberFormat="1" applyFont="1" applyFill="1" applyBorder="1" applyAlignment="1">
      <alignment horizontal="center"/>
    </xf>
    <xf numFmtId="38" fontId="6" fillId="4" borderId="0" xfId="0" quotePrefix="1" applyNumberFormat="1" applyFont="1" applyFill="1" applyBorder="1" applyAlignment="1">
      <alignment horizontal="left"/>
    </xf>
    <xf numFmtId="38" fontId="8" fillId="4" borderId="0" xfId="0" applyNumberFormat="1" applyFont="1" applyFill="1" applyBorder="1" applyAlignment="1">
      <alignment horizontal="right"/>
    </xf>
    <xf numFmtId="38" fontId="6" fillId="4" borderId="0" xfId="0" applyNumberFormat="1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center"/>
    </xf>
    <xf numFmtId="0" fontId="15" fillId="4" borderId="0" xfId="0" applyFont="1" applyFill="1" applyBorder="1"/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38" fontId="8" fillId="2" borderId="0" xfId="0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2" borderId="0" xfId="0" quotePrefix="1" applyNumberFormat="1" applyFont="1" applyFill="1" applyBorder="1" applyAlignment="1">
      <alignment horizontal="center"/>
    </xf>
    <xf numFmtId="164" fontId="7" fillId="2" borderId="0" xfId="0" quotePrefix="1" applyNumberFormat="1" applyFont="1" applyFill="1" applyAlignment="1">
      <alignment horizontal="center"/>
    </xf>
    <xf numFmtId="38" fontId="8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10" borderId="0" xfId="0" applyNumberFormat="1" applyFont="1" applyFill="1" applyAlignment="1">
      <alignment horizontal="left"/>
    </xf>
    <xf numFmtId="38" fontId="7" fillId="10" borderId="0" xfId="0" applyNumberFormat="1" applyFont="1" applyFill="1" applyAlignment="1">
      <alignment horizontal="center"/>
    </xf>
    <xf numFmtId="38" fontId="6" fillId="10" borderId="0" xfId="0" applyNumberFormat="1" applyFont="1" applyFill="1" applyAlignment="1">
      <alignment horizontal="center"/>
    </xf>
    <xf numFmtId="14" fontId="6" fillId="10" borderId="0" xfId="0" applyNumberFormat="1" applyFont="1" applyFill="1" applyAlignment="1">
      <alignment horizontal="center"/>
    </xf>
    <xf numFmtId="169" fontId="6" fillId="10" borderId="0" xfId="0" applyNumberFormat="1" applyFont="1" applyFill="1" applyAlignment="1">
      <alignment horizontal="center"/>
    </xf>
    <xf numFmtId="168" fontId="6" fillId="10" borderId="0" xfId="0" applyNumberFormat="1" applyFont="1" applyFill="1" applyAlignment="1">
      <alignment horizontal="center"/>
    </xf>
    <xf numFmtId="10" fontId="6" fillId="10" borderId="0" xfId="0" applyNumberFormat="1" applyFont="1" applyFill="1" applyAlignment="1">
      <alignment horizontal="center"/>
    </xf>
    <xf numFmtId="164" fontId="7" fillId="10" borderId="0" xfId="0" quotePrefix="1" applyNumberFormat="1" applyFont="1" applyFill="1" applyAlignment="1">
      <alignment horizontal="center"/>
    </xf>
    <xf numFmtId="38" fontId="6" fillId="10" borderId="0" xfId="0" quotePrefix="1" applyNumberFormat="1" applyFont="1" applyFill="1" applyAlignment="1">
      <alignment horizontal="left"/>
    </xf>
    <xf numFmtId="38" fontId="8" fillId="10" borderId="0" xfId="0" applyNumberFormat="1" applyFont="1" applyFill="1" applyAlignment="1">
      <alignment horizontal="right"/>
    </xf>
    <xf numFmtId="38" fontId="6" fillId="10" borderId="0" xfId="0" applyNumberFormat="1" applyFont="1" applyFill="1" applyAlignment="1">
      <alignment horizontal="right"/>
    </xf>
    <xf numFmtId="0" fontId="6" fillId="10" borderId="0" xfId="0" applyNumberFormat="1" applyFont="1" applyFill="1" applyAlignment="1">
      <alignment horizontal="center"/>
    </xf>
    <xf numFmtId="0" fontId="0" fillId="10" borderId="0" xfId="0" applyFill="1"/>
    <xf numFmtId="38" fontId="12" fillId="0" borderId="0" xfId="0" applyNumberFormat="1" applyFont="1" applyFill="1"/>
    <xf numFmtId="201" fontId="6" fillId="2" borderId="0" xfId="1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6" fillId="0" borderId="24" xfId="0" applyFont="1" applyFill="1" applyBorder="1"/>
    <xf numFmtId="44" fontId="6" fillId="2" borderId="0" xfId="2" applyFont="1" applyFill="1" applyAlignment="1">
      <alignment horizontal="left"/>
    </xf>
    <xf numFmtId="17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2" borderId="25" xfId="0" applyNumberFormat="1" applyFont="1" applyFill="1" applyBorder="1" applyAlignment="1">
      <alignment horizontal="center"/>
    </xf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171" fontId="8" fillId="11" borderId="0" xfId="2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7" fontId="0" fillId="0" borderId="0" xfId="0" applyNumberFormat="1" applyFill="1" applyBorder="1"/>
    <xf numFmtId="0" fontId="12" fillId="0" borderId="26" xfId="0" applyFont="1" applyFill="1" applyBorder="1"/>
    <xf numFmtId="0" fontId="18" fillId="0" borderId="27" xfId="0" applyFont="1" applyFill="1" applyBorder="1" applyAlignment="1">
      <alignment horizontal="center"/>
    </xf>
    <xf numFmtId="0" fontId="12" fillId="0" borderId="28" xfId="0" applyFont="1" applyFill="1" applyBorder="1"/>
    <xf numFmtId="0" fontId="20" fillId="5" borderId="11" xfId="0" applyFont="1" applyFill="1" applyBorder="1"/>
    <xf numFmtId="164" fontId="15" fillId="0" borderId="27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9" xfId="0" applyFont="1" applyFill="1" applyBorder="1"/>
    <xf numFmtId="0" fontId="15" fillId="0" borderId="30" xfId="0" applyFont="1" applyFill="1" applyBorder="1"/>
    <xf numFmtId="0" fontId="15" fillId="0" borderId="29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1" xfId="1" applyNumberFormat="1" applyFont="1" applyFill="1" applyBorder="1"/>
    <xf numFmtId="175" fontId="15" fillId="0" borderId="32" xfId="1" applyNumberFormat="1" applyFont="1" applyFill="1" applyBorder="1"/>
    <xf numFmtId="0" fontId="15" fillId="0" borderId="33" xfId="0" applyFont="1" applyFill="1" applyBorder="1"/>
    <xf numFmtId="0" fontId="15" fillId="0" borderId="9" xfId="0" applyFont="1" applyFill="1" applyBorder="1"/>
    <xf numFmtId="0" fontId="8" fillId="0" borderId="29" xfId="0" applyFont="1" applyFill="1" applyBorder="1" applyAlignment="1">
      <alignment horizontal="left"/>
    </xf>
    <xf numFmtId="177" fontId="8" fillId="0" borderId="34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38" fontId="8" fillId="0" borderId="5" xfId="0" applyNumberFormat="1" applyFont="1" applyFill="1" applyBorder="1" applyAlignment="1">
      <alignment horizontal="right"/>
    </xf>
    <xf numFmtId="38" fontId="8" fillId="0" borderId="1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7" fillId="12" borderId="3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187" fontId="8" fillId="0" borderId="35" xfId="2" applyNumberFormat="1" applyFont="1" applyFill="1" applyBorder="1" applyAlignment="1">
      <alignment horizontal="center"/>
    </xf>
    <xf numFmtId="187" fontId="21" fillId="0" borderId="36" xfId="2" applyNumberFormat="1" applyFont="1" applyFill="1" applyBorder="1" applyAlignment="1">
      <alignment horizontal="center"/>
    </xf>
    <xf numFmtId="15" fontId="24" fillId="0" borderId="37" xfId="2" applyNumberFormat="1" applyFont="1" applyFill="1" applyBorder="1" applyAlignment="1">
      <alignment horizontal="center"/>
    </xf>
    <xf numFmtId="170" fontId="6" fillId="10" borderId="0" xfId="0" applyNumberFormat="1" applyFont="1" applyFill="1" applyAlignment="1">
      <alignment horizontal="center"/>
    </xf>
    <xf numFmtId="1" fontId="6" fillId="10" borderId="0" xfId="0" applyNumberFormat="1" applyFont="1" applyFill="1" applyAlignment="1">
      <alignment horizontal="center"/>
    </xf>
    <xf numFmtId="0" fontId="6" fillId="10" borderId="0" xfId="0" applyNumberFormat="1" applyFont="1" applyFill="1" applyAlignment="1">
      <alignment horizontal="right"/>
    </xf>
    <xf numFmtId="0" fontId="15" fillId="1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ColWidth="9.109375" defaultRowHeight="13.2" x14ac:dyDescent="0.25"/>
  <cols>
    <col min="1" max="1" width="11.33203125" style="80" customWidth="1"/>
    <col min="2" max="2" width="12" style="84" customWidth="1"/>
    <col min="3" max="3" width="11.33203125" style="84" customWidth="1"/>
    <col min="4" max="4" width="14.44140625" style="81" customWidth="1"/>
    <col min="5" max="5" width="3.6640625" style="81" customWidth="1"/>
    <col min="6" max="6" width="11.33203125" style="80" customWidth="1"/>
    <col min="7" max="7" width="15.5546875" style="82" customWidth="1"/>
    <col min="8" max="8" width="14" style="82" customWidth="1"/>
    <col min="9" max="9" width="9.109375" style="80"/>
    <col min="10" max="10" width="13.6640625" style="80" customWidth="1"/>
    <col min="11" max="11" width="9.109375" style="80"/>
    <col min="12" max="12" width="12.44140625" style="80" customWidth="1"/>
    <col min="13" max="16384" width="9.109375" style="80"/>
  </cols>
  <sheetData>
    <row r="1" spans="1:10" x14ac:dyDescent="0.25">
      <c r="A1" s="83" t="s">
        <v>444</v>
      </c>
      <c r="D1" s="84"/>
      <c r="E1" s="84"/>
      <c r="F1" s="85"/>
      <c r="G1" s="83"/>
      <c r="H1" s="83"/>
      <c r="I1" s="86"/>
      <c r="J1" s="87"/>
    </row>
    <row r="2" spans="1:10" x14ac:dyDescent="0.25">
      <c r="A2" s="83"/>
      <c r="D2" s="161"/>
      <c r="E2" s="161"/>
      <c r="F2" s="85"/>
      <c r="G2" s="83"/>
      <c r="H2" s="83"/>
      <c r="I2" s="86"/>
      <c r="J2" s="87"/>
    </row>
    <row r="3" spans="1:10" x14ac:dyDescent="0.25">
      <c r="A3" s="83"/>
      <c r="D3" s="161"/>
      <c r="E3" s="161"/>
      <c r="F3" s="85"/>
      <c r="G3" s="83" t="s">
        <v>47</v>
      </c>
      <c r="H3" s="83" t="s">
        <v>47</v>
      </c>
      <c r="I3" s="86"/>
      <c r="J3" s="87"/>
    </row>
    <row r="4" spans="1:10" x14ac:dyDescent="0.25">
      <c r="A4" s="86"/>
      <c r="D4" s="84"/>
      <c r="E4" s="84"/>
      <c r="F4" s="85"/>
      <c r="G4" s="88"/>
      <c r="H4" s="83"/>
      <c r="I4" s="86"/>
      <c r="J4" s="87"/>
    </row>
    <row r="5" spans="1:10" x14ac:dyDescent="0.25">
      <c r="A5" s="89" t="s">
        <v>445</v>
      </c>
      <c r="B5" s="90" t="s">
        <v>447</v>
      </c>
      <c r="C5" s="90" t="s">
        <v>578</v>
      </c>
      <c r="D5" s="90" t="s">
        <v>455</v>
      </c>
      <c r="E5" s="90"/>
      <c r="F5" s="91" t="s">
        <v>334</v>
      </c>
      <c r="G5" s="92" t="s">
        <v>448</v>
      </c>
      <c r="H5" s="92" t="s">
        <v>449</v>
      </c>
      <c r="I5" s="89" t="s">
        <v>334</v>
      </c>
      <c r="J5" s="92" t="s">
        <v>452</v>
      </c>
    </row>
    <row r="6" spans="1:10" x14ac:dyDescent="0.25">
      <c r="A6" s="86" t="s">
        <v>446</v>
      </c>
      <c r="B6" s="84">
        <v>0.30509999999999998</v>
      </c>
      <c r="C6" s="84">
        <v>77177</v>
      </c>
      <c r="D6" s="84" t="s">
        <v>456</v>
      </c>
      <c r="E6" s="84"/>
      <c r="F6" s="85"/>
      <c r="G6" s="83" t="s">
        <v>450</v>
      </c>
      <c r="H6" s="83" t="s">
        <v>450</v>
      </c>
      <c r="I6" s="86" t="s">
        <v>451</v>
      </c>
      <c r="J6" s="83" t="s">
        <v>454</v>
      </c>
    </row>
    <row r="7" spans="1:10" x14ac:dyDescent="0.25">
      <c r="A7" s="86" t="s">
        <v>446</v>
      </c>
      <c r="B7" s="84">
        <v>0.49830000000000002</v>
      </c>
      <c r="C7" s="84">
        <v>77169</v>
      </c>
      <c r="D7" s="84" t="s">
        <v>456</v>
      </c>
      <c r="E7" s="84"/>
      <c r="F7" s="85"/>
      <c r="G7" s="83" t="s">
        <v>450</v>
      </c>
      <c r="H7" s="83" t="s">
        <v>450</v>
      </c>
      <c r="I7" s="86" t="s">
        <v>451</v>
      </c>
      <c r="J7" s="83" t="s">
        <v>453</v>
      </c>
    </row>
    <row r="8" spans="1:10" x14ac:dyDescent="0.25">
      <c r="A8" s="86" t="s">
        <v>446</v>
      </c>
      <c r="B8" s="84">
        <v>0.2999</v>
      </c>
      <c r="D8" s="84" t="s">
        <v>456</v>
      </c>
      <c r="E8" s="84"/>
      <c r="F8" s="85"/>
      <c r="G8" s="83" t="s">
        <v>450</v>
      </c>
      <c r="H8" s="83" t="s">
        <v>450</v>
      </c>
      <c r="I8" s="86" t="s">
        <v>451</v>
      </c>
      <c r="J8" s="83" t="s">
        <v>453</v>
      </c>
    </row>
    <row r="9" spans="1:10" x14ac:dyDescent="0.25">
      <c r="A9" s="86" t="s">
        <v>446</v>
      </c>
      <c r="B9" s="84">
        <v>0.27739999999999998</v>
      </c>
      <c r="C9" s="84">
        <v>77175</v>
      </c>
      <c r="D9" s="84" t="s">
        <v>456</v>
      </c>
      <c r="E9" s="84"/>
      <c r="F9" s="85"/>
      <c r="G9" s="83" t="s">
        <v>450</v>
      </c>
      <c r="H9" s="83" t="s">
        <v>450</v>
      </c>
      <c r="I9" s="86" t="s">
        <v>451</v>
      </c>
      <c r="J9" s="83" t="s">
        <v>453</v>
      </c>
    </row>
    <row r="10" spans="1:10" x14ac:dyDescent="0.25">
      <c r="A10" s="86" t="s">
        <v>446</v>
      </c>
      <c r="B10" s="84">
        <v>0.75370000000000004</v>
      </c>
      <c r="C10" s="84">
        <v>82420</v>
      </c>
      <c r="D10" s="84" t="s">
        <v>576</v>
      </c>
      <c r="E10" s="84"/>
      <c r="F10" s="85"/>
      <c r="G10" s="83" t="s">
        <v>450</v>
      </c>
      <c r="H10" s="83" t="s">
        <v>450</v>
      </c>
      <c r="I10" s="86" t="s">
        <v>451</v>
      </c>
      <c r="J10" s="83" t="s">
        <v>577</v>
      </c>
    </row>
    <row r="11" spans="1:10" x14ac:dyDescent="0.25">
      <c r="A11" s="86" t="s">
        <v>446</v>
      </c>
      <c r="B11" s="84">
        <v>3.073</v>
      </c>
      <c r="C11" s="84">
        <v>96503</v>
      </c>
      <c r="D11" s="84" t="s">
        <v>590</v>
      </c>
      <c r="E11" s="84"/>
      <c r="F11" s="85"/>
      <c r="G11" s="83" t="s">
        <v>450</v>
      </c>
      <c r="H11" s="83" t="s">
        <v>450</v>
      </c>
      <c r="I11" s="86" t="s">
        <v>451</v>
      </c>
      <c r="J11" s="83" t="s">
        <v>591</v>
      </c>
    </row>
    <row r="12" spans="1:10" x14ac:dyDescent="0.25">
      <c r="A12" s="86" t="s">
        <v>446</v>
      </c>
      <c r="B12" s="84">
        <v>1.8793</v>
      </c>
      <c r="C12" s="84">
        <v>104783</v>
      </c>
      <c r="D12" s="84" t="s">
        <v>606</v>
      </c>
      <c r="E12" s="84"/>
      <c r="F12" s="85"/>
      <c r="G12" s="83" t="s">
        <v>450</v>
      </c>
      <c r="H12" s="83" t="s">
        <v>450</v>
      </c>
      <c r="I12" s="86" t="s">
        <v>451</v>
      </c>
      <c r="J12" s="83" t="s">
        <v>607</v>
      </c>
    </row>
    <row r="13" spans="1:10" x14ac:dyDescent="0.25">
      <c r="A13" s="86" t="s">
        <v>446</v>
      </c>
      <c r="B13" s="84">
        <v>0.90469999999999995</v>
      </c>
      <c r="C13" s="84">
        <v>168466</v>
      </c>
      <c r="D13" s="84" t="s">
        <v>803</v>
      </c>
      <c r="E13" s="84"/>
      <c r="F13" s="85"/>
      <c r="G13" s="83" t="s">
        <v>450</v>
      </c>
      <c r="H13" s="83" t="s">
        <v>450</v>
      </c>
      <c r="I13" s="86" t="s">
        <v>451</v>
      </c>
      <c r="J13" s="83" t="s">
        <v>804</v>
      </c>
    </row>
    <row r="15" spans="1:10" x14ac:dyDescent="0.25">
      <c r="A15" s="80" t="s">
        <v>289</v>
      </c>
      <c r="B15" s="84">
        <v>2891</v>
      </c>
      <c r="D15" s="81" t="s">
        <v>456</v>
      </c>
      <c r="G15" s="82" t="s">
        <v>450</v>
      </c>
      <c r="H15" s="82" t="s">
        <v>450</v>
      </c>
    </row>
    <row r="16" spans="1:10" x14ac:dyDescent="0.25">
      <c r="A16" s="80" t="s">
        <v>289</v>
      </c>
      <c r="B16" s="84">
        <v>80045</v>
      </c>
      <c r="D16" s="81" t="s">
        <v>451</v>
      </c>
    </row>
    <row r="18" spans="1:10" x14ac:dyDescent="0.25">
      <c r="A18" s="80" t="s">
        <v>0</v>
      </c>
      <c r="B18" s="84" t="s">
        <v>473</v>
      </c>
      <c r="C18" s="84">
        <v>98243</v>
      </c>
      <c r="D18" s="81" t="s">
        <v>520</v>
      </c>
      <c r="G18" s="82" t="s">
        <v>450</v>
      </c>
      <c r="H18" s="82" t="s">
        <v>450</v>
      </c>
      <c r="J18" s="80" t="s">
        <v>521</v>
      </c>
    </row>
    <row r="19" spans="1:10" x14ac:dyDescent="0.25">
      <c r="A19" s="80" t="s">
        <v>0</v>
      </c>
      <c r="B19" s="84" t="s">
        <v>473</v>
      </c>
      <c r="C19" s="84">
        <v>98567</v>
      </c>
      <c r="D19" s="81" t="s">
        <v>586</v>
      </c>
      <c r="G19" s="82" t="s">
        <v>450</v>
      </c>
      <c r="H19" s="82" t="s">
        <v>450</v>
      </c>
      <c r="J19" s="80" t="s">
        <v>587</v>
      </c>
    </row>
    <row r="20" spans="1:10" x14ac:dyDescent="0.25">
      <c r="A20" s="80" t="s">
        <v>0</v>
      </c>
      <c r="B20" s="84">
        <v>600228</v>
      </c>
      <c r="C20" s="84">
        <v>77009</v>
      </c>
      <c r="D20" s="81" t="s">
        <v>588</v>
      </c>
      <c r="G20" s="82" t="s">
        <v>450</v>
      </c>
      <c r="H20" s="82" t="s">
        <v>450</v>
      </c>
      <c r="J20" s="80" t="s">
        <v>589</v>
      </c>
    </row>
    <row r="22" spans="1:10" x14ac:dyDescent="0.25">
      <c r="A22" s="80" t="s">
        <v>807</v>
      </c>
      <c r="B22" s="84" t="s">
        <v>808</v>
      </c>
      <c r="C22" s="84">
        <v>168569</v>
      </c>
      <c r="D22" s="81" t="s">
        <v>809</v>
      </c>
      <c r="G22" s="82" t="s">
        <v>450</v>
      </c>
      <c r="H22" s="82" t="s">
        <v>450</v>
      </c>
      <c r="J22" s="80" t="s">
        <v>806</v>
      </c>
    </row>
    <row r="24" spans="1:10" x14ac:dyDescent="0.25">
      <c r="A24" s="80" t="s">
        <v>457</v>
      </c>
      <c r="B24" s="84">
        <v>9310010</v>
      </c>
      <c r="D24" s="81" t="s">
        <v>458</v>
      </c>
    </row>
    <row r="26" spans="1:10" x14ac:dyDescent="0.25">
      <c r="A26" s="80" t="s">
        <v>27</v>
      </c>
      <c r="B26" s="84">
        <v>38641</v>
      </c>
      <c r="C26" s="84">
        <v>93039</v>
      </c>
      <c r="D26" s="81" t="s">
        <v>602</v>
      </c>
      <c r="J26" s="80" t="s">
        <v>603</v>
      </c>
    </row>
    <row r="27" spans="1:10" x14ac:dyDescent="0.25">
      <c r="A27" s="80" t="s">
        <v>27</v>
      </c>
      <c r="B27" s="84">
        <v>37556</v>
      </c>
      <c r="C27" s="84">
        <v>93037</v>
      </c>
      <c r="D27" s="81" t="s">
        <v>459</v>
      </c>
      <c r="J27" s="80" t="s">
        <v>460</v>
      </c>
    </row>
    <row r="28" spans="1:10" x14ac:dyDescent="0.25">
      <c r="A28" s="80" t="s">
        <v>27</v>
      </c>
      <c r="B28" s="84">
        <v>39229</v>
      </c>
      <c r="C28" s="84">
        <v>93030</v>
      </c>
      <c r="D28" s="81" t="s">
        <v>604</v>
      </c>
      <c r="J28" s="80" t="s">
        <v>605</v>
      </c>
    </row>
    <row r="31" spans="1:10" x14ac:dyDescent="0.25">
      <c r="A31" s="80" t="s">
        <v>461</v>
      </c>
      <c r="B31" s="84">
        <v>40998</v>
      </c>
      <c r="D31" s="81" t="s">
        <v>456</v>
      </c>
    </row>
    <row r="32" spans="1:10" x14ac:dyDescent="0.25">
      <c r="A32" s="80" t="s">
        <v>461</v>
      </c>
      <c r="B32" s="84">
        <v>38021</v>
      </c>
      <c r="C32" s="84">
        <v>166118</v>
      </c>
      <c r="D32" s="81" t="s">
        <v>805</v>
      </c>
      <c r="G32" s="82" t="s">
        <v>450</v>
      </c>
      <c r="H32" s="82" t="s">
        <v>450</v>
      </c>
      <c r="J32" s="80" t="s">
        <v>806</v>
      </c>
    </row>
    <row r="34" spans="1:24" x14ac:dyDescent="0.25">
      <c r="A34" s="80" t="s">
        <v>147</v>
      </c>
      <c r="B34" s="84" t="s">
        <v>593</v>
      </c>
      <c r="C34" s="84">
        <v>102637</v>
      </c>
      <c r="D34" s="81" t="s">
        <v>594</v>
      </c>
      <c r="F34" s="80">
        <v>60000</v>
      </c>
      <c r="J34" s="80" t="s">
        <v>595</v>
      </c>
    </row>
    <row r="35" spans="1:24" ht="13.5" customHeight="1" x14ac:dyDescent="0.25">
      <c r="A35" s="16" t="s">
        <v>67</v>
      </c>
      <c r="B35" s="18" t="s">
        <v>147</v>
      </c>
      <c r="C35" s="18" t="s">
        <v>147</v>
      </c>
      <c r="D35" s="19">
        <v>35065</v>
      </c>
      <c r="E35" s="19"/>
      <c r="F35" s="19" t="s">
        <v>552</v>
      </c>
      <c r="G35" s="16" t="s">
        <v>554</v>
      </c>
      <c r="H35" s="146">
        <v>50000</v>
      </c>
      <c r="I35" s="18"/>
      <c r="J35" s="24">
        <f>0/'ECT Trans'!I$1</f>
        <v>0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>
        <f t="shared" ref="Q35:Q44" si="1">SUM(J35:O35)</f>
        <v>0.26816000000000001</v>
      </c>
      <c r="R35" s="35" t="s">
        <v>553</v>
      </c>
      <c r="S35" s="18">
        <v>85315</v>
      </c>
      <c r="T35" s="16"/>
      <c r="U35" s="25">
        <v>0</v>
      </c>
      <c r="V35" s="25">
        <v>0</v>
      </c>
      <c r="W35" s="148">
        <v>77853</v>
      </c>
      <c r="X35" s="148"/>
    </row>
    <row r="36" spans="1:24" ht="13.5" customHeight="1" x14ac:dyDescent="0.25">
      <c r="A36" s="16" t="s">
        <v>67</v>
      </c>
      <c r="B36" s="18" t="s">
        <v>147</v>
      </c>
      <c r="C36" s="18" t="s">
        <v>147</v>
      </c>
      <c r="D36" s="19">
        <v>35065</v>
      </c>
      <c r="E36" s="19"/>
      <c r="F36" s="19" t="s">
        <v>552</v>
      </c>
      <c r="G36" s="16" t="s">
        <v>555</v>
      </c>
      <c r="H36" s="146">
        <v>50001</v>
      </c>
      <c r="I36" s="18"/>
      <c r="J36" s="24">
        <f>0/'ECT Trans'!I$1</f>
        <v>0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>
        <f t="shared" si="1"/>
        <v>0.26816000000000001</v>
      </c>
      <c r="R36" s="35" t="s">
        <v>559</v>
      </c>
      <c r="S36" s="18">
        <v>78123</v>
      </c>
      <c r="T36" s="16"/>
      <c r="U36" s="25">
        <v>0</v>
      </c>
      <c r="V36" s="25">
        <v>0</v>
      </c>
      <c r="W36" s="148">
        <v>77860</v>
      </c>
      <c r="X36" s="148"/>
    </row>
    <row r="37" spans="1:24" ht="13.5" customHeight="1" x14ac:dyDescent="0.25">
      <c r="A37" s="16" t="s">
        <v>67</v>
      </c>
      <c r="B37" s="18" t="s">
        <v>147</v>
      </c>
      <c r="C37" s="18" t="s">
        <v>147</v>
      </c>
      <c r="D37" s="19">
        <v>35065</v>
      </c>
      <c r="E37" s="19"/>
      <c r="F37" s="19" t="s">
        <v>552</v>
      </c>
      <c r="G37" s="16" t="s">
        <v>556</v>
      </c>
      <c r="H37" s="146">
        <v>50002</v>
      </c>
      <c r="I37" s="18"/>
      <c r="J37" s="24">
        <f>0/'ECT Trans'!I$1</f>
        <v>0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>
        <f t="shared" si="1"/>
        <v>0.26816000000000001</v>
      </c>
      <c r="R37" s="35" t="s">
        <v>560</v>
      </c>
      <c r="S37" s="18">
        <v>77922</v>
      </c>
      <c r="T37" s="16"/>
      <c r="U37" s="25">
        <v>0</v>
      </c>
      <c r="V37" s="25">
        <v>0</v>
      </c>
      <c r="W37" s="148">
        <v>80517</v>
      </c>
      <c r="X37" s="148"/>
    </row>
    <row r="38" spans="1:24" ht="13.5" customHeight="1" x14ac:dyDescent="0.25">
      <c r="A38" s="16" t="s">
        <v>67</v>
      </c>
      <c r="B38" s="18" t="s">
        <v>147</v>
      </c>
      <c r="C38" s="18" t="s">
        <v>147</v>
      </c>
      <c r="D38" s="19">
        <v>35065</v>
      </c>
      <c r="E38" s="19"/>
      <c r="F38" s="19" t="s">
        <v>552</v>
      </c>
      <c r="G38" s="16" t="s">
        <v>557</v>
      </c>
      <c r="H38" s="146">
        <v>50003</v>
      </c>
      <c r="I38" s="18"/>
      <c r="J38" s="24">
        <f>0/'ECT Trans'!I$1</f>
        <v>0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>
        <f t="shared" si="1"/>
        <v>0.26816000000000001</v>
      </c>
      <c r="R38" s="35" t="s">
        <v>561</v>
      </c>
      <c r="S38" s="18">
        <v>35087</v>
      </c>
      <c r="T38" s="16"/>
      <c r="U38" s="25">
        <v>0</v>
      </c>
      <c r="V38" s="25">
        <v>0</v>
      </c>
      <c r="W38" s="148">
        <v>80537</v>
      </c>
      <c r="X38" s="148"/>
    </row>
    <row r="39" spans="1:24" ht="13.5" customHeight="1" x14ac:dyDescent="0.25">
      <c r="A39" s="16" t="s">
        <v>67</v>
      </c>
      <c r="B39" s="18" t="s">
        <v>147</v>
      </c>
      <c r="C39" s="18" t="s">
        <v>147</v>
      </c>
      <c r="D39" s="19">
        <v>35065</v>
      </c>
      <c r="E39" s="19"/>
      <c r="F39" s="19" t="s">
        <v>552</v>
      </c>
      <c r="G39" s="16" t="s">
        <v>558</v>
      </c>
      <c r="H39" s="146">
        <v>50004</v>
      </c>
      <c r="I39" s="18"/>
      <c r="J39" s="24">
        <f>0/'ECT Trans'!I$1</f>
        <v>0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>
        <f t="shared" si="1"/>
        <v>0.26816000000000001</v>
      </c>
      <c r="R39" s="35" t="s">
        <v>562</v>
      </c>
      <c r="S39" s="18">
        <v>39194</v>
      </c>
      <c r="T39" s="16"/>
      <c r="U39" s="25">
        <v>0</v>
      </c>
      <c r="V39" s="25">
        <v>0</v>
      </c>
      <c r="W39" s="148">
        <v>80538</v>
      </c>
      <c r="X39" s="148"/>
    </row>
    <row r="40" spans="1:24" ht="13.5" customHeight="1" x14ac:dyDescent="0.25">
      <c r="A40" s="16" t="s">
        <v>67</v>
      </c>
      <c r="B40" s="18" t="s">
        <v>147</v>
      </c>
      <c r="C40" s="18" t="s">
        <v>147</v>
      </c>
      <c r="D40" s="19">
        <v>35065</v>
      </c>
      <c r="E40" s="19"/>
      <c r="F40" s="19" t="s">
        <v>552</v>
      </c>
      <c r="G40" s="16" t="s">
        <v>563</v>
      </c>
      <c r="H40" s="146">
        <v>50000</v>
      </c>
      <c r="I40" s="18"/>
      <c r="J40" s="24">
        <f>0/'ECT Trans'!I$1</f>
        <v>0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>
        <f t="shared" si="1"/>
        <v>0.02</v>
      </c>
      <c r="R40" s="35" t="s">
        <v>568</v>
      </c>
      <c r="S40" s="18">
        <v>9185</v>
      </c>
      <c r="T40" s="16"/>
      <c r="U40" s="25">
        <v>0</v>
      </c>
      <c r="V40" s="25">
        <v>0</v>
      </c>
      <c r="W40" s="148">
        <v>77852</v>
      </c>
      <c r="X40" s="148"/>
    </row>
    <row r="41" spans="1:24" ht="13.5" customHeight="1" x14ac:dyDescent="0.25">
      <c r="A41" s="16" t="s">
        <v>67</v>
      </c>
      <c r="B41" s="18" t="s">
        <v>147</v>
      </c>
      <c r="C41" s="18" t="s">
        <v>147</v>
      </c>
      <c r="D41" s="19">
        <v>35065</v>
      </c>
      <c r="E41" s="19"/>
      <c r="F41" s="19" t="s">
        <v>552</v>
      </c>
      <c r="G41" s="16" t="s">
        <v>564</v>
      </c>
      <c r="H41" s="146">
        <v>50001</v>
      </c>
      <c r="I41" s="18"/>
      <c r="J41" s="24">
        <f>0/'ECT Trans'!I$1</f>
        <v>0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>
        <f t="shared" si="1"/>
        <v>0.02</v>
      </c>
      <c r="R41" s="35" t="s">
        <v>569</v>
      </c>
      <c r="S41" s="18">
        <v>16377</v>
      </c>
      <c r="T41" s="16"/>
      <c r="U41" s="25">
        <v>0</v>
      </c>
      <c r="V41" s="25">
        <v>0</v>
      </c>
      <c r="W41" s="148">
        <v>77858</v>
      </c>
      <c r="X41" s="148"/>
    </row>
    <row r="42" spans="1:24" ht="13.5" customHeight="1" x14ac:dyDescent="0.25">
      <c r="A42" s="16" t="s">
        <v>67</v>
      </c>
      <c r="B42" s="18" t="s">
        <v>147</v>
      </c>
      <c r="C42" s="18" t="s">
        <v>147</v>
      </c>
      <c r="D42" s="19">
        <v>35065</v>
      </c>
      <c r="E42" s="19"/>
      <c r="F42" s="19" t="s">
        <v>552</v>
      </c>
      <c r="G42" s="16" t="s">
        <v>565</v>
      </c>
      <c r="H42" s="146">
        <v>50002</v>
      </c>
      <c r="I42" s="18"/>
      <c r="J42" s="24">
        <f>0/'ECT Trans'!I$1</f>
        <v>0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>
        <f t="shared" si="1"/>
        <v>0.02</v>
      </c>
      <c r="R42" s="35" t="s">
        <v>570</v>
      </c>
      <c r="S42" s="18">
        <v>3578</v>
      </c>
      <c r="T42" s="16"/>
      <c r="U42" s="25">
        <v>0</v>
      </c>
      <c r="V42" s="25">
        <v>0</v>
      </c>
      <c r="W42" s="148">
        <v>77845</v>
      </c>
      <c r="X42" s="148"/>
    </row>
    <row r="43" spans="1:24" ht="13.5" customHeight="1" x14ac:dyDescent="0.25">
      <c r="A43" s="16" t="s">
        <v>67</v>
      </c>
      <c r="B43" s="18" t="s">
        <v>147</v>
      </c>
      <c r="C43" s="18" t="s">
        <v>147</v>
      </c>
      <c r="D43" s="19">
        <v>35065</v>
      </c>
      <c r="E43" s="19"/>
      <c r="F43" s="19" t="s">
        <v>552</v>
      </c>
      <c r="G43" s="16" t="s">
        <v>566</v>
      </c>
      <c r="H43" s="146">
        <v>50003</v>
      </c>
      <c r="I43" s="18"/>
      <c r="J43" s="24">
        <f>0/'ECT Trans'!I$1</f>
        <v>0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>
        <f t="shared" si="1"/>
        <v>0.02</v>
      </c>
      <c r="R43" s="35" t="s">
        <v>571</v>
      </c>
      <c r="S43" s="18">
        <v>6913</v>
      </c>
      <c r="T43" s="16"/>
      <c r="U43" s="25">
        <v>0</v>
      </c>
      <c r="V43" s="25">
        <v>0</v>
      </c>
      <c r="W43" s="148">
        <v>77848</v>
      </c>
      <c r="X43" s="148"/>
    </row>
    <row r="44" spans="1:24" ht="13.5" customHeight="1" x14ac:dyDescent="0.25">
      <c r="A44" s="16" t="s">
        <v>67</v>
      </c>
      <c r="B44" s="18" t="s">
        <v>147</v>
      </c>
      <c r="C44" s="18" t="s">
        <v>147</v>
      </c>
      <c r="D44" s="19">
        <v>35065</v>
      </c>
      <c r="E44" s="19"/>
      <c r="F44" s="19" t="s">
        <v>552</v>
      </c>
      <c r="G44" s="16" t="s">
        <v>567</v>
      </c>
      <c r="H44" s="146">
        <v>50004</v>
      </c>
      <c r="I44" s="18"/>
      <c r="J44" s="24">
        <f>0/'ECT Trans'!I$1</f>
        <v>0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>
        <f t="shared" si="1"/>
        <v>0.02</v>
      </c>
      <c r="R44" s="35" t="s">
        <v>572</v>
      </c>
      <c r="S44" s="18">
        <v>18556</v>
      </c>
      <c r="T44" s="16"/>
      <c r="U44" s="25">
        <v>0</v>
      </c>
      <c r="V44" s="25">
        <v>0</v>
      </c>
      <c r="W44" s="148">
        <v>77850</v>
      </c>
      <c r="X44" s="148"/>
    </row>
    <row r="46" spans="1:24" x14ac:dyDescent="0.25">
      <c r="A46" s="80" t="s">
        <v>597</v>
      </c>
      <c r="B46" s="84" t="s">
        <v>598</v>
      </c>
      <c r="C46" s="84">
        <v>104749</v>
      </c>
      <c r="D46" s="81" t="s">
        <v>599</v>
      </c>
      <c r="G46" s="82" t="s">
        <v>600</v>
      </c>
      <c r="J46" s="80" t="s">
        <v>601</v>
      </c>
    </row>
    <row r="47" spans="1:24" x14ac:dyDescent="0.25">
      <c r="A47" s="80" t="s">
        <v>597</v>
      </c>
      <c r="B47" s="84" t="s">
        <v>645</v>
      </c>
      <c r="C47" s="84">
        <v>82026</v>
      </c>
      <c r="D47" s="81" t="s">
        <v>456</v>
      </c>
      <c r="G47" s="82" t="s">
        <v>450</v>
      </c>
      <c r="H47" s="82" t="s">
        <v>450</v>
      </c>
    </row>
    <row r="49" spans="1:25" x14ac:dyDescent="0.25">
      <c r="A49" s="80" t="s">
        <v>628</v>
      </c>
      <c r="B49" s="84" t="s">
        <v>629</v>
      </c>
      <c r="C49" s="84">
        <v>117510</v>
      </c>
      <c r="D49" s="81" t="s">
        <v>456</v>
      </c>
      <c r="J49" s="80" t="s">
        <v>630</v>
      </c>
    </row>
    <row r="51" spans="1:25" x14ac:dyDescent="0.25">
      <c r="A51" s="80" t="s">
        <v>655</v>
      </c>
      <c r="B51" s="84">
        <v>15</v>
      </c>
      <c r="C51" s="84">
        <v>125711</v>
      </c>
      <c r="D51" s="81" t="s">
        <v>456</v>
      </c>
    </row>
    <row r="53" spans="1:25" x14ac:dyDescent="0.25">
      <c r="A53" s="80" t="s">
        <v>664</v>
      </c>
      <c r="B53" s="84" t="s">
        <v>665</v>
      </c>
      <c r="C53" s="84">
        <v>124109</v>
      </c>
      <c r="D53" s="81" t="s">
        <v>666</v>
      </c>
    </row>
    <row r="54" spans="1:25" x14ac:dyDescent="0.25">
      <c r="A54" s="80" t="s">
        <v>664</v>
      </c>
      <c r="B54" s="84" t="s">
        <v>667</v>
      </c>
      <c r="C54" s="84">
        <v>77753</v>
      </c>
      <c r="D54" s="81" t="s">
        <v>456</v>
      </c>
    </row>
    <row r="56" spans="1:25" x14ac:dyDescent="0.25">
      <c r="A56" s="80" t="s">
        <v>849</v>
      </c>
      <c r="B56" s="390" t="s">
        <v>850</v>
      </c>
      <c r="C56" s="84">
        <v>220796</v>
      </c>
      <c r="D56" s="81" t="s">
        <v>456</v>
      </c>
      <c r="F56" s="80" t="s">
        <v>784</v>
      </c>
      <c r="J56" s="80" t="s">
        <v>851</v>
      </c>
    </row>
    <row r="59" spans="1:25" x14ac:dyDescent="0.25">
      <c r="A59" s="16" t="s">
        <v>766</v>
      </c>
      <c r="B59" s="18" t="s">
        <v>22</v>
      </c>
      <c r="C59" s="18" t="s">
        <v>22</v>
      </c>
      <c r="D59" s="19" t="s">
        <v>784</v>
      </c>
      <c r="E59" s="19" t="s">
        <v>784</v>
      </c>
      <c r="F59" s="16" t="s">
        <v>785</v>
      </c>
      <c r="G59" s="16" t="s">
        <v>785</v>
      </c>
      <c r="H59" s="18" t="s">
        <v>456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41">
        <v>0</v>
      </c>
      <c r="O59" s="20">
        <f>SUM(I59:M59)</f>
        <v>2.2499999999999999E-2</v>
      </c>
      <c r="P59" s="305" t="s">
        <v>786</v>
      </c>
      <c r="Q59" s="305" t="s">
        <v>786</v>
      </c>
      <c r="R59" s="18">
        <v>0</v>
      </c>
      <c r="S59" s="16" t="s">
        <v>787</v>
      </c>
      <c r="T59" s="25">
        <f>I59*I$1*R59</f>
        <v>0</v>
      </c>
      <c r="U59" s="25"/>
      <c r="V59" s="360"/>
      <c r="W59" s="360">
        <v>145336</v>
      </c>
      <c r="X59" s="148"/>
      <c r="Y59" s="148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I41" sqref="I41"/>
    </sheetView>
  </sheetViews>
  <sheetFormatPr defaultRowHeight="13.2" x14ac:dyDescent="0.25"/>
  <cols>
    <col min="3" max="3" width="11.44140625" bestFit="1" customWidth="1"/>
    <col min="12" max="14" width="9.109375" style="138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400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0.25996522705620828</v>
      </c>
      <c r="F36" s="5">
        <f>+D36*E36</f>
        <v>4.4194088599555412E-2</v>
      </c>
      <c r="G36" s="5">
        <v>-5.5E-2</v>
      </c>
      <c r="H36" s="5">
        <f>+G36*D36</f>
        <v>-9.3500000000000007E-3</v>
      </c>
      <c r="I36" s="5">
        <f>+F36+H36</f>
        <v>3.4844088599555414E-2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0.24643587850664406</v>
      </c>
      <c r="F37" s="5">
        <f>+D37*E37</f>
        <v>6.1608969626661014E-2</v>
      </c>
      <c r="G37" s="5">
        <v>-1.4999999999999999E-2</v>
      </c>
      <c r="H37" s="5">
        <f>+G37*D37</f>
        <v>-3.7499999999999999E-3</v>
      </c>
      <c r="I37" s="5">
        <f>+F37+H37</f>
        <v>5.7858969626661011E-2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0.22625600335852253</v>
      </c>
      <c r="F38" s="7">
        <f>+D38*E38</f>
        <v>0.13122848194794307</v>
      </c>
      <c r="G38" s="5">
        <v>1.2500000000000001E-2</v>
      </c>
      <c r="H38" s="5">
        <f>+G38*D38</f>
        <v>7.2499999999999995E-3</v>
      </c>
      <c r="I38" s="5">
        <f>+F38+H38</f>
        <v>0.13847848194794307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0.23703154017415951</v>
      </c>
      <c r="G39" s="1"/>
      <c r="H39" s="5">
        <f>SUM(H36:H38)</f>
        <v>-5.850000000000001E-3</v>
      </c>
      <c r="I39" s="8">
        <f>SUM(I36:I38)</f>
        <v>0.23118154017415948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0.35249999999999998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0.1213184598258405</v>
      </c>
      <c r="J41" s="1"/>
      <c r="K41" s="57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57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58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0.27275905644481868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1.7240943555181298E-2</v>
      </c>
      <c r="J62" s="1"/>
    </row>
    <row r="63" spans="1:10" x14ac:dyDescent="0.25">
      <c r="A63" s="1"/>
      <c r="B63" s="1" t="s">
        <v>41</v>
      </c>
      <c r="C63" s="9">
        <f>+Rates!H67</f>
        <v>0.2372914637968867</v>
      </c>
      <c r="D63" s="15">
        <v>-0.06</v>
      </c>
      <c r="E63" s="9">
        <v>0</v>
      </c>
      <c r="F63" s="9">
        <v>0.2175</v>
      </c>
      <c r="H63" s="1"/>
      <c r="I63" s="14">
        <f>+F63-D63-E63-C63</f>
        <v>4.0208536203113265E-2</v>
      </c>
      <c r="J63" s="1"/>
    </row>
    <row r="64" spans="1:10" x14ac:dyDescent="0.25">
      <c r="A64" s="1"/>
      <c r="B64" s="1" t="s">
        <v>42</v>
      </c>
      <c r="C64" s="9">
        <f>+Rates!H37</f>
        <v>0.32161401273885382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3.385987261146195E-3</v>
      </c>
      <c r="J64" s="1"/>
    </row>
    <row r="65" spans="1:10" x14ac:dyDescent="0.25">
      <c r="A65" s="1"/>
      <c r="B65" s="1" t="s">
        <v>43</v>
      </c>
      <c r="C65" s="9">
        <f>+Rates!H72</f>
        <v>0.2864130187486833</v>
      </c>
      <c r="D65" s="15">
        <v>-0.06</v>
      </c>
      <c r="E65" s="9">
        <v>0</v>
      </c>
      <c r="F65" s="9">
        <v>0.2525</v>
      </c>
      <c r="H65" s="1"/>
      <c r="I65" s="14">
        <f>+F65-D65-E65-C65</f>
        <v>2.6086981251316699E-2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38" t="s">
        <v>506</v>
      </c>
      <c r="N100" s="138" t="s">
        <v>508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501</v>
      </c>
      <c r="H101" s="1" t="s">
        <v>500</v>
      </c>
      <c r="I101" s="1" t="s">
        <v>39</v>
      </c>
      <c r="J101" s="1"/>
      <c r="K101" s="10" t="s">
        <v>15</v>
      </c>
      <c r="L101" s="138" t="s">
        <v>505</v>
      </c>
      <c r="M101" s="138" t="s">
        <v>507</v>
      </c>
      <c r="N101" s="138" t="s">
        <v>509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36" t="e">
        <f>+D102*E102</f>
        <v>#REF!</v>
      </c>
      <c r="H102" s="9">
        <f>+F102*D102</f>
        <v>-2.5983821263482278E-2</v>
      </c>
      <c r="I102" s="9">
        <v>0.2175</v>
      </c>
      <c r="J102" s="1"/>
      <c r="K102" s="137" t="e">
        <f>(+G102*H102)</f>
        <v>#REF!</v>
      </c>
      <c r="L102" s="138">
        <f>+I102-F102</f>
        <v>0.28999999999999998</v>
      </c>
      <c r="M102" s="138" t="e">
        <f>+L102-E102</f>
        <v>#REF!</v>
      </c>
      <c r="N102" s="138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36" t="e">
        <f>+D103*E103</f>
        <v>#REF!</v>
      </c>
      <c r="H103" s="9">
        <f>+F103*D103</f>
        <v>-3.8496147919876732E-2</v>
      </c>
      <c r="I103" s="9">
        <v>0.2175</v>
      </c>
      <c r="J103" s="1"/>
      <c r="K103" s="137" t="e">
        <f>(+G103*H103)</f>
        <v>#REF!</v>
      </c>
      <c r="L103" s="138">
        <f>+I103-F103</f>
        <v>0.27749999999999997</v>
      </c>
      <c r="M103" s="138" t="e">
        <f>+L103-E103</f>
        <v>#REF!</v>
      </c>
      <c r="N103" s="138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58">
        <f>+C102*F102</f>
        <v>-84.317499999999995</v>
      </c>
    </row>
    <row r="107" spans="1:15" x14ac:dyDescent="0.25">
      <c r="C107" s="58">
        <f>+C103*F103</f>
        <v>-124.92</v>
      </c>
    </row>
    <row r="108" spans="1:15" x14ac:dyDescent="0.25">
      <c r="C108" s="58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503</v>
      </c>
      <c r="F109" s="1" t="s">
        <v>504</v>
      </c>
      <c r="G109" t="s">
        <v>501</v>
      </c>
      <c r="H109" s="1" t="s">
        <v>500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0.27275905644481868</v>
      </c>
      <c r="F110" s="15">
        <v>-7.2499999999999995E-2</v>
      </c>
      <c r="G110" s="136">
        <f>+D110*E110</f>
        <v>9.7756173388389558E-2</v>
      </c>
      <c r="H110" s="9">
        <f>+F110*D110</f>
        <v>-2.5983821263482278E-2</v>
      </c>
      <c r="I110" s="9">
        <v>0.2175</v>
      </c>
      <c r="J110" s="1"/>
      <c r="K110" s="137">
        <f>(+G110*H110)</f>
        <v>-2.5400789367258972E-3</v>
      </c>
      <c r="L110" s="138">
        <f>+I110-F110</f>
        <v>0.28999999999999998</v>
      </c>
      <c r="M110" s="138">
        <f>+L110-E110</f>
        <v>1.7240943555181298E-2</v>
      </c>
      <c r="N110" s="138">
        <f>+M110*7</f>
        <v>0.12068660488626909</v>
      </c>
      <c r="O110">
        <f>+N110*D110</f>
        <v>4.3253781658776871E-2</v>
      </c>
    </row>
    <row r="111" spans="1:15" x14ac:dyDescent="0.25">
      <c r="A111" s="1"/>
      <c r="B111" s="1" t="s">
        <v>502</v>
      </c>
      <c r="C111" s="4">
        <v>2082</v>
      </c>
      <c r="D111" s="5">
        <f>+C111/C113</f>
        <v>0.64160246533127885</v>
      </c>
      <c r="E111" s="9">
        <f>+Rates!H67</f>
        <v>0.2372914637968867</v>
      </c>
      <c r="F111" s="9">
        <v>-0.06</v>
      </c>
      <c r="G111" s="136">
        <f>+D111*E111</f>
        <v>0.15224678817415041</v>
      </c>
      <c r="H111" s="9">
        <f>+F111*D111</f>
        <v>-3.8496147919876732E-2</v>
      </c>
      <c r="I111" s="9">
        <v>0.2175</v>
      </c>
      <c r="J111" s="1"/>
      <c r="K111" s="137">
        <f>(+G111*H111)</f>
        <v>-5.8609148778782337E-3</v>
      </c>
      <c r="L111" s="138">
        <f>+I111-F111</f>
        <v>0.27749999999999997</v>
      </c>
      <c r="M111" s="138">
        <f>+L111-E111</f>
        <v>4.0208536203113265E-2</v>
      </c>
      <c r="N111" s="138">
        <f>+M111*7</f>
        <v>0.28145975342179286</v>
      </c>
      <c r="O111">
        <f>+N111*D111</f>
        <v>0.18058527168695615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0.22383905334573301</v>
      </c>
    </row>
    <row r="113" spans="3:15" x14ac:dyDescent="0.25">
      <c r="C113" s="4">
        <f>SUM(C110:C112)</f>
        <v>3245</v>
      </c>
      <c r="D113" s="5">
        <f>SUM(D110:D112)</f>
        <v>1</v>
      </c>
      <c r="M113" s="138">
        <f>AVERAGE(M110:M111)</f>
        <v>2.8724739879147282E-2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38">
        <f>+M113+M105</f>
        <v>2.8724739879147282E-2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501</v>
      </c>
      <c r="H131" s="1" t="s">
        <v>500</v>
      </c>
      <c r="I131" s="1" t="s">
        <v>510</v>
      </c>
      <c r="J131" s="1"/>
      <c r="K131" s="10" t="s">
        <v>47</v>
      </c>
      <c r="L131" s="138" t="s">
        <v>505</v>
      </c>
      <c r="M131" s="138" t="s">
        <v>507</v>
      </c>
      <c r="N131" s="138" t="s">
        <v>509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36" t="e">
        <f>+D132*E132</f>
        <v>#REF!</v>
      </c>
      <c r="H132" s="9">
        <f>+F132*D132</f>
        <v>-2.5983821263482278E-2</v>
      </c>
      <c r="I132" s="9">
        <v>0.2525</v>
      </c>
      <c r="J132" s="1"/>
      <c r="K132" s="137" t="s">
        <v>47</v>
      </c>
      <c r="L132" s="138">
        <f>+I132-F132</f>
        <v>0.32500000000000001</v>
      </c>
      <c r="M132" s="138" t="e">
        <f>+L132-E132</f>
        <v>#REF!</v>
      </c>
      <c r="N132" s="138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36" t="e">
        <f>+D133*E133</f>
        <v>#REF!</v>
      </c>
      <c r="H133" s="9">
        <f>+F133*D133</f>
        <v>-3.8496147919876732E-2</v>
      </c>
      <c r="I133" s="9">
        <v>0.2525</v>
      </c>
      <c r="J133" s="1"/>
      <c r="K133" s="137" t="s">
        <v>47</v>
      </c>
      <c r="L133" s="138">
        <f>+I133-F133</f>
        <v>0.3125</v>
      </c>
      <c r="M133" s="138" t="e">
        <f>+L133-E133</f>
        <v>#REF!</v>
      </c>
      <c r="N133" s="138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58">
        <f>+C132*F132</f>
        <v>-84.317499999999995</v>
      </c>
    </row>
    <row r="137" spans="1:15" x14ac:dyDescent="0.25">
      <c r="C137" s="58">
        <f>+C133*F133</f>
        <v>-124.92</v>
      </c>
    </row>
    <row r="138" spans="1:15" x14ac:dyDescent="0.25">
      <c r="C138" s="58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503</v>
      </c>
      <c r="F139" s="1" t="s">
        <v>504</v>
      </c>
      <c r="G139" t="s">
        <v>501</v>
      </c>
      <c r="H139" s="1" t="s">
        <v>500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0.32161401273885382</v>
      </c>
      <c r="F140" s="15">
        <v>-7.2499999999999995E-2</v>
      </c>
      <c r="G140" s="136">
        <f>+D140*E140</f>
        <v>0.11526566928051987</v>
      </c>
      <c r="H140" s="9">
        <f>+F140*D140</f>
        <v>-2.5983821263482278E-2</v>
      </c>
      <c r="I140" s="9">
        <v>0.2525</v>
      </c>
      <c r="J140" s="1"/>
      <c r="K140" s="137" t="s">
        <v>47</v>
      </c>
      <c r="L140" s="138">
        <f>+I140-F140</f>
        <v>0.32500000000000001</v>
      </c>
      <c r="M140" s="138">
        <f>+L140-E140</f>
        <v>3.385987261146195E-3</v>
      </c>
      <c r="N140" s="138">
        <f>+M140*7</f>
        <v>2.3701910828023365E-2</v>
      </c>
      <c r="O140">
        <f>+N140*D140</f>
        <v>8.4947064077014398E-3</v>
      </c>
    </row>
    <row r="141" spans="1:15" x14ac:dyDescent="0.25">
      <c r="A141" s="1"/>
      <c r="B141" s="1" t="s">
        <v>511</v>
      </c>
      <c r="C141" s="4">
        <v>2082</v>
      </c>
      <c r="D141" s="5">
        <f>+C141/C143</f>
        <v>0.64160246533127885</v>
      </c>
      <c r="E141" s="9">
        <f>+Rates!H72</f>
        <v>0.2864130187486833</v>
      </c>
      <c r="F141" s="9">
        <v>-0.06</v>
      </c>
      <c r="G141" s="136">
        <f>+D141*E141</f>
        <v>0.183763298932129</v>
      </c>
      <c r="H141" s="9">
        <f>+F141*D141</f>
        <v>-3.8496147919876732E-2</v>
      </c>
      <c r="I141" s="9">
        <v>0.2525</v>
      </c>
      <c r="J141" s="1"/>
      <c r="K141" s="137" t="s">
        <v>47</v>
      </c>
      <c r="L141" s="138">
        <f>+I141-F141</f>
        <v>0.3125</v>
      </c>
      <c r="M141" s="138">
        <f>+L141-E141</f>
        <v>2.6086981251316699E-2</v>
      </c>
      <c r="N141" s="138">
        <f>+M141*7</f>
        <v>0.18260886875921689</v>
      </c>
      <c r="O141">
        <f>+N141*D141</f>
        <v>0.11716230038726951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0.12565700679497094</v>
      </c>
    </row>
    <row r="143" spans="1:15" x14ac:dyDescent="0.25">
      <c r="C143" s="4">
        <f>SUM(C140:C142)</f>
        <v>3245</v>
      </c>
      <c r="D143" s="5">
        <f>SUM(D140:D142)</f>
        <v>1</v>
      </c>
      <c r="M143" s="138">
        <f>AVERAGE(M140:M141)</f>
        <v>1.4736484256231447E-2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38">
        <f>+M143+M135</f>
        <v>1.4736484256231447E-2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501</v>
      </c>
      <c r="H151" s="1" t="s">
        <v>500</v>
      </c>
      <c r="I151" s="1" t="s">
        <v>514</v>
      </c>
      <c r="J151" s="1"/>
      <c r="K151" s="10" t="s">
        <v>47</v>
      </c>
      <c r="L151" s="138" t="s">
        <v>505</v>
      </c>
      <c r="M151" s="138" t="s">
        <v>507</v>
      </c>
      <c r="N151" s="138" t="s">
        <v>509</v>
      </c>
    </row>
    <row r="152" spans="2:15" x14ac:dyDescent="0.25">
      <c r="B152" s="1" t="s">
        <v>512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36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37" t="s">
        <v>47</v>
      </c>
      <c r="L152" s="138">
        <f>+I152-F152</f>
        <v>0.35749999999999998</v>
      </c>
      <c r="M152" s="138" t="e">
        <f>+L152-E152</f>
        <v>#REF!</v>
      </c>
      <c r="N152" s="138" t="e">
        <f>+M152*5</f>
        <v>#REF!</v>
      </c>
      <c r="O152" t="e">
        <f>+N152*D152</f>
        <v>#REF!</v>
      </c>
    </row>
    <row r="153" spans="2:15" x14ac:dyDescent="0.25">
      <c r="B153" s="1" t="s">
        <v>513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36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37" t="s">
        <v>47</v>
      </c>
      <c r="L153" s="138">
        <f>+I153-F153</f>
        <v>0.34499999999999997</v>
      </c>
      <c r="M153" s="138" t="e">
        <f>+L153-E153</f>
        <v>#REF!</v>
      </c>
      <c r="N153" s="138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58">
        <f>+C152*F152</f>
        <v>-84.317499999999995</v>
      </c>
    </row>
    <row r="157" spans="2:15" x14ac:dyDescent="0.25">
      <c r="C157" s="58">
        <f>+C153*F153</f>
        <v>-124.92</v>
      </c>
    </row>
    <row r="158" spans="2:15" x14ac:dyDescent="0.25">
      <c r="C158" s="58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503</v>
      </c>
      <c r="F159" s="1" t="s">
        <v>504</v>
      </c>
      <c r="G159" t="s">
        <v>501</v>
      </c>
      <c r="H159" s="1" t="s">
        <v>500</v>
      </c>
      <c r="I159" s="1" t="s">
        <v>514</v>
      </c>
      <c r="J159" s="1"/>
      <c r="K159" s="10" t="s">
        <v>47</v>
      </c>
    </row>
    <row r="160" spans="2:15" x14ac:dyDescent="0.25">
      <c r="B160" s="1" t="s">
        <v>512</v>
      </c>
      <c r="C160" s="4">
        <v>1163</v>
      </c>
      <c r="D160" s="5">
        <f>+C160/C163</f>
        <v>0.3583975346687211</v>
      </c>
      <c r="E160" s="9">
        <f>+Rates!H42</f>
        <v>0.36699399656946835</v>
      </c>
      <c r="F160" s="15">
        <v>-7.2499999999999995E-2</v>
      </c>
      <c r="G160" s="136">
        <f>+D160*E160</f>
        <v>0.13152974360871855</v>
      </c>
      <c r="H160" s="9">
        <f>+F160*D160</f>
        <v>-2.5983821263482278E-2</v>
      </c>
      <c r="I160" s="9">
        <v>0.28499999999999998</v>
      </c>
      <c r="J160" s="1"/>
      <c r="K160" s="137" t="s">
        <v>47</v>
      </c>
      <c r="L160" s="138">
        <f>+I160-F160</f>
        <v>0.35749999999999998</v>
      </c>
      <c r="M160" s="138">
        <f>+L160-E160</f>
        <v>-9.4939965694683659E-3</v>
      </c>
      <c r="N160" s="138">
        <f>+M160*7</f>
        <v>-6.6457975986278561E-2</v>
      </c>
      <c r="O160">
        <f>+N160*D160</f>
        <v>-2.3818374752555306E-2</v>
      </c>
    </row>
    <row r="161" spans="2:15" x14ac:dyDescent="0.25">
      <c r="B161" s="1" t="s">
        <v>515</v>
      </c>
      <c r="C161" s="4">
        <v>2082</v>
      </c>
      <c r="D161" s="5">
        <f>+C161/C163</f>
        <v>0.64160246533127885</v>
      </c>
      <c r="E161" s="9">
        <f>+Rates!H77</f>
        <v>0.33120078698287758</v>
      </c>
      <c r="F161" s="9">
        <v>-0.06</v>
      </c>
      <c r="G161" s="136">
        <f>+D161*E161</f>
        <v>0.21249924144787399</v>
      </c>
      <c r="H161" s="9">
        <f>+F161*D161</f>
        <v>-3.8496147919876732E-2</v>
      </c>
      <c r="I161" s="9">
        <v>0.28499999999999998</v>
      </c>
      <c r="J161" s="1"/>
      <c r="K161" s="137" t="s">
        <v>47</v>
      </c>
      <c r="L161" s="138">
        <f>+I161-F161</f>
        <v>0.34499999999999997</v>
      </c>
      <c r="M161" s="138">
        <f>+L161-E161</f>
        <v>1.3799213017122391E-2</v>
      </c>
      <c r="N161" s="138">
        <f>+M161*7</f>
        <v>9.659449111985674E-2</v>
      </c>
      <c r="O161">
        <f>+N161*D161</f>
        <v>6.1975263639920404E-2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3.8156888887365098E-2</v>
      </c>
    </row>
    <row r="163" spans="2:15" x14ac:dyDescent="0.25">
      <c r="C163" s="4">
        <f>SUM(C160:C162)</f>
        <v>3245</v>
      </c>
      <c r="D163" s="5">
        <f>SUM(D160:D162)</f>
        <v>1</v>
      </c>
      <c r="M163" s="138">
        <f>AVERAGE(M160:M161)</f>
        <v>2.1526082238270128E-3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38">
        <f>+M163+M155</f>
        <v>2.1526082238270128E-3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O49"/>
  <sheetViews>
    <sheetView workbookViewId="0">
      <selection activeCell="G8" sqref="G8"/>
    </sheetView>
  </sheetViews>
  <sheetFormatPr defaultRowHeight="13.2" x14ac:dyDescent="0.25"/>
  <cols>
    <col min="3" max="3" width="10.88671875" customWidth="1"/>
  </cols>
  <sheetData>
    <row r="3" spans="2:14" x14ac:dyDescent="0.25">
      <c r="B3" t="s">
        <v>244</v>
      </c>
      <c r="C3" t="s">
        <v>245</v>
      </c>
      <c r="D3" t="s">
        <v>246</v>
      </c>
      <c r="F3" t="s">
        <v>247</v>
      </c>
      <c r="I3" t="s">
        <v>248</v>
      </c>
      <c r="L3" t="s">
        <v>249</v>
      </c>
      <c r="M3" t="s">
        <v>250</v>
      </c>
    </row>
    <row r="5" spans="2:14" x14ac:dyDescent="0.25">
      <c r="B5" s="40">
        <v>72671</v>
      </c>
      <c r="C5" t="s">
        <v>251</v>
      </c>
      <c r="D5" t="s">
        <v>252</v>
      </c>
      <c r="F5" t="s">
        <v>253</v>
      </c>
      <c r="J5" s="39">
        <v>7.5800000000000006E-2</v>
      </c>
      <c r="L5" s="41">
        <v>3.7000000000000002E-3</v>
      </c>
      <c r="M5" s="42">
        <v>2.97</v>
      </c>
      <c r="N5" s="39">
        <f>(M5)/(1-L5)-M5+J5</f>
        <v>8.6829810298103022E-2</v>
      </c>
    </row>
    <row r="6" spans="2:14" x14ac:dyDescent="0.25">
      <c r="B6" s="43">
        <v>72673</v>
      </c>
      <c r="C6" t="s">
        <v>251</v>
      </c>
      <c r="D6" t="s">
        <v>252</v>
      </c>
      <c r="F6" t="s">
        <v>254</v>
      </c>
      <c r="J6" s="39">
        <v>7.5800000000000006E-2</v>
      </c>
      <c r="L6" s="41">
        <v>3.7000000000000002E-3</v>
      </c>
      <c r="M6" s="42">
        <v>2.97</v>
      </c>
      <c r="N6" s="39">
        <f t="shared" ref="N6:N20" si="0">(M6)/(1-L6)-M6+J6</f>
        <v>8.6829810298103022E-2</v>
      </c>
    </row>
    <row r="7" spans="2:14" x14ac:dyDescent="0.25">
      <c r="B7" s="43">
        <v>52019</v>
      </c>
      <c r="C7" t="s">
        <v>251</v>
      </c>
      <c r="D7" t="s">
        <v>252</v>
      </c>
      <c r="F7" t="s">
        <v>253</v>
      </c>
      <c r="J7" s="39">
        <v>7.5800000000000006E-2</v>
      </c>
      <c r="L7" s="41">
        <v>3.7000000000000002E-3</v>
      </c>
      <c r="M7" s="42">
        <v>2.97</v>
      </c>
      <c r="N7" s="39">
        <f t="shared" si="0"/>
        <v>8.6829810298103022E-2</v>
      </c>
    </row>
    <row r="8" spans="2:14" x14ac:dyDescent="0.25">
      <c r="B8" s="43">
        <v>67580</v>
      </c>
      <c r="C8" t="s">
        <v>251</v>
      </c>
      <c r="D8" t="s">
        <v>252</v>
      </c>
      <c r="F8" t="s">
        <v>254</v>
      </c>
      <c r="J8" s="39">
        <v>7.5800000000000006E-2</v>
      </c>
      <c r="L8" s="41">
        <v>3.7000000000000002E-3</v>
      </c>
      <c r="M8" s="42">
        <v>2.97</v>
      </c>
      <c r="N8" s="39">
        <f t="shared" si="0"/>
        <v>8.6829810298103022E-2</v>
      </c>
    </row>
    <row r="9" spans="2:14" x14ac:dyDescent="0.25">
      <c r="B9" s="43">
        <v>68000</v>
      </c>
      <c r="C9" t="s">
        <v>251</v>
      </c>
      <c r="D9" t="s">
        <v>252</v>
      </c>
      <c r="F9" t="s">
        <v>255</v>
      </c>
      <c r="J9" s="39">
        <v>7.5800000000000006E-2</v>
      </c>
      <c r="L9" s="41">
        <v>3.7000000000000002E-3</v>
      </c>
      <c r="M9" s="42">
        <v>2.97</v>
      </c>
      <c r="N9" s="39">
        <f t="shared" si="0"/>
        <v>8.6829810298103022E-2</v>
      </c>
    </row>
    <row r="10" spans="2:14" x14ac:dyDescent="0.25">
      <c r="B10" s="43">
        <v>68001</v>
      </c>
      <c r="C10" t="s">
        <v>251</v>
      </c>
      <c r="D10" t="s">
        <v>252</v>
      </c>
      <c r="F10" t="s">
        <v>255</v>
      </c>
      <c r="J10" s="39">
        <v>7.5800000000000006E-2</v>
      </c>
      <c r="L10" s="41">
        <v>3.7000000000000002E-3</v>
      </c>
      <c r="M10" s="42">
        <v>2.97</v>
      </c>
      <c r="N10" s="39">
        <f t="shared" si="0"/>
        <v>8.6829810298103022E-2</v>
      </c>
    </row>
    <row r="11" spans="2:14" x14ac:dyDescent="0.25">
      <c r="B11" s="43">
        <v>68002</v>
      </c>
      <c r="C11" t="s">
        <v>251</v>
      </c>
      <c r="D11" t="s">
        <v>252</v>
      </c>
      <c r="F11" t="s">
        <v>255</v>
      </c>
      <c r="J11" s="39">
        <v>7.5800000000000006E-2</v>
      </c>
      <c r="L11" s="41">
        <v>3.7000000000000002E-3</v>
      </c>
      <c r="M11" s="42">
        <v>2.97</v>
      </c>
      <c r="N11" s="39">
        <f t="shared" si="0"/>
        <v>8.6829810298103022E-2</v>
      </c>
    </row>
    <row r="12" spans="2:14" x14ac:dyDescent="0.25">
      <c r="B12" s="43">
        <v>102029</v>
      </c>
      <c r="C12" t="s">
        <v>251</v>
      </c>
      <c r="D12" t="s">
        <v>256</v>
      </c>
      <c r="F12" t="s">
        <v>257</v>
      </c>
      <c r="J12" s="39">
        <v>8.1600000000000006E-2</v>
      </c>
      <c r="L12" s="41">
        <v>4.5999999999999999E-3</v>
      </c>
      <c r="M12" s="42">
        <v>3.02</v>
      </c>
      <c r="N12" s="39">
        <f t="shared" si="0"/>
        <v>9.5556198513160884E-2</v>
      </c>
    </row>
    <row r="13" spans="2:14" x14ac:dyDescent="0.25">
      <c r="B13" s="43">
        <v>67996</v>
      </c>
      <c r="C13" t="s">
        <v>251</v>
      </c>
      <c r="D13" t="s">
        <v>256</v>
      </c>
      <c r="F13" t="s">
        <v>255</v>
      </c>
      <c r="J13" s="39">
        <v>8.1600000000000006E-2</v>
      </c>
      <c r="L13" s="41">
        <v>4.5999999999999999E-3</v>
      </c>
      <c r="M13" s="42">
        <v>3.02</v>
      </c>
      <c r="N13" s="39">
        <f t="shared" si="0"/>
        <v>9.5556198513160884E-2</v>
      </c>
    </row>
    <row r="14" spans="2:14" x14ac:dyDescent="0.25">
      <c r="B14" s="43">
        <v>102841</v>
      </c>
      <c r="C14" t="s">
        <v>251</v>
      </c>
      <c r="D14" t="s">
        <v>258</v>
      </c>
      <c r="F14" t="s">
        <v>259</v>
      </c>
      <c r="J14" s="39">
        <v>9.2799999999999994E-2</v>
      </c>
      <c r="L14" s="41">
        <v>4.1999999999999997E-3</v>
      </c>
      <c r="M14" s="42">
        <v>3.1</v>
      </c>
      <c r="N14" s="39">
        <f t="shared" si="0"/>
        <v>0.10587491464149412</v>
      </c>
    </row>
    <row r="15" spans="2:14" x14ac:dyDescent="0.25">
      <c r="B15" s="43">
        <v>96296</v>
      </c>
      <c r="C15" t="s">
        <v>251</v>
      </c>
      <c r="D15" t="s">
        <v>258</v>
      </c>
      <c r="F15" t="s">
        <v>260</v>
      </c>
      <c r="J15" s="39">
        <v>9.2799999999999994E-2</v>
      </c>
      <c r="L15" s="41">
        <v>4.1999999999999997E-3</v>
      </c>
      <c r="M15" s="42">
        <v>3.1</v>
      </c>
      <c r="N15" s="39">
        <f t="shared" si="0"/>
        <v>0.10587491464149412</v>
      </c>
    </row>
    <row r="16" spans="2:14" x14ac:dyDescent="0.25">
      <c r="B16" s="43">
        <v>91891</v>
      </c>
      <c r="C16" t="s">
        <v>251</v>
      </c>
      <c r="D16" t="s">
        <v>258</v>
      </c>
      <c r="F16" t="s">
        <v>261</v>
      </c>
      <c r="J16" s="39">
        <v>9.2799999999999994E-2</v>
      </c>
      <c r="L16" s="41">
        <v>4.1999999999999997E-3</v>
      </c>
      <c r="M16" s="42">
        <v>3.1</v>
      </c>
      <c r="N16" s="39">
        <f t="shared" si="0"/>
        <v>0.10587491464149412</v>
      </c>
    </row>
    <row r="17" spans="2:15" x14ac:dyDescent="0.25">
      <c r="B17" s="43">
        <v>102544</v>
      </c>
      <c r="C17" t="s">
        <v>251</v>
      </c>
      <c r="D17" t="s">
        <v>258</v>
      </c>
      <c r="F17" t="s">
        <v>259</v>
      </c>
      <c r="J17" s="39">
        <v>9.2799999999999994E-2</v>
      </c>
      <c r="L17" s="41">
        <v>4.1999999999999997E-3</v>
      </c>
      <c r="M17" s="42">
        <v>3.1</v>
      </c>
      <c r="N17" s="39">
        <f t="shared" si="0"/>
        <v>0.10587491464149412</v>
      </c>
    </row>
    <row r="18" spans="2:15" x14ac:dyDescent="0.25">
      <c r="B18" s="43">
        <v>102703</v>
      </c>
      <c r="C18" t="s">
        <v>251</v>
      </c>
      <c r="D18" t="s">
        <v>258</v>
      </c>
      <c r="F18" t="s">
        <v>262</v>
      </c>
      <c r="J18" s="39">
        <v>9.2799999999999994E-2</v>
      </c>
      <c r="L18" s="41">
        <v>4.1999999999999997E-3</v>
      </c>
      <c r="M18" s="42">
        <v>3.1</v>
      </c>
      <c r="N18" s="39">
        <f t="shared" si="0"/>
        <v>0.10587491464149412</v>
      </c>
    </row>
    <row r="19" spans="2:15" x14ac:dyDescent="0.25">
      <c r="B19" s="43">
        <v>67999</v>
      </c>
      <c r="C19" t="s">
        <v>251</v>
      </c>
      <c r="D19" t="s">
        <v>258</v>
      </c>
      <c r="F19" t="s">
        <v>255</v>
      </c>
      <c r="J19" s="39">
        <v>9.2799999999999994E-2</v>
      </c>
      <c r="L19" s="41">
        <v>4.1999999999999997E-3</v>
      </c>
      <c r="M19" s="42">
        <v>3.1</v>
      </c>
      <c r="N19" s="39">
        <f t="shared" si="0"/>
        <v>0.10587491464149412</v>
      </c>
    </row>
    <row r="20" spans="2:15" x14ac:dyDescent="0.25">
      <c r="B20" s="43">
        <v>85795</v>
      </c>
      <c r="C20" t="s">
        <v>251</v>
      </c>
      <c r="D20" t="s">
        <v>258</v>
      </c>
      <c r="F20" t="s">
        <v>255</v>
      </c>
      <c r="J20" s="39">
        <v>9.2799999999999994E-2</v>
      </c>
      <c r="L20" s="41">
        <v>4.1999999999999997E-3</v>
      </c>
      <c r="M20" s="42">
        <v>3.1</v>
      </c>
      <c r="N20" s="39">
        <f t="shared" si="0"/>
        <v>0.10587491464149412</v>
      </c>
    </row>
    <row r="21" spans="2:15" x14ac:dyDescent="0.25">
      <c r="B21" s="43">
        <v>88734</v>
      </c>
      <c r="C21" t="s">
        <v>251</v>
      </c>
      <c r="D21" t="s">
        <v>263</v>
      </c>
      <c r="F21" t="s">
        <v>264</v>
      </c>
      <c r="J21" s="39">
        <v>8.9200000000000002E-2</v>
      </c>
      <c r="L21" s="41">
        <v>5.0000000000000001E-3</v>
      </c>
      <c r="M21" s="42">
        <v>3.01</v>
      </c>
      <c r="N21" s="39">
        <f>(M21)/(1-L21)-M21+J21</f>
        <v>0.10432562814070373</v>
      </c>
    </row>
    <row r="24" spans="2:15" x14ac:dyDescent="0.25">
      <c r="B24" s="43">
        <v>98468</v>
      </c>
      <c r="C24" t="s">
        <v>265</v>
      </c>
      <c r="D24" t="s">
        <v>266</v>
      </c>
      <c r="F24" t="s">
        <v>255</v>
      </c>
      <c r="J24" s="39">
        <v>0.09</v>
      </c>
      <c r="L24" s="41">
        <v>0.01</v>
      </c>
      <c r="M24" s="42">
        <v>3.04</v>
      </c>
      <c r="N24" s="39">
        <f>(M24)/(1-L24)-M24+J24</f>
        <v>0.1207070707070709</v>
      </c>
      <c r="O24" t="s">
        <v>267</v>
      </c>
    </row>
    <row r="25" spans="2:15" x14ac:dyDescent="0.25">
      <c r="B25" s="43">
        <v>98480</v>
      </c>
      <c r="C25" t="s">
        <v>265</v>
      </c>
      <c r="D25" t="s">
        <v>268</v>
      </c>
      <c r="F25" t="s">
        <v>255</v>
      </c>
      <c r="J25" s="39">
        <v>0.125</v>
      </c>
      <c r="L25" s="41">
        <v>0.01</v>
      </c>
      <c r="M25" s="42">
        <v>3.04</v>
      </c>
      <c r="N25" s="39">
        <f>(M25)/(1-L25)-M25+J25</f>
        <v>0.1557070707070709</v>
      </c>
      <c r="O25" t="s">
        <v>47</v>
      </c>
    </row>
    <row r="26" spans="2:15" x14ac:dyDescent="0.25">
      <c r="B26" s="43">
        <v>98469</v>
      </c>
      <c r="C26" t="s">
        <v>265</v>
      </c>
      <c r="D26" t="s">
        <v>266</v>
      </c>
      <c r="F26" t="s">
        <v>255</v>
      </c>
      <c r="J26" s="39">
        <v>0.09</v>
      </c>
      <c r="L26" s="41">
        <v>0.01</v>
      </c>
      <c r="M26" s="42">
        <v>3.04</v>
      </c>
      <c r="N26" s="39">
        <f>(M26)/(1-L26)-M26+J26</f>
        <v>0.1207070707070709</v>
      </c>
      <c r="O26" t="s">
        <v>47</v>
      </c>
    </row>
    <row r="27" spans="2:15" x14ac:dyDescent="0.25">
      <c r="B27" s="43">
        <v>98479</v>
      </c>
      <c r="C27" t="s">
        <v>265</v>
      </c>
      <c r="D27" t="s">
        <v>268</v>
      </c>
      <c r="F27" t="s">
        <v>255</v>
      </c>
      <c r="J27" s="39">
        <v>0.125</v>
      </c>
      <c r="L27" s="41">
        <v>0.01</v>
      </c>
      <c r="M27" s="42">
        <v>3.04</v>
      </c>
      <c r="N27" s="39">
        <f>(M27)/(1-L27)-M27+J27</f>
        <v>0.1557070707070709</v>
      </c>
      <c r="O27" t="s">
        <v>47</v>
      </c>
    </row>
    <row r="28" spans="2:15" x14ac:dyDescent="0.25">
      <c r="B28" s="43">
        <v>98481</v>
      </c>
      <c r="C28" t="s">
        <v>265</v>
      </c>
      <c r="D28" t="s">
        <v>268</v>
      </c>
      <c r="F28" t="s">
        <v>255</v>
      </c>
      <c r="J28" s="39">
        <v>0.125</v>
      </c>
      <c r="L28" s="41">
        <v>0.01</v>
      </c>
      <c r="M28" s="42">
        <v>3.04</v>
      </c>
      <c r="N28" s="39">
        <f>(M28)/(1-L28)-M28+J28</f>
        <v>0.1557070707070709</v>
      </c>
      <c r="O28" t="s">
        <v>47</v>
      </c>
    </row>
    <row r="30" spans="2:15" x14ac:dyDescent="0.25">
      <c r="B30">
        <v>102541</v>
      </c>
      <c r="C30" t="s">
        <v>27</v>
      </c>
      <c r="F30" t="s">
        <v>269</v>
      </c>
      <c r="J30">
        <v>9.0200000000000002E-2</v>
      </c>
      <c r="L30" s="41">
        <v>0.01</v>
      </c>
      <c r="M30">
        <v>1.99</v>
      </c>
      <c r="N30" s="39"/>
    </row>
    <row r="34" spans="1:6" x14ac:dyDescent="0.25">
      <c r="A34" t="s">
        <v>270</v>
      </c>
      <c r="C34" t="s">
        <v>271</v>
      </c>
      <c r="D34" t="s">
        <v>272</v>
      </c>
    </row>
    <row r="35" spans="1:6" x14ac:dyDescent="0.25">
      <c r="D35" t="s">
        <v>273</v>
      </c>
    </row>
    <row r="36" spans="1:6" x14ac:dyDescent="0.25">
      <c r="E36" t="s">
        <v>274</v>
      </c>
      <c r="F36" t="s">
        <v>275</v>
      </c>
    </row>
    <row r="37" spans="1:6" x14ac:dyDescent="0.25">
      <c r="E37" s="44">
        <v>130666</v>
      </c>
      <c r="F37" t="s">
        <v>276</v>
      </c>
    </row>
    <row r="38" spans="1:6" x14ac:dyDescent="0.25">
      <c r="E38" s="44">
        <v>113451</v>
      </c>
      <c r="F38" t="s">
        <v>277</v>
      </c>
    </row>
    <row r="39" spans="1:6" x14ac:dyDescent="0.25">
      <c r="E39" s="44">
        <v>130665</v>
      </c>
      <c r="F39" t="s">
        <v>278</v>
      </c>
    </row>
    <row r="40" spans="1:6" x14ac:dyDescent="0.25">
      <c r="E40" s="44">
        <v>106153</v>
      </c>
      <c r="F40" t="s">
        <v>279</v>
      </c>
    </row>
    <row r="41" spans="1:6" x14ac:dyDescent="0.25">
      <c r="E41" s="44">
        <v>113336</v>
      </c>
      <c r="F41" t="s">
        <v>279</v>
      </c>
    </row>
    <row r="42" spans="1:6" x14ac:dyDescent="0.25">
      <c r="E42" s="44">
        <v>113342</v>
      </c>
      <c r="F42" t="s">
        <v>280</v>
      </c>
    </row>
    <row r="43" spans="1:6" x14ac:dyDescent="0.25">
      <c r="E43" s="44">
        <v>113340</v>
      </c>
      <c r="F43" t="s">
        <v>280</v>
      </c>
    </row>
    <row r="44" spans="1:6" x14ac:dyDescent="0.25">
      <c r="E44" s="44">
        <v>113341</v>
      </c>
      <c r="F44" t="s">
        <v>280</v>
      </c>
    </row>
    <row r="45" spans="1:6" x14ac:dyDescent="0.25">
      <c r="E45" s="44">
        <v>113343</v>
      </c>
      <c r="F45" t="s">
        <v>280</v>
      </c>
    </row>
    <row r="46" spans="1:6" x14ac:dyDescent="0.25">
      <c r="E46" s="44"/>
    </row>
    <row r="47" spans="1:6" x14ac:dyDescent="0.25">
      <c r="A47" t="s">
        <v>270</v>
      </c>
      <c r="C47" t="s">
        <v>281</v>
      </c>
      <c r="D47" t="s">
        <v>282</v>
      </c>
      <c r="E47" s="44"/>
    </row>
    <row r="48" spans="1:6" x14ac:dyDescent="0.25">
      <c r="D48" t="s">
        <v>283</v>
      </c>
    </row>
    <row r="49" spans="4:4" x14ac:dyDescent="0.25">
      <c r="D49" t="s">
        <v>284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285</v>
      </c>
    </row>
    <row r="2" spans="1:7" x14ac:dyDescent="0.25">
      <c r="C2" t="s">
        <v>286</v>
      </c>
      <c r="E2" t="s">
        <v>287</v>
      </c>
    </row>
    <row r="3" spans="1:7" x14ac:dyDescent="0.25">
      <c r="A3" t="s">
        <v>288</v>
      </c>
      <c r="C3">
        <v>307497</v>
      </c>
      <c r="E3" s="52">
        <v>1.6</v>
      </c>
    </row>
    <row r="8" spans="1:7" x14ac:dyDescent="0.25">
      <c r="A8" t="s">
        <v>522</v>
      </c>
    </row>
    <row r="9" spans="1:7" x14ac:dyDescent="0.25">
      <c r="B9" s="140" t="s">
        <v>342</v>
      </c>
      <c r="C9" s="141"/>
      <c r="D9" s="141"/>
      <c r="E9" s="141"/>
      <c r="F9" s="141"/>
      <c r="G9" s="141"/>
    </row>
    <row r="10" spans="1:7" x14ac:dyDescent="0.25">
      <c r="B10" t="s">
        <v>286</v>
      </c>
      <c r="C10" t="s">
        <v>452</v>
      </c>
      <c r="E10" t="s">
        <v>527</v>
      </c>
      <c r="G10" t="s">
        <v>528</v>
      </c>
    </row>
    <row r="11" spans="1:7" x14ac:dyDescent="0.25">
      <c r="B11">
        <v>68900</v>
      </c>
      <c r="C11" t="s">
        <v>529</v>
      </c>
    </row>
    <row r="12" spans="1:7" x14ac:dyDescent="0.25">
      <c r="B12">
        <v>79139</v>
      </c>
      <c r="C12" t="s">
        <v>524</v>
      </c>
    </row>
    <row r="13" spans="1:7" x14ac:dyDescent="0.25">
      <c r="B13">
        <v>82058</v>
      </c>
      <c r="C13" t="s">
        <v>525</v>
      </c>
    </row>
    <row r="14" spans="1:7" x14ac:dyDescent="0.25">
      <c r="B14">
        <v>83440</v>
      </c>
      <c r="C14" t="s">
        <v>525</v>
      </c>
    </row>
    <row r="15" spans="1:7" x14ac:dyDescent="0.25">
      <c r="B15">
        <v>35535</v>
      </c>
      <c r="C15" t="s">
        <v>526</v>
      </c>
    </row>
    <row r="20" spans="2:7" x14ac:dyDescent="0.25">
      <c r="B20" s="140" t="s">
        <v>343</v>
      </c>
      <c r="C20" s="141"/>
      <c r="D20" s="141"/>
      <c r="E20" s="141"/>
      <c r="F20" s="141"/>
      <c r="G20" s="141"/>
    </row>
    <row r="21" spans="2:7" x14ac:dyDescent="0.25">
      <c r="B21" t="s">
        <v>286</v>
      </c>
      <c r="C21" t="s">
        <v>452</v>
      </c>
      <c r="E21" t="s">
        <v>527</v>
      </c>
      <c r="G21" t="s">
        <v>528</v>
      </c>
    </row>
    <row r="22" spans="2:7" x14ac:dyDescent="0.25">
      <c r="B22">
        <v>68903</v>
      </c>
      <c r="C22" t="s">
        <v>523</v>
      </c>
    </row>
    <row r="23" spans="2:7" x14ac:dyDescent="0.25">
      <c r="B23">
        <v>68904</v>
      </c>
      <c r="C23" t="s">
        <v>530</v>
      </c>
    </row>
    <row r="24" spans="2:7" x14ac:dyDescent="0.25">
      <c r="B24">
        <v>79798</v>
      </c>
      <c r="C24" t="s">
        <v>531</v>
      </c>
    </row>
    <row r="25" spans="2:7" x14ac:dyDescent="0.25">
      <c r="C25" t="s">
        <v>532</v>
      </c>
    </row>
    <row r="26" spans="2:7" x14ac:dyDescent="0.25">
      <c r="B26">
        <v>79801</v>
      </c>
      <c r="C26" t="s">
        <v>525</v>
      </c>
    </row>
    <row r="27" spans="2:7" x14ac:dyDescent="0.25">
      <c r="C27" t="s">
        <v>533</v>
      </c>
    </row>
    <row r="28" spans="2:7" x14ac:dyDescent="0.25">
      <c r="B28">
        <v>83404</v>
      </c>
      <c r="C28" t="s">
        <v>534</v>
      </c>
    </row>
    <row r="29" spans="2:7" x14ac:dyDescent="0.25">
      <c r="C29" t="s">
        <v>532</v>
      </c>
    </row>
    <row r="30" spans="2:7" x14ac:dyDescent="0.25">
      <c r="B30">
        <v>79141</v>
      </c>
      <c r="C30" t="s">
        <v>531</v>
      </c>
    </row>
    <row r="31" spans="2:7" x14ac:dyDescent="0.25">
      <c r="B31">
        <v>79139</v>
      </c>
      <c r="C31" t="s">
        <v>524</v>
      </c>
    </row>
    <row r="32" spans="2:7" x14ac:dyDescent="0.25">
      <c r="B32">
        <v>79136</v>
      </c>
      <c r="C32" t="s">
        <v>535</v>
      </c>
    </row>
    <row r="35" spans="2:7" x14ac:dyDescent="0.25">
      <c r="B35" s="140" t="s">
        <v>101</v>
      </c>
      <c r="C35" s="141"/>
      <c r="D35" s="141"/>
      <c r="E35" s="141"/>
      <c r="F35" s="141"/>
      <c r="G35" s="141"/>
    </row>
    <row r="36" spans="2:7" x14ac:dyDescent="0.25">
      <c r="B36" t="s">
        <v>286</v>
      </c>
      <c r="C36" t="s">
        <v>452</v>
      </c>
      <c r="E36" t="s">
        <v>527</v>
      </c>
      <c r="G36" t="s">
        <v>528</v>
      </c>
    </row>
    <row r="37" spans="2:7" x14ac:dyDescent="0.25">
      <c r="B37">
        <v>75839</v>
      </c>
      <c r="C37" t="s">
        <v>536</v>
      </c>
    </row>
    <row r="38" spans="2:7" x14ac:dyDescent="0.25">
      <c r="B38">
        <v>79811</v>
      </c>
      <c r="C38" t="s">
        <v>537</v>
      </c>
    </row>
    <row r="39" spans="2:7" x14ac:dyDescent="0.25">
      <c r="C39" t="s">
        <v>538</v>
      </c>
    </row>
    <row r="40" spans="2:7" x14ac:dyDescent="0.25">
      <c r="B40">
        <v>83404</v>
      </c>
      <c r="C40" t="s">
        <v>534</v>
      </c>
    </row>
    <row r="41" spans="2:7" x14ac:dyDescent="0.25">
      <c r="B41">
        <v>81129</v>
      </c>
      <c r="C41" t="s">
        <v>537</v>
      </c>
    </row>
    <row r="42" spans="2:7" x14ac:dyDescent="0.25">
      <c r="B42">
        <v>82058</v>
      </c>
      <c r="C42" t="s">
        <v>525</v>
      </c>
    </row>
    <row r="43" spans="2:7" x14ac:dyDescent="0.25">
      <c r="C43" t="s">
        <v>539</v>
      </c>
    </row>
    <row r="44" spans="2:7" x14ac:dyDescent="0.25">
      <c r="B44">
        <v>83440</v>
      </c>
      <c r="C44" t="s">
        <v>525</v>
      </c>
    </row>
    <row r="45" spans="2:7" x14ac:dyDescent="0.25">
      <c r="C45" t="s">
        <v>533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>
      <selection activeCell="C27" sqref="C27"/>
    </sheetView>
  </sheetViews>
  <sheetFormatPr defaultRowHeight="13.2" x14ac:dyDescent="0.25"/>
  <cols>
    <col min="2" max="2" width="5.44140625" customWidth="1"/>
    <col min="3" max="3" width="10.33203125" style="425" bestFit="1" customWidth="1"/>
    <col min="4" max="4" width="3.33203125" customWidth="1"/>
    <col min="6" max="6" width="3.109375" customWidth="1"/>
  </cols>
  <sheetData>
    <row r="1" spans="1:13" x14ac:dyDescent="0.25">
      <c r="A1" s="59" t="s">
        <v>908</v>
      </c>
    </row>
    <row r="4" spans="1:13" x14ac:dyDescent="0.25">
      <c r="A4" s="423" t="s">
        <v>445</v>
      </c>
      <c r="C4" s="424" t="s">
        <v>911</v>
      </c>
      <c r="E4" t="s">
        <v>98</v>
      </c>
      <c r="G4" t="s">
        <v>912</v>
      </c>
      <c r="I4" t="s">
        <v>913</v>
      </c>
      <c r="K4" t="s">
        <v>914</v>
      </c>
      <c r="M4" t="s">
        <v>915</v>
      </c>
    </row>
    <row r="5" spans="1:13" x14ac:dyDescent="0.25">
      <c r="A5" t="s">
        <v>909</v>
      </c>
      <c r="C5" s="425" t="s">
        <v>910</v>
      </c>
    </row>
    <row r="7" spans="1:13" x14ac:dyDescent="0.25">
      <c r="A7" t="s">
        <v>147</v>
      </c>
      <c r="C7" s="425">
        <v>15000</v>
      </c>
      <c r="E7" t="s">
        <v>890</v>
      </c>
      <c r="G7" t="s">
        <v>889</v>
      </c>
      <c r="I7" t="s">
        <v>888</v>
      </c>
      <c r="K7" t="s">
        <v>916</v>
      </c>
      <c r="M7" t="s">
        <v>917</v>
      </c>
    </row>
    <row r="8" spans="1:13" x14ac:dyDescent="0.25">
      <c r="C8" s="425">
        <v>3947</v>
      </c>
      <c r="E8" t="s">
        <v>902</v>
      </c>
      <c r="G8" t="s">
        <v>900</v>
      </c>
      <c r="I8" t="s">
        <v>901</v>
      </c>
      <c r="K8" t="s">
        <v>916</v>
      </c>
      <c r="M8" t="s">
        <v>917</v>
      </c>
    </row>
    <row r="10" spans="1:13" x14ac:dyDescent="0.25">
      <c r="A10" t="s">
        <v>768</v>
      </c>
      <c r="C10" s="425">
        <v>4000</v>
      </c>
      <c r="E10">
        <v>66930</v>
      </c>
    </row>
    <row r="11" spans="1:13" x14ac:dyDescent="0.25">
      <c r="C11" s="425">
        <v>4000</v>
      </c>
      <c r="E11">
        <v>66931</v>
      </c>
    </row>
    <row r="12" spans="1:13" x14ac:dyDescent="0.25">
      <c r="C12" s="425">
        <v>4000</v>
      </c>
      <c r="E12">
        <v>66932</v>
      </c>
    </row>
    <row r="13" spans="1:13" x14ac:dyDescent="0.25">
      <c r="C13" s="425">
        <v>20000</v>
      </c>
      <c r="E13">
        <v>66965</v>
      </c>
    </row>
    <row r="15" spans="1:13" x14ac:dyDescent="0.25">
      <c r="C15" s="425">
        <v>2329</v>
      </c>
      <c r="E15">
        <v>65071</v>
      </c>
      <c r="G15" t="s">
        <v>369</v>
      </c>
      <c r="I15" t="s">
        <v>762</v>
      </c>
      <c r="K15" t="s">
        <v>919</v>
      </c>
      <c r="M15" t="s">
        <v>920</v>
      </c>
    </row>
    <row r="16" spans="1:13" x14ac:dyDescent="0.25">
      <c r="C16" s="425">
        <v>40000</v>
      </c>
      <c r="E16">
        <v>64231</v>
      </c>
      <c r="G16" t="s">
        <v>922</v>
      </c>
      <c r="M16" t="s">
        <v>921</v>
      </c>
    </row>
    <row r="18" spans="1:13" x14ac:dyDescent="0.25">
      <c r="C18" s="425">
        <v>134000</v>
      </c>
      <c r="E18" t="s">
        <v>918</v>
      </c>
      <c r="G18" t="s">
        <v>918</v>
      </c>
      <c r="M18" t="s">
        <v>923</v>
      </c>
    </row>
    <row r="20" spans="1:13" x14ac:dyDescent="0.25">
      <c r="C20" s="425">
        <v>80000</v>
      </c>
      <c r="E20" t="s">
        <v>924</v>
      </c>
      <c r="M20" t="s">
        <v>925</v>
      </c>
    </row>
    <row r="22" spans="1:13" x14ac:dyDescent="0.25">
      <c r="A22" t="s">
        <v>747</v>
      </c>
      <c r="C22" s="425">
        <v>15000</v>
      </c>
      <c r="E22">
        <v>37861</v>
      </c>
      <c r="G22" t="s">
        <v>926</v>
      </c>
      <c r="I22" t="s">
        <v>369</v>
      </c>
      <c r="K22" t="s">
        <v>927</v>
      </c>
      <c r="M22" t="s">
        <v>928</v>
      </c>
    </row>
    <row r="23" spans="1:13" x14ac:dyDescent="0.25">
      <c r="C23" s="425">
        <v>15000</v>
      </c>
      <c r="E23">
        <v>58654</v>
      </c>
      <c r="G23" t="s">
        <v>926</v>
      </c>
      <c r="I23" t="s">
        <v>369</v>
      </c>
      <c r="K23" t="s">
        <v>929</v>
      </c>
      <c r="M23" t="s">
        <v>930</v>
      </c>
    </row>
    <row r="24" spans="1:13" x14ac:dyDescent="0.25">
      <c r="C24" s="425">
        <v>30000</v>
      </c>
      <c r="E24">
        <v>63115</v>
      </c>
      <c r="G24" t="s">
        <v>926</v>
      </c>
      <c r="I24" t="s">
        <v>369</v>
      </c>
      <c r="K24" t="s">
        <v>931</v>
      </c>
      <c r="M24" t="s">
        <v>930</v>
      </c>
    </row>
    <row r="26" spans="1:13" x14ac:dyDescent="0.25">
      <c r="C26" s="425">
        <v>20000</v>
      </c>
      <c r="E26">
        <v>37393</v>
      </c>
      <c r="G26" t="s">
        <v>28</v>
      </c>
      <c r="I26" t="s">
        <v>926</v>
      </c>
      <c r="K26" t="s">
        <v>932</v>
      </c>
      <c r="M26" t="s">
        <v>928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45"/>
    </row>
    <row r="2" spans="1:3" x14ac:dyDescent="0.2">
      <c r="A2" s="1" t="s">
        <v>289</v>
      </c>
    </row>
    <row r="3" spans="1:3" x14ac:dyDescent="0.2">
      <c r="A3" s="1">
        <v>26964</v>
      </c>
      <c r="C3" s="1" t="s">
        <v>290</v>
      </c>
    </row>
    <row r="4" spans="1:3" x14ac:dyDescent="0.2">
      <c r="A4" s="1">
        <v>26586</v>
      </c>
      <c r="C4" s="1" t="s">
        <v>291</v>
      </c>
    </row>
    <row r="5" spans="1:3" x14ac:dyDescent="0.2">
      <c r="A5" s="1">
        <v>26070</v>
      </c>
      <c r="C5" s="46" t="s">
        <v>292</v>
      </c>
    </row>
    <row r="6" spans="1:3" x14ac:dyDescent="0.2">
      <c r="A6" s="1">
        <v>26901</v>
      </c>
      <c r="C6" s="46" t="s">
        <v>293</v>
      </c>
    </row>
    <row r="7" spans="1:3" x14ac:dyDescent="0.2">
      <c r="A7" s="1">
        <v>24787</v>
      </c>
      <c r="C7" s="1" t="s">
        <v>294</v>
      </c>
    </row>
    <row r="8" spans="1:3" x14ac:dyDescent="0.2">
      <c r="A8" s="1">
        <v>25431</v>
      </c>
      <c r="C8" s="1" t="s">
        <v>295</v>
      </c>
    </row>
    <row r="9" spans="1:3" x14ac:dyDescent="0.2">
      <c r="A9" s="1">
        <v>24976</v>
      </c>
      <c r="C9" s="1" t="s">
        <v>296</v>
      </c>
    </row>
    <row r="10" spans="1:3" x14ac:dyDescent="0.2">
      <c r="A10" s="1">
        <v>25635</v>
      </c>
      <c r="C10" s="1" t="s">
        <v>297</v>
      </c>
    </row>
    <row r="11" spans="1:3" x14ac:dyDescent="0.2">
      <c r="A11" s="1">
        <v>24530</v>
      </c>
      <c r="C11" s="1" t="s">
        <v>298</v>
      </c>
    </row>
    <row r="12" spans="1:3" x14ac:dyDescent="0.2">
      <c r="A12" s="1">
        <v>24566</v>
      </c>
      <c r="C12" s="1" t="s">
        <v>299</v>
      </c>
    </row>
    <row r="15" spans="1:3" x14ac:dyDescent="0.2">
      <c r="A15" s="1" t="s">
        <v>325</v>
      </c>
    </row>
    <row r="16" spans="1:3" x14ac:dyDescent="0.2">
      <c r="A16" s="1" t="s">
        <v>326</v>
      </c>
    </row>
    <row r="17" spans="1:14" x14ac:dyDescent="0.2">
      <c r="A17" s="1" t="s">
        <v>327</v>
      </c>
    </row>
    <row r="18" spans="1:14" x14ac:dyDescent="0.2">
      <c r="A18" s="37" t="s">
        <v>328</v>
      </c>
      <c r="C18" s="9"/>
      <c r="E18" s="9"/>
    </row>
    <row r="19" spans="1:14" x14ac:dyDescent="0.2">
      <c r="A19" s="37"/>
      <c r="C19" s="9"/>
      <c r="E19" s="9"/>
    </row>
    <row r="20" spans="1:14" x14ac:dyDescent="0.2">
      <c r="A20" s="37" t="s">
        <v>329</v>
      </c>
      <c r="C20" s="9"/>
      <c r="E20" s="9"/>
    </row>
    <row r="21" spans="1:14" x14ac:dyDescent="0.2">
      <c r="A21" s="37"/>
      <c r="C21" s="9"/>
      <c r="E21" s="9"/>
    </row>
    <row r="22" spans="1:14" x14ac:dyDescent="0.2">
      <c r="A22" s="37" t="s">
        <v>330</v>
      </c>
      <c r="C22" s="9"/>
      <c r="E22" s="9"/>
    </row>
    <row r="23" spans="1:14" x14ac:dyDescent="0.2">
      <c r="A23" s="37"/>
      <c r="C23" s="9"/>
      <c r="E23" s="9"/>
    </row>
    <row r="24" spans="1:14" x14ac:dyDescent="0.2">
      <c r="A24" s="37" t="s">
        <v>331</v>
      </c>
      <c r="C24" s="9"/>
      <c r="E24" s="9"/>
    </row>
    <row r="25" spans="1:14" x14ac:dyDescent="0.2">
      <c r="A25" s="37" t="s">
        <v>332</v>
      </c>
      <c r="C25" s="9"/>
      <c r="E25" s="9"/>
    </row>
    <row r="26" spans="1:14" x14ac:dyDescent="0.2">
      <c r="A26" s="37"/>
      <c r="C26" s="9"/>
      <c r="E26" s="9"/>
      <c r="M26" s="9" t="s">
        <v>333</v>
      </c>
      <c r="N26" s="1" t="s">
        <v>334</v>
      </c>
    </row>
    <row r="27" spans="1:14" x14ac:dyDescent="0.2">
      <c r="A27" s="37"/>
      <c r="C27" s="9" t="s">
        <v>333</v>
      </c>
      <c r="D27" s="1" t="s">
        <v>334</v>
      </c>
      <c r="E27" s="9"/>
      <c r="M27" s="9"/>
    </row>
    <row r="28" spans="1:14" x14ac:dyDescent="0.2">
      <c r="A28" s="37"/>
      <c r="C28" s="9"/>
      <c r="E28" s="9"/>
      <c r="M28" s="60">
        <v>36070</v>
      </c>
      <c r="N28" s="61">
        <v>22766</v>
      </c>
    </row>
    <row r="29" spans="1:14" x14ac:dyDescent="0.2">
      <c r="A29" s="37"/>
      <c r="C29" s="60">
        <v>36070</v>
      </c>
      <c r="D29" s="61">
        <v>23000</v>
      </c>
      <c r="E29" s="9"/>
      <c r="M29" s="60">
        <v>36071</v>
      </c>
      <c r="N29" s="61">
        <v>258</v>
      </c>
    </row>
    <row r="30" spans="1:14" x14ac:dyDescent="0.2">
      <c r="A30" s="37"/>
      <c r="C30" s="60">
        <v>36079</v>
      </c>
      <c r="D30" s="61">
        <v>60000</v>
      </c>
      <c r="E30" s="9"/>
      <c r="M30" s="60">
        <v>36079</v>
      </c>
      <c r="N30" s="61">
        <v>66349</v>
      </c>
    </row>
    <row r="31" spans="1:14" x14ac:dyDescent="0.2">
      <c r="A31" s="37"/>
      <c r="C31" s="60">
        <v>36080</v>
      </c>
      <c r="D31" s="61">
        <v>72000</v>
      </c>
      <c r="E31" s="9"/>
      <c r="M31" s="60">
        <v>36080</v>
      </c>
      <c r="N31" s="61">
        <v>80468</v>
      </c>
    </row>
    <row r="32" spans="1:14" x14ac:dyDescent="0.2">
      <c r="A32" s="37"/>
      <c r="C32" s="60">
        <v>36081</v>
      </c>
      <c r="D32" s="61">
        <v>27000</v>
      </c>
      <c r="E32" s="9"/>
      <c r="M32" s="60">
        <v>36081</v>
      </c>
      <c r="N32" s="61">
        <v>27726</v>
      </c>
    </row>
    <row r="33" spans="1:14" x14ac:dyDescent="0.2">
      <c r="A33" s="37"/>
      <c r="C33" s="60">
        <v>36082</v>
      </c>
      <c r="D33" s="61">
        <v>53000</v>
      </c>
      <c r="E33" s="9"/>
      <c r="M33" s="60">
        <v>36082</v>
      </c>
      <c r="N33" s="61">
        <v>52469</v>
      </c>
    </row>
    <row r="34" spans="1:14" x14ac:dyDescent="0.2">
      <c r="A34" s="37"/>
      <c r="C34" s="60">
        <v>36085</v>
      </c>
      <c r="D34" s="61">
        <v>51000</v>
      </c>
      <c r="E34" s="9"/>
      <c r="M34" s="60">
        <v>36083</v>
      </c>
      <c r="N34" s="61">
        <v>1497</v>
      </c>
    </row>
    <row r="35" spans="1:14" x14ac:dyDescent="0.2">
      <c r="A35" s="37"/>
      <c r="C35" s="60">
        <v>36086</v>
      </c>
      <c r="D35" s="61">
        <v>51000</v>
      </c>
      <c r="E35" s="9"/>
      <c r="M35" s="60">
        <v>36084</v>
      </c>
      <c r="N35" s="61">
        <f>2083+75</f>
        <v>2158</v>
      </c>
    </row>
    <row r="36" spans="1:14" x14ac:dyDescent="0.2">
      <c r="A36" s="37"/>
      <c r="C36" s="60">
        <v>36087</v>
      </c>
      <c r="D36" s="61">
        <v>63730</v>
      </c>
      <c r="M36" s="60">
        <v>36085</v>
      </c>
      <c r="N36" s="61">
        <f>9365+175+9+9759+16833+13341+1513</f>
        <v>50995</v>
      </c>
    </row>
    <row r="37" spans="1:14" x14ac:dyDescent="0.2">
      <c r="A37" s="37"/>
      <c r="C37" s="60">
        <v>36092</v>
      </c>
      <c r="D37" s="61">
        <v>25000</v>
      </c>
      <c r="M37" s="60">
        <v>36086</v>
      </c>
      <c r="N37" s="61">
        <f>9365+175+9+9759+16833+13341+1513</f>
        <v>50995</v>
      </c>
    </row>
    <row r="38" spans="1:14" x14ac:dyDescent="0.2">
      <c r="A38" s="37"/>
      <c r="C38" s="60">
        <v>36093</v>
      </c>
      <c r="D38" s="61">
        <v>25000</v>
      </c>
      <c r="M38" s="60">
        <v>36087</v>
      </c>
      <c r="N38" s="61">
        <f>28107+9305+175+8+13256+9696+1502+1219</f>
        <v>63268</v>
      </c>
    </row>
    <row r="39" spans="1:14" ht="13.2" x14ac:dyDescent="0.35">
      <c r="A39" s="37"/>
      <c r="C39" s="60">
        <v>36094</v>
      </c>
      <c r="D39" s="62">
        <v>25000</v>
      </c>
      <c r="M39" s="60">
        <v>36088</v>
      </c>
      <c r="N39" s="61">
        <f>2088+175</f>
        <v>2263</v>
      </c>
    </row>
    <row r="40" spans="1:14" ht="12" thickBot="1" x14ac:dyDescent="0.25">
      <c r="A40" s="37"/>
      <c r="C40" s="60" t="s">
        <v>47</v>
      </c>
      <c r="D40" s="61">
        <f>SUM(D23:D39)</f>
        <v>475730</v>
      </c>
      <c r="M40" s="60">
        <v>36089</v>
      </c>
      <c r="N40" s="61">
        <v>175</v>
      </c>
    </row>
    <row r="41" spans="1:14" x14ac:dyDescent="0.2">
      <c r="A41" s="37"/>
      <c r="C41" s="60" t="s">
        <v>47</v>
      </c>
      <c r="D41" s="61" t="s">
        <v>47</v>
      </c>
      <c r="F41" s="47"/>
      <c r="M41" s="60">
        <v>36092</v>
      </c>
      <c r="N41" s="61">
        <f>15001+10001</f>
        <v>25002</v>
      </c>
    </row>
    <row r="42" spans="1:14" x14ac:dyDescent="0.2">
      <c r="A42" s="37"/>
      <c r="C42" s="60" t="s">
        <v>47</v>
      </c>
      <c r="D42" s="61" t="s">
        <v>47</v>
      </c>
      <c r="M42" s="60">
        <v>36093</v>
      </c>
      <c r="N42" s="61">
        <f>15001+10001</f>
        <v>25002</v>
      </c>
    </row>
    <row r="43" spans="1:14" x14ac:dyDescent="0.2">
      <c r="A43" s="37"/>
      <c r="C43" s="60" t="s">
        <v>47</v>
      </c>
      <c r="D43" s="61" t="s">
        <v>47</v>
      </c>
      <c r="M43" s="60">
        <v>36094</v>
      </c>
      <c r="N43" s="61">
        <f>15001+10001</f>
        <v>25002</v>
      </c>
    </row>
    <row r="44" spans="1:14" ht="13.2" x14ac:dyDescent="0.35">
      <c r="A44" s="37"/>
      <c r="C44" s="60" t="s">
        <v>48</v>
      </c>
      <c r="D44" s="61" t="s">
        <v>47</v>
      </c>
      <c r="M44" s="60">
        <v>36095</v>
      </c>
      <c r="N44" s="62">
        <v>1908</v>
      </c>
    </row>
    <row r="45" spans="1:14" x14ac:dyDescent="0.2">
      <c r="A45" s="37"/>
      <c r="C45" s="60" t="s">
        <v>47</v>
      </c>
      <c r="D45" s="63" t="s">
        <v>47</v>
      </c>
      <c r="M45" s="60" t="s">
        <v>47</v>
      </c>
      <c r="N45" s="61">
        <f>SUM(N28:N44)</f>
        <v>498301</v>
      </c>
    </row>
    <row r="46" spans="1:14" x14ac:dyDescent="0.2">
      <c r="A46" s="37"/>
      <c r="C46" s="60" t="s">
        <v>47</v>
      </c>
      <c r="D46" s="61" t="s">
        <v>47</v>
      </c>
      <c r="M46" s="60" t="s">
        <v>47</v>
      </c>
    </row>
    <row r="47" spans="1:14" x14ac:dyDescent="0.2">
      <c r="A47" s="37"/>
      <c r="C47" s="60" t="s">
        <v>47</v>
      </c>
    </row>
    <row r="48" spans="1:14" x14ac:dyDescent="0.2">
      <c r="A48" s="37"/>
      <c r="C48" s="60" t="s">
        <v>47</v>
      </c>
    </row>
    <row r="49" spans="1:3" x14ac:dyDescent="0.2">
      <c r="A49" s="37" t="s">
        <v>335</v>
      </c>
      <c r="C49" s="60"/>
    </row>
    <row r="50" spans="1:3" x14ac:dyDescent="0.2">
      <c r="A50" s="37" t="s">
        <v>47</v>
      </c>
      <c r="C50" s="60" t="s">
        <v>47</v>
      </c>
    </row>
    <row r="51" spans="1:3" x14ac:dyDescent="0.2">
      <c r="A51" s="37" t="s">
        <v>47</v>
      </c>
      <c r="C51" s="60" t="s">
        <v>47</v>
      </c>
    </row>
    <row r="52" spans="1:3" x14ac:dyDescent="0.2">
      <c r="A52" s="37" t="s">
        <v>47</v>
      </c>
      <c r="C52" s="60" t="s">
        <v>47</v>
      </c>
    </row>
    <row r="53" spans="1:3" x14ac:dyDescent="0.2">
      <c r="A53" s="37" t="s">
        <v>47</v>
      </c>
      <c r="C53" s="60" t="s">
        <v>47</v>
      </c>
    </row>
    <row r="54" spans="1:3" x14ac:dyDescent="0.2">
      <c r="A54" s="37" t="s">
        <v>47</v>
      </c>
      <c r="C54" s="60" t="s">
        <v>47</v>
      </c>
    </row>
    <row r="55" spans="1:3" x14ac:dyDescent="0.2">
      <c r="A55" s="37" t="s">
        <v>47</v>
      </c>
      <c r="C55" s="60" t="s">
        <v>47</v>
      </c>
    </row>
    <row r="56" spans="1:3" x14ac:dyDescent="0.2">
      <c r="A56" s="37" t="s">
        <v>47</v>
      </c>
      <c r="C56" s="60" t="s">
        <v>48</v>
      </c>
    </row>
    <row r="57" spans="1:3" x14ac:dyDescent="0.2">
      <c r="A57" s="37" t="s">
        <v>47</v>
      </c>
      <c r="C57" s="60" t="s">
        <v>47</v>
      </c>
    </row>
    <row r="58" spans="1:3" x14ac:dyDescent="0.2">
      <c r="A58" s="37" t="s">
        <v>47</v>
      </c>
      <c r="C58" s="60" t="s">
        <v>47</v>
      </c>
    </row>
    <row r="59" spans="1:3" x14ac:dyDescent="0.2">
      <c r="A59" s="37" t="s">
        <v>47</v>
      </c>
      <c r="C59" s="60" t="s">
        <v>47</v>
      </c>
    </row>
    <row r="60" spans="1:3" x14ac:dyDescent="0.2">
      <c r="A60" s="37" t="s">
        <v>47</v>
      </c>
      <c r="C60" s="60" t="s">
        <v>47</v>
      </c>
    </row>
    <row r="61" spans="1:3" x14ac:dyDescent="0.2">
      <c r="A61" s="37" t="s">
        <v>47</v>
      </c>
      <c r="C61" s="60" t="s">
        <v>47</v>
      </c>
    </row>
    <row r="62" spans="1:3" x14ac:dyDescent="0.2">
      <c r="A62" s="37" t="s">
        <v>47</v>
      </c>
      <c r="C62" s="60" t="s">
        <v>48</v>
      </c>
    </row>
    <row r="63" spans="1:3" x14ac:dyDescent="0.2">
      <c r="A63" s="37" t="s">
        <v>47</v>
      </c>
      <c r="C63" s="60" t="s">
        <v>47</v>
      </c>
    </row>
    <row r="64" spans="1:3" x14ac:dyDescent="0.2">
      <c r="A64" s="37" t="s">
        <v>47</v>
      </c>
      <c r="C64" s="60" t="s">
        <v>47</v>
      </c>
    </row>
    <row r="65" spans="1:3" x14ac:dyDescent="0.2">
      <c r="A65" s="37" t="s">
        <v>47</v>
      </c>
      <c r="C65" s="60" t="s">
        <v>47</v>
      </c>
    </row>
    <row r="66" spans="1:3" x14ac:dyDescent="0.2">
      <c r="A66" s="37" t="s">
        <v>47</v>
      </c>
      <c r="C66" s="60" t="s">
        <v>47</v>
      </c>
    </row>
    <row r="67" spans="1:3" x14ac:dyDescent="0.2">
      <c r="A67" s="37" t="s">
        <v>47</v>
      </c>
      <c r="C67" s="60" t="s">
        <v>48</v>
      </c>
    </row>
    <row r="68" spans="1:3" x14ac:dyDescent="0.2">
      <c r="A68" s="37" t="s">
        <v>47</v>
      </c>
      <c r="C68" s="60" t="s">
        <v>47</v>
      </c>
    </row>
    <row r="69" spans="1:3" x14ac:dyDescent="0.2">
      <c r="A69" s="37" t="s">
        <v>47</v>
      </c>
    </row>
    <row r="70" spans="1:3" x14ac:dyDescent="0.2">
      <c r="A70" s="37" t="s">
        <v>47</v>
      </c>
    </row>
    <row r="71" spans="1:3" x14ac:dyDescent="0.2">
      <c r="A71" s="37" t="s">
        <v>47</v>
      </c>
    </row>
    <row r="72" spans="1:3" x14ac:dyDescent="0.2">
      <c r="A72" s="37" t="s">
        <v>47</v>
      </c>
    </row>
    <row r="73" spans="1:3" x14ac:dyDescent="0.2">
      <c r="A73" s="37" t="s">
        <v>47</v>
      </c>
    </row>
    <row r="74" spans="1:3" x14ac:dyDescent="0.2">
      <c r="A74" s="37" t="s">
        <v>47</v>
      </c>
    </row>
    <row r="75" spans="1:3" x14ac:dyDescent="0.2">
      <c r="A75" s="37" t="s">
        <v>47</v>
      </c>
    </row>
    <row r="76" spans="1:3" x14ac:dyDescent="0.2">
      <c r="A76" s="37" t="s">
        <v>47</v>
      </c>
    </row>
    <row r="77" spans="1:3" x14ac:dyDescent="0.2">
      <c r="A77" s="37" t="s">
        <v>47</v>
      </c>
    </row>
    <row r="78" spans="1:3" x14ac:dyDescent="0.2">
      <c r="A78" s="37" t="s">
        <v>47</v>
      </c>
    </row>
    <row r="79" spans="1:3" x14ac:dyDescent="0.2">
      <c r="A79" s="37" t="s">
        <v>47</v>
      </c>
    </row>
    <row r="80" spans="1:3" x14ac:dyDescent="0.2">
      <c r="A80" s="37" t="s">
        <v>47</v>
      </c>
    </row>
    <row r="81" spans="1:1" x14ac:dyDescent="0.2">
      <c r="A81" s="37" t="s">
        <v>47</v>
      </c>
    </row>
    <row r="82" spans="1:1" x14ac:dyDescent="0.2">
      <c r="A82" s="37" t="s">
        <v>47</v>
      </c>
    </row>
    <row r="83" spans="1:1" x14ac:dyDescent="0.2">
      <c r="A83" s="37" t="s">
        <v>47</v>
      </c>
    </row>
    <row r="84" spans="1:1" x14ac:dyDescent="0.2">
      <c r="A84" s="37" t="s">
        <v>47</v>
      </c>
    </row>
    <row r="85" spans="1:1" x14ac:dyDescent="0.2">
      <c r="A85" s="37" t="s">
        <v>47</v>
      </c>
    </row>
    <row r="86" spans="1:1" x14ac:dyDescent="0.2">
      <c r="A86" s="37" t="s">
        <v>47</v>
      </c>
    </row>
    <row r="87" spans="1:1" x14ac:dyDescent="0.2">
      <c r="A87" s="37" t="s">
        <v>47</v>
      </c>
    </row>
    <row r="88" spans="1:1" x14ac:dyDescent="0.2">
      <c r="A88" s="37" t="s">
        <v>47</v>
      </c>
    </row>
    <row r="89" spans="1:1" x14ac:dyDescent="0.2">
      <c r="A89" s="37" t="s">
        <v>47</v>
      </c>
    </row>
    <row r="90" spans="1:1" x14ac:dyDescent="0.2">
      <c r="A90" s="37" t="s">
        <v>47</v>
      </c>
    </row>
    <row r="91" spans="1:1" x14ac:dyDescent="0.2">
      <c r="A91" s="37" t="s">
        <v>47</v>
      </c>
    </row>
    <row r="92" spans="1:1" x14ac:dyDescent="0.2">
      <c r="A92" s="37" t="s">
        <v>47</v>
      </c>
    </row>
    <row r="93" spans="1:1" x14ac:dyDescent="0.2">
      <c r="A93" s="37" t="s">
        <v>47</v>
      </c>
    </row>
    <row r="94" spans="1:1" x14ac:dyDescent="0.2">
      <c r="A94" s="37" t="s">
        <v>47</v>
      </c>
    </row>
    <row r="95" spans="1:1" x14ac:dyDescent="0.2">
      <c r="A95" s="37" t="s">
        <v>47</v>
      </c>
    </row>
    <row r="96" spans="1:1" x14ac:dyDescent="0.2">
      <c r="A96" s="37" t="s">
        <v>47</v>
      </c>
    </row>
    <row r="97" spans="1:1" x14ac:dyDescent="0.2">
      <c r="A97" s="37" t="s">
        <v>47</v>
      </c>
    </row>
    <row r="98" spans="1:1" x14ac:dyDescent="0.2">
      <c r="A98" s="37" t="s">
        <v>47</v>
      </c>
    </row>
    <row r="99" spans="1:1" x14ac:dyDescent="0.2">
      <c r="A99" s="37" t="s">
        <v>47</v>
      </c>
    </row>
    <row r="100" spans="1:1" x14ac:dyDescent="0.2">
      <c r="A100" s="37" t="s">
        <v>47</v>
      </c>
    </row>
    <row r="101" spans="1:1" x14ac:dyDescent="0.2">
      <c r="A101" s="37" t="s">
        <v>47</v>
      </c>
    </row>
    <row r="102" spans="1:1" x14ac:dyDescent="0.2">
      <c r="A102" s="37" t="s">
        <v>47</v>
      </c>
    </row>
    <row r="103" spans="1:1" x14ac:dyDescent="0.2">
      <c r="A103" s="37" t="s">
        <v>47</v>
      </c>
    </row>
    <row r="104" spans="1:1" x14ac:dyDescent="0.2">
      <c r="A104" s="37" t="s">
        <v>47</v>
      </c>
    </row>
    <row r="105" spans="1:1" x14ac:dyDescent="0.2">
      <c r="A105" s="37" t="s">
        <v>47</v>
      </c>
    </row>
    <row r="106" spans="1:1" x14ac:dyDescent="0.2">
      <c r="A106" s="37" t="s">
        <v>47</v>
      </c>
    </row>
    <row r="107" spans="1:1" x14ac:dyDescent="0.2">
      <c r="A107" s="37" t="s">
        <v>47</v>
      </c>
    </row>
    <row r="108" spans="1:1" x14ac:dyDescent="0.2">
      <c r="A108" s="37" t="s">
        <v>47</v>
      </c>
    </row>
    <row r="109" spans="1:1" x14ac:dyDescent="0.2">
      <c r="A109" s="37" t="s">
        <v>47</v>
      </c>
    </row>
    <row r="110" spans="1:1" x14ac:dyDescent="0.2">
      <c r="A110" s="37" t="s">
        <v>47</v>
      </c>
    </row>
    <row r="111" spans="1:1" x14ac:dyDescent="0.2">
      <c r="A111" s="37" t="s">
        <v>47</v>
      </c>
    </row>
    <row r="112" spans="1:1" x14ac:dyDescent="0.2">
      <c r="A112" s="37" t="s">
        <v>47</v>
      </c>
    </row>
    <row r="113" spans="1:1" x14ac:dyDescent="0.2">
      <c r="A113" s="37" t="s">
        <v>47</v>
      </c>
    </row>
    <row r="114" spans="1:1" x14ac:dyDescent="0.2">
      <c r="A114" s="37" t="s">
        <v>47</v>
      </c>
    </row>
    <row r="115" spans="1:1" x14ac:dyDescent="0.2">
      <c r="A115" s="37" t="s">
        <v>48</v>
      </c>
    </row>
    <row r="116" spans="1:1" x14ac:dyDescent="0.2">
      <c r="A116" s="37" t="s">
        <v>47</v>
      </c>
    </row>
    <row r="117" spans="1:1" x14ac:dyDescent="0.2">
      <c r="A117" s="37" t="s">
        <v>48</v>
      </c>
    </row>
    <row r="118" spans="1:1" x14ac:dyDescent="0.2">
      <c r="A118" s="37" t="s">
        <v>47</v>
      </c>
    </row>
    <row r="119" spans="1:1" x14ac:dyDescent="0.2">
      <c r="A119" s="37" t="s">
        <v>47</v>
      </c>
    </row>
    <row r="120" spans="1:1" x14ac:dyDescent="0.2">
      <c r="A120" s="37" t="s">
        <v>47</v>
      </c>
    </row>
    <row r="121" spans="1:1" x14ac:dyDescent="0.2">
      <c r="A121" s="37" t="s">
        <v>47</v>
      </c>
    </row>
    <row r="122" spans="1:1" x14ac:dyDescent="0.2">
      <c r="A122" s="37" t="s">
        <v>47</v>
      </c>
    </row>
    <row r="123" spans="1:1" x14ac:dyDescent="0.2">
      <c r="A123" s="37" t="s">
        <v>47</v>
      </c>
    </row>
    <row r="124" spans="1:1" x14ac:dyDescent="0.2">
      <c r="A124" s="37" t="s">
        <v>47</v>
      </c>
    </row>
    <row r="125" spans="1:1" x14ac:dyDescent="0.2">
      <c r="A125" s="37" t="s">
        <v>47</v>
      </c>
    </row>
    <row r="126" spans="1:1" x14ac:dyDescent="0.2">
      <c r="A126" s="37" t="s">
        <v>300</v>
      </c>
    </row>
    <row r="127" spans="1:1" x14ac:dyDescent="0.2">
      <c r="A127" s="37" t="s">
        <v>47</v>
      </c>
    </row>
    <row r="128" spans="1:1" x14ac:dyDescent="0.2">
      <c r="A128" s="37" t="s">
        <v>47</v>
      </c>
    </row>
    <row r="129" spans="1:1" x14ac:dyDescent="0.2">
      <c r="A129" s="37" t="s">
        <v>47</v>
      </c>
    </row>
    <row r="130" spans="1:1" x14ac:dyDescent="0.2">
      <c r="A130" s="37" t="s">
        <v>47</v>
      </c>
    </row>
    <row r="131" spans="1:1" x14ac:dyDescent="0.2">
      <c r="A131" s="37" t="s">
        <v>47</v>
      </c>
    </row>
    <row r="132" spans="1:1" x14ac:dyDescent="0.2">
      <c r="A132" s="37" t="s">
        <v>47</v>
      </c>
    </row>
    <row r="133" spans="1:1" x14ac:dyDescent="0.2">
      <c r="A133" s="37" t="s">
        <v>47</v>
      </c>
    </row>
    <row r="134" spans="1:1" x14ac:dyDescent="0.2">
      <c r="A134" s="37" t="s">
        <v>47</v>
      </c>
    </row>
    <row r="135" spans="1:1" x14ac:dyDescent="0.2">
      <c r="A135" s="37" t="s">
        <v>47</v>
      </c>
    </row>
    <row r="136" spans="1:1" x14ac:dyDescent="0.2">
      <c r="A136" s="37" t="s">
        <v>47</v>
      </c>
    </row>
    <row r="137" spans="1:1" x14ac:dyDescent="0.2">
      <c r="A137" s="37" t="s">
        <v>47</v>
      </c>
    </row>
    <row r="138" spans="1:1" x14ac:dyDescent="0.2">
      <c r="A138" s="37" t="s">
        <v>47</v>
      </c>
    </row>
    <row r="139" spans="1:1" x14ac:dyDescent="0.2">
      <c r="A139" s="37" t="s">
        <v>47</v>
      </c>
    </row>
    <row r="140" spans="1:1" x14ac:dyDescent="0.2">
      <c r="A140" s="37" t="s">
        <v>47</v>
      </c>
    </row>
    <row r="141" spans="1:1" x14ac:dyDescent="0.2">
      <c r="A141" s="37" t="s">
        <v>47</v>
      </c>
    </row>
    <row r="142" spans="1:1" x14ac:dyDescent="0.2">
      <c r="A142" s="37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hidden="1" customWidth="1"/>
    <col min="10" max="13" width="0" style="36" hidden="1" customWidth="1"/>
    <col min="14" max="14" width="0" style="372" hidden="1" customWidth="1"/>
    <col min="15" max="15" width="0" style="36" hidden="1" customWidth="1"/>
    <col min="16" max="16" width="12.33203125" style="149" customWidth="1"/>
    <col min="17" max="17" width="9.109375" style="36"/>
    <col min="18" max="18" width="13.6640625" style="36" customWidth="1"/>
    <col min="19" max="20" width="9.109375" style="36"/>
    <col min="21" max="21" width="13.5546875" style="149" customWidth="1"/>
    <col min="22" max="22" width="42.33203125" style="36" customWidth="1"/>
    <col min="23" max="24" width="9.109375" style="149"/>
    <col min="25" max="25" width="12.44140625" style="36" customWidth="1"/>
    <col min="26" max="16384" width="9.109375" style="36"/>
  </cols>
  <sheetData>
    <row r="1" spans="1:24" x14ac:dyDescent="0.25">
      <c r="A1" s="160" t="s">
        <v>801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40" t="s">
        <v>736</v>
      </c>
      <c r="K1" s="20"/>
      <c r="L1" s="20"/>
      <c r="M1" s="20"/>
      <c r="N1" s="341"/>
      <c r="O1" s="20"/>
      <c r="P1" s="148"/>
      <c r="Q1" s="17"/>
      <c r="R1" s="50"/>
      <c r="S1" s="50"/>
      <c r="T1" s="50"/>
      <c r="U1" s="342"/>
      <c r="V1" s="50"/>
      <c r="W1" s="147"/>
      <c r="X1" s="147"/>
    </row>
    <row r="2" spans="1:24" x14ac:dyDescent="0.25">
      <c r="A2" s="190" t="s">
        <v>634</v>
      </c>
      <c r="B2" s="190"/>
      <c r="C2" s="190"/>
      <c r="D2" s="19"/>
      <c r="E2" s="19"/>
      <c r="F2" s="16"/>
      <c r="G2" s="16"/>
      <c r="H2" s="18"/>
      <c r="I2" s="23"/>
      <c r="J2" s="340" t="s">
        <v>737</v>
      </c>
      <c r="K2" s="20"/>
      <c r="L2" s="20"/>
      <c r="M2" s="20"/>
      <c r="N2" s="341"/>
      <c r="O2" s="20"/>
      <c r="P2" s="148"/>
      <c r="Q2" s="17"/>
      <c r="R2" s="50"/>
      <c r="S2" s="50"/>
      <c r="T2" s="50"/>
      <c r="U2" s="342"/>
      <c r="V2" s="50"/>
      <c r="W2" s="147"/>
      <c r="X2" s="147"/>
    </row>
    <row r="3" spans="1:24" x14ac:dyDescent="0.25">
      <c r="A3" s="196" t="s">
        <v>635</v>
      </c>
      <c r="B3" s="196"/>
      <c r="C3" s="19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341"/>
      <c r="O3" s="53" t="s">
        <v>47</v>
      </c>
      <c r="P3" s="148"/>
      <c r="Q3" s="17"/>
      <c r="R3" s="50"/>
      <c r="S3" s="50"/>
      <c r="T3" s="50"/>
      <c r="U3" s="342"/>
      <c r="V3" s="50"/>
      <c r="W3" s="147"/>
      <c r="X3" s="147"/>
    </row>
    <row r="4" spans="1:24" x14ac:dyDescent="0.25">
      <c r="A4" s="197" t="s">
        <v>738</v>
      </c>
      <c r="B4" s="198"/>
      <c r="C4" s="198"/>
      <c r="D4" s="19"/>
      <c r="E4" s="19"/>
      <c r="F4" s="54"/>
      <c r="G4" s="16"/>
      <c r="H4" s="54"/>
      <c r="I4" s="24"/>
      <c r="J4" s="54"/>
      <c r="K4" s="20"/>
      <c r="L4" s="54"/>
      <c r="M4" s="17"/>
      <c r="N4" s="341"/>
      <c r="O4" s="17"/>
      <c r="P4" s="148"/>
      <c r="Q4" s="17"/>
      <c r="R4" s="50"/>
      <c r="S4" s="55"/>
      <c r="T4" s="55"/>
      <c r="U4" s="343"/>
      <c r="V4" s="50"/>
      <c r="W4" s="147"/>
      <c r="X4" s="147"/>
    </row>
    <row r="5" spans="1:24" x14ac:dyDescent="0.25">
      <c r="A5" s="16" t="s">
        <v>739</v>
      </c>
      <c r="B5" s="18"/>
      <c r="C5" s="344" t="s">
        <v>740</v>
      </c>
      <c r="D5" s="19"/>
      <c r="E5" s="19"/>
      <c r="F5" s="54"/>
      <c r="G5" s="16"/>
      <c r="H5" s="54"/>
      <c r="I5" s="24"/>
      <c r="J5" s="54"/>
      <c r="K5" s="20"/>
      <c r="L5" s="54"/>
      <c r="M5" s="17"/>
      <c r="N5" s="341"/>
      <c r="O5" s="17"/>
      <c r="P5" s="148"/>
      <c r="Q5" s="17"/>
      <c r="R5" s="50"/>
      <c r="S5" s="55"/>
      <c r="T5" s="55"/>
      <c r="U5" s="343"/>
      <c r="V5" s="50"/>
      <c r="W5" s="147"/>
      <c r="X5" s="147"/>
    </row>
    <row r="6" spans="1:24" x14ac:dyDescent="0.25">
      <c r="A6" s="16"/>
      <c r="B6" s="18"/>
      <c r="C6" s="344" t="s">
        <v>741</v>
      </c>
      <c r="D6" s="19"/>
      <c r="E6" s="19"/>
      <c r="F6" s="54"/>
      <c r="G6" s="16"/>
      <c r="H6" s="54"/>
      <c r="I6" s="24"/>
      <c r="J6" s="54"/>
      <c r="K6" s="20"/>
      <c r="L6" s="54"/>
      <c r="M6" s="17"/>
      <c r="N6" s="341"/>
      <c r="O6" s="17"/>
      <c r="P6" s="148"/>
      <c r="Q6" s="17"/>
      <c r="R6" s="50"/>
      <c r="S6" s="55"/>
      <c r="T6" s="55"/>
      <c r="U6" s="343"/>
      <c r="V6" s="50"/>
      <c r="W6" s="147"/>
      <c r="X6" s="147"/>
    </row>
    <row r="7" spans="1:24" x14ac:dyDescent="0.25">
      <c r="A7" s="16"/>
      <c r="B7" s="18"/>
      <c r="C7" s="344" t="s">
        <v>742</v>
      </c>
      <c r="D7" s="19"/>
      <c r="E7" s="19"/>
      <c r="F7" s="54"/>
      <c r="G7" s="16"/>
      <c r="H7" s="54"/>
      <c r="I7" s="24"/>
      <c r="J7" s="54"/>
      <c r="K7" s="20"/>
      <c r="L7" s="54"/>
      <c r="M7" s="17"/>
      <c r="N7" s="341"/>
      <c r="O7" s="17"/>
      <c r="P7" s="148"/>
      <c r="Q7" s="17"/>
      <c r="R7" s="50"/>
      <c r="S7" s="55"/>
      <c r="T7" s="55"/>
      <c r="U7" s="343"/>
      <c r="V7" s="50"/>
      <c r="W7" s="147"/>
      <c r="X7" s="147"/>
    </row>
    <row r="8" spans="1:24" x14ac:dyDescent="0.25">
      <c r="A8" s="16"/>
      <c r="B8" s="18"/>
      <c r="C8" s="344"/>
      <c r="D8" s="19"/>
      <c r="E8" s="19"/>
      <c r="F8" s="54"/>
      <c r="G8" s="16"/>
      <c r="H8" s="54"/>
      <c r="I8" s="24"/>
      <c r="J8" s="54"/>
      <c r="K8" s="20"/>
      <c r="L8" s="54"/>
      <c r="M8" s="17"/>
      <c r="N8" s="341"/>
      <c r="O8" s="17"/>
      <c r="P8" s="148"/>
      <c r="Q8" s="17"/>
      <c r="R8" s="50"/>
      <c r="S8" s="55"/>
      <c r="T8" s="55"/>
      <c r="U8" s="343"/>
      <c r="V8" s="50"/>
      <c r="W8" s="147"/>
      <c r="X8" s="147"/>
    </row>
    <row r="9" spans="1:24" x14ac:dyDescent="0.25">
      <c r="A9" s="16"/>
      <c r="B9" s="18"/>
      <c r="C9" s="344"/>
      <c r="D9" s="19"/>
      <c r="E9" s="19"/>
      <c r="F9" s="54"/>
      <c r="G9" s="16"/>
      <c r="H9" s="54"/>
      <c r="I9" s="24"/>
      <c r="J9" s="54"/>
      <c r="K9" s="20"/>
      <c r="L9" s="54"/>
      <c r="M9" s="17"/>
      <c r="N9" s="341"/>
      <c r="O9" s="17"/>
      <c r="P9" s="148"/>
      <c r="Q9" s="17"/>
      <c r="R9" s="50"/>
      <c r="S9" s="55"/>
      <c r="T9" s="55"/>
      <c r="U9" s="343"/>
      <c r="V9" s="50"/>
      <c r="W9" s="147"/>
      <c r="X9" s="147"/>
    </row>
    <row r="10" spans="1:24" x14ac:dyDescent="0.25">
      <c r="A10" s="16"/>
      <c r="B10" s="18"/>
      <c r="C10" s="18"/>
      <c r="D10" s="19"/>
      <c r="E10" s="19"/>
      <c r="F10" s="54"/>
      <c r="G10" s="16"/>
      <c r="H10" s="54"/>
      <c r="I10" s="24"/>
      <c r="J10" s="54"/>
      <c r="K10" s="20"/>
      <c r="L10" s="54"/>
      <c r="M10" s="17"/>
      <c r="N10" s="341"/>
      <c r="O10" s="17"/>
      <c r="P10" s="148"/>
      <c r="Q10" s="17"/>
      <c r="R10" s="50"/>
      <c r="S10" s="55"/>
      <c r="T10" s="55"/>
      <c r="U10" s="343"/>
      <c r="V10" s="50"/>
      <c r="W10" s="147"/>
      <c r="X10" s="147"/>
    </row>
    <row r="11" spans="1:24" x14ac:dyDescent="0.25">
      <c r="A11" s="345" t="s">
        <v>49</v>
      </c>
      <c r="B11" s="346" t="s">
        <v>50</v>
      </c>
      <c r="C11" s="346" t="s">
        <v>51</v>
      </c>
      <c r="D11" s="347" t="s">
        <v>52</v>
      </c>
      <c r="E11" s="347"/>
      <c r="F11" s="345" t="s">
        <v>53</v>
      </c>
      <c r="G11" s="345" t="s">
        <v>54</v>
      </c>
      <c r="H11" s="346" t="s">
        <v>55</v>
      </c>
      <c r="I11" s="348" t="s">
        <v>56</v>
      </c>
      <c r="J11" s="346" t="s">
        <v>57</v>
      </c>
      <c r="K11" s="346" t="s">
        <v>58</v>
      </c>
      <c r="L11" s="346" t="s">
        <v>59</v>
      </c>
      <c r="M11" s="346" t="s">
        <v>60</v>
      </c>
      <c r="N11" s="349" t="s">
        <v>62</v>
      </c>
      <c r="O11" s="346" t="s">
        <v>63</v>
      </c>
      <c r="P11" s="375" t="s">
        <v>64</v>
      </c>
      <c r="Q11" s="346" t="s">
        <v>65</v>
      </c>
      <c r="R11" s="345" t="s">
        <v>66</v>
      </c>
      <c r="S11" s="351" t="s">
        <v>744</v>
      </c>
      <c r="T11" s="351" t="s">
        <v>745</v>
      </c>
      <c r="U11" s="352" t="s">
        <v>578</v>
      </c>
      <c r="V11" s="351" t="s">
        <v>795</v>
      </c>
      <c r="W11" s="148"/>
      <c r="X11" s="148"/>
    </row>
    <row r="12" spans="1:24" s="80" customFormat="1" x14ac:dyDescent="0.25">
      <c r="A12" s="16" t="s">
        <v>766</v>
      </c>
      <c r="B12" s="18" t="s">
        <v>747</v>
      </c>
      <c r="C12" s="18" t="s">
        <v>696</v>
      </c>
      <c r="D12" s="19">
        <v>36526</v>
      </c>
      <c r="E12" s="19">
        <v>36830</v>
      </c>
      <c r="F12" s="16" t="s">
        <v>748</v>
      </c>
      <c r="G12" s="16" t="s">
        <v>749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41">
        <v>5.9300000000000004E-3</v>
      </c>
      <c r="O12" s="20">
        <f>SUM(I12:M12)</f>
        <v>3.8103225806451611E-2</v>
      </c>
      <c r="P12" s="148">
        <v>42789</v>
      </c>
      <c r="Q12" s="18">
        <v>30000</v>
      </c>
      <c r="R12" s="16" t="s">
        <v>750</v>
      </c>
      <c r="S12" s="25">
        <f>I12*I$1*Q12</f>
        <v>31809</v>
      </c>
      <c r="T12" s="25"/>
      <c r="U12" s="353">
        <v>140447</v>
      </c>
      <c r="V12" s="16"/>
      <c r="W12" s="148"/>
      <c r="X12" s="148"/>
    </row>
    <row r="13" spans="1:24" x14ac:dyDescent="0.25">
      <c r="A13" s="26" t="s">
        <v>47</v>
      </c>
      <c r="B13" s="354" t="s">
        <v>47</v>
      </c>
      <c r="C13" s="27" t="s">
        <v>47</v>
      </c>
      <c r="D13" s="28" t="s">
        <v>47</v>
      </c>
      <c r="E13" s="28"/>
      <c r="F13" s="26" t="s">
        <v>47</v>
      </c>
      <c r="G13" s="355" t="s">
        <v>47</v>
      </c>
      <c r="H13" s="354" t="s">
        <v>47</v>
      </c>
      <c r="I13" s="29"/>
      <c r="J13" s="30"/>
      <c r="K13" s="30"/>
      <c r="L13" s="30"/>
      <c r="M13" s="30"/>
      <c r="N13" s="356"/>
      <c r="O13" s="30"/>
      <c r="P13" s="374" t="s">
        <v>47</v>
      </c>
      <c r="Q13" s="354">
        <f>SUM(Q12:Q12)</f>
        <v>30000</v>
      </c>
      <c r="R13" s="26" t="s">
        <v>47</v>
      </c>
      <c r="S13" s="358">
        <f>SUM(S12:S12)</f>
        <v>31809</v>
      </c>
      <c r="T13" s="358">
        <f>SUM(T12:T12)</f>
        <v>0</v>
      </c>
      <c r="U13" s="359"/>
      <c r="V13" s="33"/>
      <c r="W13" s="148"/>
      <c r="X13" s="148"/>
    </row>
    <row r="14" spans="1:24" x14ac:dyDescent="0.25">
      <c r="A14" s="345" t="s">
        <v>49</v>
      </c>
      <c r="B14" s="346" t="s">
        <v>50</v>
      </c>
      <c r="C14" s="346" t="s">
        <v>51</v>
      </c>
      <c r="D14" s="347" t="s">
        <v>52</v>
      </c>
      <c r="E14" s="347"/>
      <c r="F14" s="345" t="s">
        <v>53</v>
      </c>
      <c r="G14" s="345" t="s">
        <v>54</v>
      </c>
      <c r="H14" s="346" t="s">
        <v>55</v>
      </c>
      <c r="I14" s="348" t="s">
        <v>56</v>
      </c>
      <c r="J14" s="346" t="s">
        <v>57</v>
      </c>
      <c r="K14" s="346" t="s">
        <v>58</v>
      </c>
      <c r="L14" s="346" t="s">
        <v>59</v>
      </c>
      <c r="M14" s="346" t="s">
        <v>60</v>
      </c>
      <c r="N14" s="349" t="s">
        <v>62</v>
      </c>
      <c r="O14" s="346" t="s">
        <v>63</v>
      </c>
      <c r="P14" s="375" t="s">
        <v>64</v>
      </c>
      <c r="Q14" s="346" t="s">
        <v>65</v>
      </c>
      <c r="R14" s="345" t="s">
        <v>66</v>
      </c>
      <c r="S14" s="351" t="s">
        <v>767</v>
      </c>
      <c r="T14" s="351" t="s">
        <v>767</v>
      </c>
      <c r="U14" s="352"/>
      <c r="V14" s="351" t="str">
        <f>+V11</f>
        <v>Questions</v>
      </c>
      <c r="W14" s="148"/>
      <c r="X14" s="148"/>
    </row>
    <row r="15" spans="1:24" s="80" customFormat="1" x14ac:dyDescent="0.25">
      <c r="A15" s="16" t="s">
        <v>766</v>
      </c>
      <c r="B15" s="18" t="s">
        <v>768</v>
      </c>
      <c r="C15" s="18" t="s">
        <v>696</v>
      </c>
      <c r="D15" s="19">
        <v>36526</v>
      </c>
      <c r="E15" s="19" t="s">
        <v>784</v>
      </c>
      <c r="F15" s="16" t="s">
        <v>797</v>
      </c>
      <c r="G15" s="16" t="s">
        <v>797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41">
        <v>0</v>
      </c>
      <c r="O15" s="20">
        <f>SUM(I15:M15)</f>
        <v>0</v>
      </c>
      <c r="P15" s="148">
        <v>36907</v>
      </c>
      <c r="Q15" s="18">
        <v>0</v>
      </c>
      <c r="R15" s="16" t="s">
        <v>800</v>
      </c>
      <c r="S15" s="25">
        <f>I15*I$1*Q15</f>
        <v>0</v>
      </c>
      <c r="T15" s="25"/>
      <c r="U15" s="353">
        <v>148659</v>
      </c>
      <c r="V15" s="25"/>
      <c r="W15" s="148"/>
      <c r="X15" s="148"/>
    </row>
    <row r="16" spans="1:24" s="80" customFormat="1" x14ac:dyDescent="0.25">
      <c r="A16" s="16" t="s">
        <v>799</v>
      </c>
      <c r="B16" s="18" t="s">
        <v>768</v>
      </c>
      <c r="C16" s="18" t="s">
        <v>798</v>
      </c>
      <c r="D16" s="19">
        <v>36526</v>
      </c>
      <c r="E16" s="19" t="s">
        <v>784</v>
      </c>
      <c r="F16" s="16" t="s">
        <v>797</v>
      </c>
      <c r="G16" s="16" t="s">
        <v>797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41">
        <v>0</v>
      </c>
      <c r="O16" s="20">
        <f>SUM(I16:M16)</f>
        <v>0</v>
      </c>
      <c r="P16" s="148">
        <v>48049</v>
      </c>
      <c r="Q16" s="18">
        <v>0</v>
      </c>
      <c r="R16" s="16" t="s">
        <v>800</v>
      </c>
      <c r="S16" s="25">
        <f>I16*I$1*Q16</f>
        <v>0</v>
      </c>
      <c r="T16" s="25"/>
      <c r="U16" s="353">
        <v>149173</v>
      </c>
      <c r="V16" s="25"/>
      <c r="W16" s="148"/>
      <c r="X16" s="148"/>
    </row>
    <row r="17" spans="1:24" s="80" customFormat="1" x14ac:dyDescent="0.25">
      <c r="A17" s="16" t="s">
        <v>766</v>
      </c>
      <c r="B17" s="18" t="s">
        <v>768</v>
      </c>
      <c r="C17" s="18" t="s">
        <v>696</v>
      </c>
      <c r="D17" s="19">
        <v>36526</v>
      </c>
      <c r="E17" s="19" t="s">
        <v>784</v>
      </c>
      <c r="F17" s="16" t="s">
        <v>797</v>
      </c>
      <c r="G17" s="16" t="s">
        <v>797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41">
        <v>0</v>
      </c>
      <c r="O17" s="20">
        <f>SUM(I17:M17)</f>
        <v>0</v>
      </c>
      <c r="P17" s="148">
        <v>39999</v>
      </c>
      <c r="Q17" s="18">
        <v>0</v>
      </c>
      <c r="R17" s="16" t="s">
        <v>796</v>
      </c>
      <c r="S17" s="25">
        <f>I17*I$1*Q17</f>
        <v>0</v>
      </c>
      <c r="T17" s="25"/>
      <c r="U17" s="353">
        <v>149337</v>
      </c>
      <c r="V17" s="25"/>
      <c r="W17" s="148"/>
      <c r="X17" s="148"/>
    </row>
    <row r="18" spans="1:24" s="80" customFormat="1" x14ac:dyDescent="0.25">
      <c r="A18" s="16" t="s">
        <v>799</v>
      </c>
      <c r="B18" s="18" t="s">
        <v>768</v>
      </c>
      <c r="C18" s="18" t="s">
        <v>798</v>
      </c>
      <c r="D18" s="19">
        <v>36526</v>
      </c>
      <c r="E18" s="19" t="s">
        <v>784</v>
      </c>
      <c r="F18" s="16" t="s">
        <v>797</v>
      </c>
      <c r="G18" s="16" t="s">
        <v>797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41">
        <v>0</v>
      </c>
      <c r="O18" s="20">
        <f>SUM(I18:M18)</f>
        <v>0</v>
      </c>
      <c r="P18" s="148">
        <v>48050</v>
      </c>
      <c r="Q18" s="18">
        <v>0</v>
      </c>
      <c r="R18" s="16" t="s">
        <v>796</v>
      </c>
      <c r="S18" s="25">
        <f>I18*I$1*Q18</f>
        <v>0</v>
      </c>
      <c r="T18" s="25"/>
      <c r="U18" s="353">
        <v>149338</v>
      </c>
      <c r="V18" s="25"/>
      <c r="W18" s="148"/>
      <c r="X18" s="148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4"/>
      <c r="L19" s="20"/>
      <c r="M19" s="20"/>
      <c r="N19" s="341"/>
      <c r="O19" s="20"/>
      <c r="P19" s="147"/>
      <c r="Q19" s="55"/>
      <c r="R19" s="159"/>
      <c r="S19" s="376"/>
      <c r="T19" s="367"/>
      <c r="U19" s="368"/>
      <c r="V19" s="367"/>
      <c r="W19" s="147"/>
      <c r="X19" s="147"/>
    </row>
    <row r="20" spans="1:24" x14ac:dyDescent="0.25">
      <c r="A20" s="345" t="s">
        <v>49</v>
      </c>
      <c r="B20" s="346" t="s">
        <v>50</v>
      </c>
      <c r="C20" s="346" t="s">
        <v>51</v>
      </c>
      <c r="D20" s="347" t="s">
        <v>52</v>
      </c>
      <c r="E20" s="347"/>
      <c r="F20" s="345" t="s">
        <v>53</v>
      </c>
      <c r="G20" s="345" t="s">
        <v>54</v>
      </c>
      <c r="H20" s="346" t="s">
        <v>55</v>
      </c>
      <c r="I20" s="348" t="s">
        <v>56</v>
      </c>
      <c r="J20" s="346" t="s">
        <v>57</v>
      </c>
      <c r="K20" s="346" t="s">
        <v>58</v>
      </c>
      <c r="L20" s="346" t="s">
        <v>59</v>
      </c>
      <c r="M20" s="346" t="s">
        <v>60</v>
      </c>
      <c r="N20" s="349" t="s">
        <v>62</v>
      </c>
      <c r="O20" s="346" t="s">
        <v>63</v>
      </c>
      <c r="P20" s="375" t="s">
        <v>64</v>
      </c>
      <c r="Q20" s="346" t="s">
        <v>65</v>
      </c>
      <c r="R20" s="345" t="s">
        <v>66</v>
      </c>
      <c r="S20" s="351" t="s">
        <v>744</v>
      </c>
      <c r="T20" s="351" t="s">
        <v>745</v>
      </c>
      <c r="U20" s="352" t="s">
        <v>578</v>
      </c>
      <c r="V20" s="351" t="s">
        <v>795</v>
      </c>
      <c r="W20" s="148"/>
      <c r="X20" s="148"/>
    </row>
    <row r="21" spans="1:24" s="80" customFormat="1" x14ac:dyDescent="0.25">
      <c r="A21" s="16" t="s">
        <v>766</v>
      </c>
      <c r="B21" s="18" t="s">
        <v>544</v>
      </c>
      <c r="C21" s="18" t="s">
        <v>696</v>
      </c>
      <c r="D21" s="19">
        <v>36526</v>
      </c>
      <c r="E21" s="19" t="s">
        <v>784</v>
      </c>
      <c r="F21" s="16" t="s">
        <v>785</v>
      </c>
      <c r="G21" s="16" t="s">
        <v>785</v>
      </c>
      <c r="H21" s="18" t="s">
        <v>456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41">
        <v>0</v>
      </c>
      <c r="O21" s="20">
        <f>SUM(I21:M21)</f>
        <v>0</v>
      </c>
      <c r="P21" s="148">
        <v>238</v>
      </c>
      <c r="Q21" s="18">
        <v>0</v>
      </c>
      <c r="R21" s="16" t="s">
        <v>794</v>
      </c>
      <c r="S21" s="25">
        <f>I21*I$1*Q21</f>
        <v>0</v>
      </c>
      <c r="T21" s="25"/>
      <c r="U21" s="353">
        <v>149902</v>
      </c>
      <c r="V21" s="16"/>
      <c r="W21" s="148"/>
      <c r="X21" s="148"/>
    </row>
    <row r="22" spans="1:24" x14ac:dyDescent="0.25">
      <c r="A22" s="26" t="s">
        <v>47</v>
      </c>
      <c r="B22" s="354" t="s">
        <v>47</v>
      </c>
      <c r="C22" s="27" t="s">
        <v>47</v>
      </c>
      <c r="D22" s="28" t="s">
        <v>47</v>
      </c>
      <c r="E22" s="28"/>
      <c r="F22" s="26" t="s">
        <v>47</v>
      </c>
      <c r="G22" s="355" t="s">
        <v>47</v>
      </c>
      <c r="H22" s="354" t="s">
        <v>47</v>
      </c>
      <c r="I22" s="29"/>
      <c r="J22" s="30"/>
      <c r="K22" s="30"/>
      <c r="L22" s="30"/>
      <c r="M22" s="30"/>
      <c r="N22" s="356"/>
      <c r="O22" s="30"/>
      <c r="P22" s="374" t="s">
        <v>47</v>
      </c>
      <c r="Q22" s="354">
        <f>SUM(Q21:Q21)</f>
        <v>0</v>
      </c>
      <c r="R22" s="26" t="s">
        <v>47</v>
      </c>
      <c r="S22" s="358">
        <f>SUM(S21:S21)</f>
        <v>0</v>
      </c>
      <c r="T22" s="358">
        <f>SUM(T21:T21)</f>
        <v>0</v>
      </c>
      <c r="U22" s="359"/>
      <c r="V22" s="33"/>
      <c r="W22" s="148"/>
      <c r="X22" s="148"/>
    </row>
    <row r="23" spans="1:24" x14ac:dyDescent="0.25">
      <c r="A23" s="345" t="s">
        <v>49</v>
      </c>
      <c r="B23" s="346" t="s">
        <v>50</v>
      </c>
      <c r="C23" s="346" t="s">
        <v>51</v>
      </c>
      <c r="D23" s="347" t="s">
        <v>52</v>
      </c>
      <c r="E23" s="347"/>
      <c r="F23" s="345" t="s">
        <v>53</v>
      </c>
      <c r="G23" s="345" t="s">
        <v>54</v>
      </c>
      <c r="H23" s="346" t="s">
        <v>55</v>
      </c>
      <c r="I23" s="348" t="s">
        <v>56</v>
      </c>
      <c r="J23" s="346" t="s">
        <v>57</v>
      </c>
      <c r="K23" s="346" t="s">
        <v>58</v>
      </c>
      <c r="L23" s="346" t="s">
        <v>59</v>
      </c>
      <c r="M23" s="346" t="s">
        <v>60</v>
      </c>
      <c r="N23" s="349" t="s">
        <v>62</v>
      </c>
      <c r="O23" s="346" t="s">
        <v>63</v>
      </c>
      <c r="P23" s="375" t="s">
        <v>64</v>
      </c>
      <c r="Q23" s="346" t="s">
        <v>65</v>
      </c>
      <c r="R23" s="345" t="s">
        <v>66</v>
      </c>
      <c r="S23" s="351" t="s">
        <v>744</v>
      </c>
      <c r="T23" s="351" t="s">
        <v>745</v>
      </c>
      <c r="U23" s="352" t="s">
        <v>578</v>
      </c>
      <c r="V23" s="351" t="s">
        <v>795</v>
      </c>
      <c r="W23" s="148"/>
      <c r="X23" s="148"/>
    </row>
    <row r="24" spans="1:24" s="80" customFormat="1" x14ac:dyDescent="0.25">
      <c r="A24" s="16" t="s">
        <v>766</v>
      </c>
      <c r="B24" s="18" t="s">
        <v>22</v>
      </c>
      <c r="C24" s="18" t="s">
        <v>696</v>
      </c>
      <c r="D24" s="19">
        <v>36526</v>
      </c>
      <c r="E24" s="19" t="s">
        <v>784</v>
      </c>
      <c r="F24" s="16" t="s">
        <v>785</v>
      </c>
      <c r="G24" s="16" t="s">
        <v>785</v>
      </c>
      <c r="H24" s="18" t="s">
        <v>456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41">
        <v>0</v>
      </c>
      <c r="O24" s="20">
        <f>SUM(I24:M24)</f>
        <v>0</v>
      </c>
      <c r="P24" s="148">
        <v>3.2846000000000002</v>
      </c>
      <c r="Q24" s="18">
        <v>0</v>
      </c>
      <c r="R24" s="16" t="s">
        <v>794</v>
      </c>
      <c r="S24" s="25">
        <f>I24*I$1*Q24</f>
        <v>0</v>
      </c>
      <c r="T24" s="25"/>
      <c r="U24" s="353">
        <v>149876</v>
      </c>
      <c r="V24" s="16"/>
      <c r="W24" s="148"/>
      <c r="X24" s="148"/>
    </row>
    <row r="25" spans="1:24" x14ac:dyDescent="0.25">
      <c r="A25" s="26" t="s">
        <v>47</v>
      </c>
      <c r="B25" s="354" t="s">
        <v>47</v>
      </c>
      <c r="C25" s="27" t="s">
        <v>47</v>
      </c>
      <c r="D25" s="28" t="s">
        <v>47</v>
      </c>
      <c r="E25" s="28"/>
      <c r="F25" s="26" t="s">
        <v>47</v>
      </c>
      <c r="G25" s="355" t="s">
        <v>47</v>
      </c>
      <c r="H25" s="354" t="s">
        <v>47</v>
      </c>
      <c r="I25" s="29"/>
      <c r="J25" s="30"/>
      <c r="K25" s="30"/>
      <c r="L25" s="30"/>
      <c r="M25" s="30"/>
      <c r="N25" s="356"/>
      <c r="O25" s="30"/>
      <c r="P25" s="374" t="s">
        <v>47</v>
      </c>
      <c r="Q25" s="354">
        <f>SUM(Q24:Q24)</f>
        <v>0</v>
      </c>
      <c r="R25" s="26" t="s">
        <v>47</v>
      </c>
      <c r="S25" s="358">
        <f>SUM(S24:S24)</f>
        <v>0</v>
      </c>
      <c r="T25" s="358">
        <f>SUM(T24:T24)</f>
        <v>0</v>
      </c>
      <c r="U25" s="359"/>
      <c r="V25" s="33"/>
      <c r="W25" s="148"/>
      <c r="X25" s="148"/>
    </row>
    <row r="26" spans="1:24" x14ac:dyDescent="0.25">
      <c r="A26" s="49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41"/>
      <c r="O26" s="20"/>
      <c r="P26" s="147"/>
      <c r="Q26" s="369"/>
      <c r="R26" s="159"/>
      <c r="S26" s="50"/>
      <c r="T26" s="50"/>
      <c r="U26" s="342"/>
      <c r="V26" s="50"/>
      <c r="W26" s="147"/>
      <c r="X26" s="147"/>
    </row>
    <row r="27" spans="1:24" x14ac:dyDescent="0.25">
      <c r="A27" s="49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41"/>
      <c r="O27" s="20"/>
      <c r="P27" s="147"/>
      <c r="Q27" s="369"/>
      <c r="R27" s="50"/>
      <c r="S27" s="50"/>
      <c r="T27" s="50"/>
      <c r="U27" s="342"/>
      <c r="V27" s="50"/>
      <c r="W27" s="147"/>
      <c r="X27" s="147"/>
    </row>
    <row r="28" spans="1:24" x14ac:dyDescent="0.25">
      <c r="A28" s="49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41"/>
      <c r="O28" s="20"/>
      <c r="P28" s="147"/>
      <c r="Q28" s="369"/>
      <c r="R28" s="50"/>
      <c r="S28" s="50"/>
      <c r="T28" s="50"/>
      <c r="U28" s="342"/>
      <c r="V28" s="50"/>
      <c r="W28" s="147"/>
      <c r="X28" s="147"/>
    </row>
    <row r="29" spans="1:24" x14ac:dyDescent="0.25">
      <c r="A29" s="49" t="s">
        <v>793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41"/>
      <c r="O29" s="20"/>
      <c r="P29" s="147"/>
      <c r="Q29" s="369"/>
      <c r="R29" s="50"/>
      <c r="S29" s="50"/>
      <c r="T29" s="50"/>
      <c r="U29" s="342"/>
      <c r="V29" s="50"/>
      <c r="W29" s="147"/>
      <c r="X29" s="147"/>
    </row>
    <row r="30" spans="1:24" x14ac:dyDescent="0.25">
      <c r="A30" s="49"/>
      <c r="B30" s="16" t="s">
        <v>792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41"/>
      <c r="O30" s="20"/>
      <c r="P30" s="147"/>
      <c r="Q30" s="369"/>
      <c r="R30" s="50"/>
      <c r="S30" s="50"/>
      <c r="T30" s="50"/>
      <c r="U30" s="342"/>
      <c r="V30" s="50"/>
      <c r="W30" s="147"/>
      <c r="X30" s="147"/>
    </row>
    <row r="31" spans="1:24" x14ac:dyDescent="0.25">
      <c r="A31" s="49"/>
      <c r="B31" s="18" t="s">
        <v>541</v>
      </c>
      <c r="C31" s="148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41"/>
      <c r="O31" s="20"/>
      <c r="P31" s="147"/>
      <c r="Q31" s="369"/>
      <c r="R31" s="50"/>
      <c r="S31" s="50"/>
      <c r="T31" s="50"/>
      <c r="U31" s="342"/>
      <c r="V31" s="50"/>
      <c r="W31" s="147"/>
      <c r="X31" s="147"/>
    </row>
    <row r="32" spans="1:24" x14ac:dyDescent="0.25">
      <c r="A32" s="49"/>
      <c r="B32" s="18" t="s">
        <v>791</v>
      </c>
      <c r="C32" s="148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41"/>
      <c r="O32" s="20"/>
      <c r="P32" s="147"/>
      <c r="Q32" s="369"/>
      <c r="R32" s="50"/>
      <c r="S32" s="50"/>
      <c r="T32" s="50"/>
      <c r="U32" s="342"/>
      <c r="V32" s="50"/>
      <c r="W32" s="159"/>
      <c r="X32" s="147"/>
    </row>
    <row r="33" spans="1:24" x14ac:dyDescent="0.25">
      <c r="A33" s="49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41"/>
      <c r="O33" s="20"/>
      <c r="P33" s="147"/>
      <c r="Q33" s="369"/>
      <c r="R33" s="50"/>
      <c r="S33" s="50"/>
      <c r="T33" s="50"/>
      <c r="U33" s="342"/>
      <c r="V33" s="50"/>
      <c r="W33" s="147"/>
      <c r="X33" s="147"/>
    </row>
    <row r="34" spans="1:24" x14ac:dyDescent="0.25">
      <c r="A34" s="49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41"/>
      <c r="O34" s="20"/>
      <c r="P34" s="147"/>
      <c r="Q34" s="369"/>
      <c r="R34" s="50"/>
      <c r="S34" s="50"/>
      <c r="T34" s="50"/>
      <c r="U34" s="342"/>
      <c r="V34" s="50"/>
      <c r="W34" s="147"/>
      <c r="X34" s="147"/>
    </row>
    <row r="35" spans="1:24" x14ac:dyDescent="0.25">
      <c r="A35" s="49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41"/>
      <c r="O35" s="20"/>
      <c r="P35" s="147"/>
      <c r="Q35" s="369"/>
      <c r="R35" s="159"/>
      <c r="S35" s="50"/>
      <c r="T35" s="50"/>
      <c r="U35" s="342"/>
      <c r="V35" s="50"/>
      <c r="W35" s="147"/>
      <c r="X35" s="147"/>
    </row>
    <row r="36" spans="1:24" x14ac:dyDescent="0.25">
      <c r="A36" s="49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41"/>
      <c r="O36" s="20"/>
      <c r="P36" s="147"/>
      <c r="Q36" s="369"/>
      <c r="R36" s="159"/>
      <c r="S36" s="50"/>
      <c r="T36" s="50"/>
      <c r="U36" s="342"/>
      <c r="V36" s="50"/>
      <c r="W36" s="147"/>
      <c r="X36" s="147"/>
    </row>
    <row r="37" spans="1:24" x14ac:dyDescent="0.25">
      <c r="P37" s="373"/>
      <c r="Q37" s="78"/>
      <c r="R37" s="78"/>
      <c r="S37" s="78"/>
      <c r="T37" s="78"/>
      <c r="U37" s="373"/>
      <c r="V37" s="78"/>
      <c r="W37" s="373"/>
    </row>
    <row r="38" spans="1:24" x14ac:dyDescent="0.25">
      <c r="P38" s="373"/>
      <c r="Q38" s="78"/>
      <c r="R38" s="78"/>
      <c r="S38" s="78"/>
      <c r="T38" s="78"/>
      <c r="U38" s="373"/>
      <c r="V38" s="78"/>
      <c r="W38" s="37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5"/>
  <sheetViews>
    <sheetView topLeftCell="I31" workbookViewId="0">
      <selection activeCell="S54" sqref="S54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customWidth="1"/>
    <col min="10" max="13" width="9.109375" style="36"/>
    <col min="14" max="14" width="9.109375" style="372"/>
    <col min="15" max="15" width="9.109375" style="36"/>
    <col min="16" max="16" width="12.33203125" style="36" customWidth="1"/>
    <col min="17" max="17" width="9.109375" style="36"/>
    <col min="18" max="18" width="13.6640625" style="36" customWidth="1"/>
    <col min="19" max="19" width="12.88671875" style="36" customWidth="1"/>
    <col min="20" max="20" width="9.109375" style="36"/>
    <col min="21" max="21" width="13.5546875" style="149" customWidth="1"/>
    <col min="22" max="23" width="9.109375" style="149"/>
    <col min="24" max="24" width="12.44140625" style="36" customWidth="1"/>
    <col min="25" max="16384" width="9.109375" style="36"/>
  </cols>
  <sheetData>
    <row r="1" spans="1:23" x14ac:dyDescent="0.25">
      <c r="A1" s="160" t="s">
        <v>1010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40" t="s">
        <v>736</v>
      </c>
      <c r="K1" s="20"/>
      <c r="L1" s="20"/>
      <c r="M1" s="20"/>
      <c r="N1" s="341"/>
      <c r="O1" s="20"/>
      <c r="P1" s="35"/>
      <c r="Q1" s="17"/>
      <c r="R1" s="50"/>
      <c r="S1" s="50"/>
      <c r="T1" s="50"/>
      <c r="U1" s="342"/>
      <c r="V1" s="147"/>
      <c r="W1" s="147"/>
    </row>
    <row r="2" spans="1:23" x14ac:dyDescent="0.25">
      <c r="A2" s="16" t="s">
        <v>634</v>
      </c>
      <c r="B2" s="16"/>
      <c r="C2" s="16"/>
      <c r="D2" s="19"/>
      <c r="E2" s="19"/>
      <c r="F2" s="16"/>
      <c r="G2" s="16"/>
      <c r="H2" s="18"/>
      <c r="I2" s="23"/>
      <c r="J2" s="340" t="s">
        <v>737</v>
      </c>
      <c r="K2" s="20"/>
      <c r="L2" s="20"/>
      <c r="M2" s="20"/>
      <c r="N2" s="341"/>
      <c r="O2" s="20"/>
      <c r="P2" s="35"/>
      <c r="Q2" s="17"/>
      <c r="R2" s="50"/>
      <c r="S2" s="50"/>
      <c r="T2" s="50"/>
      <c r="U2" s="342"/>
      <c r="V2" s="147"/>
      <c r="W2" s="147"/>
    </row>
    <row r="3" spans="1:23" x14ac:dyDescent="0.25">
      <c r="A3" s="16" t="s">
        <v>635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341"/>
      <c r="O3" s="53" t="s">
        <v>47</v>
      </c>
      <c r="P3" s="35"/>
      <c r="Q3" s="17"/>
      <c r="R3" s="50"/>
      <c r="S3" s="50"/>
      <c r="T3" s="50"/>
      <c r="U3" s="342"/>
      <c r="V3" s="147"/>
      <c r="W3" s="147"/>
    </row>
    <row r="4" spans="1:23" x14ac:dyDescent="0.25">
      <c r="A4" s="16" t="s">
        <v>738</v>
      </c>
      <c r="B4" s="18"/>
      <c r="C4" s="18"/>
      <c r="D4" s="19"/>
      <c r="E4" s="19"/>
      <c r="F4" s="54"/>
      <c r="G4" s="16"/>
      <c r="H4" s="54"/>
      <c r="I4" s="24"/>
      <c r="J4" s="54"/>
      <c r="K4" s="20"/>
      <c r="L4" s="54"/>
      <c r="M4" s="17"/>
      <c r="N4" s="341"/>
      <c r="O4" s="17"/>
      <c r="P4" s="35"/>
      <c r="Q4" s="17"/>
      <c r="R4" s="50"/>
      <c r="S4" s="55"/>
      <c r="T4" s="55"/>
      <c r="U4" s="343"/>
      <c r="V4" s="147"/>
      <c r="W4" s="147"/>
    </row>
    <row r="5" spans="1:23" x14ac:dyDescent="0.25">
      <c r="A5" s="16" t="s">
        <v>739</v>
      </c>
      <c r="B5" s="18"/>
      <c r="C5" s="344"/>
      <c r="D5" s="19"/>
      <c r="E5" s="19"/>
      <c r="F5" s="54"/>
      <c r="G5" s="16"/>
      <c r="H5" s="54"/>
      <c r="I5" s="24"/>
      <c r="J5" s="54"/>
      <c r="K5" s="20"/>
      <c r="L5" s="54"/>
      <c r="M5" s="17"/>
      <c r="N5" s="341"/>
      <c r="O5" s="17"/>
      <c r="P5" s="35"/>
      <c r="Q5" s="17"/>
      <c r="R5" s="50"/>
      <c r="S5" s="55"/>
      <c r="T5" s="55"/>
      <c r="U5" s="343"/>
      <c r="V5" s="147"/>
      <c r="W5" s="147"/>
    </row>
    <row r="6" spans="1:23" x14ac:dyDescent="0.25">
      <c r="A6" s="16"/>
      <c r="B6" s="18"/>
      <c r="C6" s="344"/>
      <c r="D6" s="19"/>
      <c r="E6" s="19"/>
      <c r="F6" s="54"/>
      <c r="G6" s="16"/>
      <c r="H6" s="54"/>
      <c r="I6" s="24"/>
      <c r="J6" s="54"/>
      <c r="K6" s="20"/>
      <c r="L6" s="54"/>
      <c r="M6" s="17"/>
      <c r="N6" s="341"/>
      <c r="O6" s="17"/>
      <c r="P6" s="35"/>
      <c r="Q6" s="17"/>
      <c r="R6" s="50"/>
      <c r="S6" s="55"/>
      <c r="T6" s="55"/>
      <c r="U6" s="343"/>
      <c r="V6" s="147"/>
      <c r="W6" s="147"/>
    </row>
    <row r="7" spans="1:23" x14ac:dyDescent="0.25">
      <c r="A7" s="16"/>
      <c r="B7" s="18"/>
      <c r="C7" s="344"/>
      <c r="D7" s="19"/>
      <c r="E7" s="19"/>
      <c r="F7" s="54"/>
      <c r="G7" s="16"/>
      <c r="H7" s="54"/>
      <c r="I7" s="24"/>
      <c r="J7" s="54"/>
      <c r="K7" s="20"/>
      <c r="L7" s="54"/>
      <c r="M7" s="17"/>
      <c r="N7" s="341"/>
      <c r="O7" s="17"/>
      <c r="P7" s="35"/>
      <c r="Q7" s="17"/>
      <c r="R7" s="50"/>
      <c r="S7" s="55"/>
      <c r="T7" s="55"/>
      <c r="U7" s="343"/>
      <c r="V7" s="147"/>
      <c r="W7" s="147"/>
    </row>
    <row r="8" spans="1:23" x14ac:dyDescent="0.25">
      <c r="A8" s="16"/>
      <c r="B8" s="18"/>
      <c r="C8" s="344"/>
      <c r="D8" s="19"/>
      <c r="E8" s="19"/>
      <c r="F8" s="54"/>
      <c r="G8" s="16"/>
      <c r="H8" s="54"/>
      <c r="I8" s="24"/>
      <c r="J8" s="54"/>
      <c r="K8" s="20"/>
      <c r="L8" s="54"/>
      <c r="M8" s="17"/>
      <c r="N8" s="341"/>
      <c r="O8" s="17"/>
      <c r="P8" s="35"/>
      <c r="Q8" s="17"/>
      <c r="R8" s="50"/>
      <c r="S8" s="55"/>
      <c r="T8" s="55"/>
      <c r="U8" s="343"/>
      <c r="V8" s="147"/>
      <c r="W8" s="147"/>
    </row>
    <row r="9" spans="1:23" x14ac:dyDescent="0.25">
      <c r="A9" s="16"/>
      <c r="B9" s="18"/>
      <c r="C9" s="344"/>
      <c r="D9" s="19"/>
      <c r="E9" s="19"/>
      <c r="F9" s="54"/>
      <c r="G9" s="16"/>
      <c r="H9" s="54"/>
      <c r="I9" s="24"/>
      <c r="J9" s="54"/>
      <c r="K9" s="20"/>
      <c r="L9" s="54"/>
      <c r="M9" s="17"/>
      <c r="N9" s="341"/>
      <c r="O9" s="17"/>
      <c r="P9" s="35"/>
      <c r="Q9" s="17"/>
      <c r="R9" s="50"/>
      <c r="S9" s="55"/>
      <c r="T9" s="55"/>
      <c r="U9" s="343"/>
      <c r="V9" s="147"/>
      <c r="W9" s="147"/>
    </row>
    <row r="10" spans="1:23" x14ac:dyDescent="0.25">
      <c r="A10" s="16"/>
      <c r="B10" s="18"/>
      <c r="C10" s="18"/>
      <c r="D10" s="19"/>
      <c r="E10" s="19"/>
      <c r="F10" s="54"/>
      <c r="G10" s="16"/>
      <c r="H10" s="54"/>
      <c r="I10" s="24"/>
      <c r="J10" s="54"/>
      <c r="K10" s="20"/>
      <c r="L10" s="54"/>
      <c r="M10" s="17"/>
      <c r="N10" s="341"/>
      <c r="O10" s="17"/>
      <c r="P10" s="35"/>
      <c r="Q10" s="17"/>
      <c r="R10" s="50"/>
      <c r="S10" s="55"/>
      <c r="T10" s="55"/>
      <c r="U10" s="343"/>
      <c r="V10" s="147"/>
      <c r="W10" s="147"/>
    </row>
    <row r="11" spans="1:23" x14ac:dyDescent="0.25">
      <c r="A11" s="345" t="s">
        <v>49</v>
      </c>
      <c r="B11" s="346" t="s">
        <v>50</v>
      </c>
      <c r="C11" s="346" t="s">
        <v>51</v>
      </c>
      <c r="D11" s="347" t="s">
        <v>52</v>
      </c>
      <c r="E11" s="347"/>
      <c r="F11" s="345" t="s">
        <v>53</v>
      </c>
      <c r="G11" s="345" t="s">
        <v>54</v>
      </c>
      <c r="H11" s="346" t="s">
        <v>55</v>
      </c>
      <c r="I11" s="348" t="s">
        <v>56</v>
      </c>
      <c r="J11" s="346" t="s">
        <v>57</v>
      </c>
      <c r="K11" s="346" t="s">
        <v>58</v>
      </c>
      <c r="L11" s="346" t="s">
        <v>59</v>
      </c>
      <c r="M11" s="346" t="s">
        <v>60</v>
      </c>
      <c r="N11" s="349" t="s">
        <v>62</v>
      </c>
      <c r="O11" s="346" t="s">
        <v>63</v>
      </c>
      <c r="P11" s="350" t="s">
        <v>743</v>
      </c>
      <c r="Q11" s="346" t="s">
        <v>65</v>
      </c>
      <c r="R11" s="345" t="s">
        <v>66</v>
      </c>
      <c r="S11" s="351" t="s">
        <v>744</v>
      </c>
      <c r="T11" s="351" t="s">
        <v>745</v>
      </c>
      <c r="U11" s="352" t="s">
        <v>746</v>
      </c>
      <c r="V11" s="148"/>
      <c r="W11" s="148"/>
    </row>
    <row r="12" spans="1:23" s="230" customFormat="1" x14ac:dyDescent="0.25">
      <c r="A12" s="190" t="s">
        <v>658</v>
      </c>
      <c r="B12" s="378" t="s">
        <v>151</v>
      </c>
      <c r="C12" s="378" t="s">
        <v>811</v>
      </c>
      <c r="D12" s="379">
        <v>36647</v>
      </c>
      <c r="E12" s="379">
        <v>36830</v>
      </c>
      <c r="F12" s="190" t="s">
        <v>812</v>
      </c>
      <c r="G12" s="190" t="s">
        <v>1011</v>
      </c>
      <c r="H12" s="378" t="s">
        <v>946</v>
      </c>
      <c r="I12" s="380">
        <f>0.6*0.0328767</f>
        <v>1.972602E-2</v>
      </c>
      <c r="J12" s="381">
        <v>0</v>
      </c>
      <c r="K12" s="381">
        <v>0</v>
      </c>
      <c r="L12" s="381">
        <v>0</v>
      </c>
      <c r="M12" s="381">
        <v>0</v>
      </c>
      <c r="N12" s="544">
        <v>0</v>
      </c>
      <c r="O12" s="381">
        <f>SUM(I12:M12)</f>
        <v>1.972602E-2</v>
      </c>
      <c r="P12" s="386">
        <v>771169</v>
      </c>
      <c r="Q12" s="378">
        <v>5690</v>
      </c>
      <c r="R12" s="383" t="s">
        <v>1012</v>
      </c>
      <c r="S12" s="384">
        <f>I12*I$1*Q12</f>
        <v>3479.4726678000002</v>
      </c>
      <c r="T12" s="384"/>
      <c r="U12" s="545">
        <v>247184</v>
      </c>
      <c r="V12" s="385"/>
      <c r="W12" s="385"/>
    </row>
    <row r="13" spans="1:23" s="230" customFormat="1" x14ac:dyDescent="0.25">
      <c r="A13" s="190" t="s">
        <v>658</v>
      </c>
      <c r="B13" s="378" t="s">
        <v>151</v>
      </c>
      <c r="C13" s="378" t="s">
        <v>811</v>
      </c>
      <c r="D13" s="379">
        <v>36647</v>
      </c>
      <c r="E13" s="379">
        <v>36830</v>
      </c>
      <c r="F13" s="190" t="s">
        <v>812</v>
      </c>
      <c r="G13" s="190" t="s">
        <v>1011</v>
      </c>
      <c r="H13" s="378" t="s">
        <v>946</v>
      </c>
      <c r="I13" s="380">
        <f>0.3*0.0328767</f>
        <v>9.8630100000000002E-3</v>
      </c>
      <c r="J13" s="381">
        <v>0</v>
      </c>
      <c r="K13" s="381">
        <v>0</v>
      </c>
      <c r="L13" s="381">
        <v>0</v>
      </c>
      <c r="M13" s="381">
        <v>0</v>
      </c>
      <c r="N13" s="544">
        <v>0</v>
      </c>
      <c r="O13" s="381">
        <f>SUM(I13:M13)</f>
        <v>9.8630100000000002E-3</v>
      </c>
      <c r="P13" s="386">
        <v>771168</v>
      </c>
      <c r="Q13" s="378">
        <v>965</v>
      </c>
      <c r="R13" s="383" t="s">
        <v>962</v>
      </c>
      <c r="S13" s="384">
        <f>I13*I$1*Q13</f>
        <v>295.05194415</v>
      </c>
      <c r="T13" s="384"/>
      <c r="U13" s="545">
        <v>236735</v>
      </c>
      <c r="V13" s="385"/>
      <c r="W13" s="385"/>
    </row>
    <row r="14" spans="1:23" s="230" customFormat="1" x14ac:dyDescent="0.25">
      <c r="A14" s="190" t="s">
        <v>658</v>
      </c>
      <c r="B14" s="378" t="s">
        <v>151</v>
      </c>
      <c r="C14" s="378" t="s">
        <v>811</v>
      </c>
      <c r="D14" s="379">
        <v>36647</v>
      </c>
      <c r="E14" s="379">
        <v>36830</v>
      </c>
      <c r="F14" s="190" t="s">
        <v>947</v>
      </c>
      <c r="G14" s="190" t="s">
        <v>1011</v>
      </c>
      <c r="H14" s="378" t="s">
        <v>946</v>
      </c>
      <c r="I14" s="380">
        <f>0.3*0.0328767</f>
        <v>9.8630100000000002E-3</v>
      </c>
      <c r="J14" s="381">
        <v>0</v>
      </c>
      <c r="K14" s="381">
        <v>0</v>
      </c>
      <c r="L14" s="381">
        <v>0</v>
      </c>
      <c r="M14" s="381">
        <v>0</v>
      </c>
      <c r="N14" s="544">
        <v>0</v>
      </c>
      <c r="O14" s="381">
        <f>SUM(I14:M14)</f>
        <v>9.8630100000000002E-3</v>
      </c>
      <c r="P14" s="386">
        <v>771168</v>
      </c>
      <c r="Q14" s="378">
        <v>286</v>
      </c>
      <c r="R14" s="383" t="s">
        <v>962</v>
      </c>
      <c r="S14" s="384">
        <f>I14*I$1*Q14</f>
        <v>87.445446660000002</v>
      </c>
      <c r="T14" s="384"/>
      <c r="U14" s="545">
        <v>236735</v>
      </c>
      <c r="V14" s="385"/>
      <c r="W14" s="385"/>
    </row>
    <row r="15" spans="1:23" s="230" customFormat="1" x14ac:dyDescent="0.25">
      <c r="A15" s="190" t="s">
        <v>658</v>
      </c>
      <c r="B15" s="378" t="s">
        <v>151</v>
      </c>
      <c r="C15" s="378" t="s">
        <v>899</v>
      </c>
      <c r="D15" s="379">
        <v>36647</v>
      </c>
      <c r="E15" s="379">
        <v>36799</v>
      </c>
      <c r="F15" s="190" t="s">
        <v>812</v>
      </c>
      <c r="G15" s="190" t="s">
        <v>1036</v>
      </c>
      <c r="H15" s="378" t="s">
        <v>879</v>
      </c>
      <c r="I15" s="380">
        <f>0.61*0.0328767</f>
        <v>2.0054787000000001E-2</v>
      </c>
      <c r="J15" s="381">
        <v>0</v>
      </c>
      <c r="K15" s="381">
        <v>0</v>
      </c>
      <c r="L15" s="381">
        <v>0</v>
      </c>
      <c r="M15" s="381">
        <v>0</v>
      </c>
      <c r="N15" s="544">
        <v>0</v>
      </c>
      <c r="O15" s="381">
        <f>SUM(I15:M15)</f>
        <v>2.0054787000000001E-2</v>
      </c>
      <c r="P15" s="386">
        <v>771199</v>
      </c>
      <c r="Q15" s="378">
        <v>5000</v>
      </c>
      <c r="R15" s="383" t="s">
        <v>1044</v>
      </c>
      <c r="S15" s="384">
        <f>I15*I$1*Q15</f>
        <v>3108.4919850000006</v>
      </c>
      <c r="T15" s="384"/>
      <c r="U15" s="545">
        <v>255854</v>
      </c>
      <c r="V15" s="385"/>
      <c r="W15" s="385"/>
    </row>
    <row r="16" spans="1:23" s="613" customFormat="1" x14ac:dyDescent="0.25">
      <c r="A16" s="197" t="s">
        <v>658</v>
      </c>
      <c r="B16" s="198" t="s">
        <v>151</v>
      </c>
      <c r="C16" s="198" t="s">
        <v>899</v>
      </c>
      <c r="D16" s="604">
        <v>36800</v>
      </c>
      <c r="E16" s="604">
        <v>36830</v>
      </c>
      <c r="F16" s="197" t="s">
        <v>812</v>
      </c>
      <c r="G16" s="197" t="s">
        <v>1036</v>
      </c>
      <c r="H16" s="198" t="s">
        <v>879</v>
      </c>
      <c r="I16" s="605">
        <f>0.61*0.0328767</f>
        <v>2.0054787000000001E-2</v>
      </c>
      <c r="J16" s="606">
        <v>0</v>
      </c>
      <c r="K16" s="606">
        <v>0</v>
      </c>
      <c r="L16" s="606">
        <v>0</v>
      </c>
      <c r="M16" s="606">
        <v>0</v>
      </c>
      <c r="N16" s="607">
        <v>0</v>
      </c>
      <c r="O16" s="606">
        <f>SUM(I16:M16)</f>
        <v>2.0054787000000001E-2</v>
      </c>
      <c r="P16" s="608">
        <v>771173</v>
      </c>
      <c r="Q16" s="198">
        <v>5000</v>
      </c>
      <c r="R16" s="609" t="s">
        <v>1045</v>
      </c>
      <c r="S16" s="610" t="s">
        <v>1121</v>
      </c>
      <c r="T16" s="610"/>
      <c r="U16" s="611">
        <v>253236</v>
      </c>
      <c r="V16" s="612"/>
      <c r="W16" s="612"/>
    </row>
    <row r="17" spans="1:23" x14ac:dyDescent="0.25">
      <c r="A17" s="26" t="s">
        <v>47</v>
      </c>
      <c r="B17" s="354" t="s">
        <v>47</v>
      </c>
      <c r="C17" s="27" t="s">
        <v>47</v>
      </c>
      <c r="D17" s="28" t="s">
        <v>47</v>
      </c>
      <c r="E17" s="28"/>
      <c r="F17" s="26" t="s">
        <v>47</v>
      </c>
      <c r="G17" s="355" t="s">
        <v>47</v>
      </c>
      <c r="H17" s="354" t="s">
        <v>47</v>
      </c>
      <c r="I17" s="29"/>
      <c r="J17" s="30"/>
      <c r="K17" s="30"/>
      <c r="L17" s="30"/>
      <c r="M17" s="30"/>
      <c r="N17" s="356"/>
      <c r="O17" s="30"/>
      <c r="P17" s="357" t="s">
        <v>47</v>
      </c>
      <c r="Q17" s="354">
        <f>SUM(Q12:Q16)</f>
        <v>16941</v>
      </c>
      <c r="R17" s="26" t="s">
        <v>47</v>
      </c>
      <c r="S17" s="614">
        <f>SUM(S12:S16)</f>
        <v>6970.4620436100013</v>
      </c>
      <c r="T17" s="358">
        <f>SUM(T12:T16)</f>
        <v>0</v>
      </c>
      <c r="U17" s="359"/>
      <c r="V17" s="148"/>
      <c r="W17" s="148"/>
    </row>
    <row r="18" spans="1:23" x14ac:dyDescent="0.25">
      <c r="A18" s="345" t="s">
        <v>49</v>
      </c>
      <c r="B18" s="346" t="s">
        <v>50</v>
      </c>
      <c r="C18" s="346" t="s">
        <v>51</v>
      </c>
      <c r="D18" s="347" t="s">
        <v>52</v>
      </c>
      <c r="E18" s="347"/>
      <c r="F18" s="345" t="s">
        <v>53</v>
      </c>
      <c r="G18" s="345" t="s">
        <v>54</v>
      </c>
      <c r="H18" s="346" t="s">
        <v>55</v>
      </c>
      <c r="I18" s="348" t="s">
        <v>56</v>
      </c>
      <c r="J18" s="346" t="s">
        <v>57</v>
      </c>
      <c r="K18" s="346" t="s">
        <v>58</v>
      </c>
      <c r="L18" s="346" t="s">
        <v>59</v>
      </c>
      <c r="M18" s="346" t="s">
        <v>60</v>
      </c>
      <c r="N18" s="349" t="s">
        <v>62</v>
      </c>
      <c r="O18" s="346" t="s">
        <v>63</v>
      </c>
      <c r="P18" s="350" t="s">
        <v>743</v>
      </c>
      <c r="Q18" s="346" t="s">
        <v>65</v>
      </c>
      <c r="R18" s="345" t="s">
        <v>66</v>
      </c>
      <c r="S18" s="351" t="s">
        <v>744</v>
      </c>
      <c r="T18" s="351" t="s">
        <v>745</v>
      </c>
      <c r="U18" s="352" t="s">
        <v>746</v>
      </c>
      <c r="V18" s="148"/>
      <c r="W18" s="148"/>
    </row>
    <row r="19" spans="1:23" s="80" customFormat="1" x14ac:dyDescent="0.25">
      <c r="A19" s="16" t="s">
        <v>1123</v>
      </c>
      <c r="B19" s="18" t="s">
        <v>147</v>
      </c>
      <c r="C19" s="18" t="s">
        <v>888</v>
      </c>
      <c r="D19" s="19">
        <v>36617</v>
      </c>
      <c r="E19" s="19">
        <v>36830</v>
      </c>
      <c r="F19" s="16" t="s">
        <v>889</v>
      </c>
      <c r="G19" s="16" t="s">
        <v>888</v>
      </c>
      <c r="H19" s="18" t="s">
        <v>68</v>
      </c>
      <c r="I19" s="24">
        <v>3.1870967741935485E-2</v>
      </c>
      <c r="J19" s="20">
        <v>0</v>
      </c>
      <c r="K19" s="20">
        <v>0</v>
      </c>
      <c r="L19" s="20">
        <v>0</v>
      </c>
      <c r="M19" s="20">
        <v>0</v>
      </c>
      <c r="N19" s="341">
        <v>0</v>
      </c>
      <c r="O19" s="20">
        <f>SUM(I19:M19)</f>
        <v>3.1870967741935485E-2</v>
      </c>
      <c r="P19" s="35" t="s">
        <v>890</v>
      </c>
      <c r="Q19" s="18">
        <v>15000</v>
      </c>
      <c r="R19" s="51" t="s">
        <v>891</v>
      </c>
      <c r="S19" s="25">
        <f>I19*I$1*Q19</f>
        <v>14820</v>
      </c>
      <c r="T19" s="25"/>
      <c r="U19" s="353">
        <v>229957</v>
      </c>
      <c r="V19" s="148"/>
      <c r="W19" s="148"/>
    </row>
    <row r="20" spans="1:23" s="80" customFormat="1" x14ac:dyDescent="0.25">
      <c r="A20" s="16" t="s">
        <v>1123</v>
      </c>
      <c r="B20" s="18" t="s">
        <v>147</v>
      </c>
      <c r="C20" s="18" t="s">
        <v>888</v>
      </c>
      <c r="D20" s="19">
        <v>36617</v>
      </c>
      <c r="E20" s="19">
        <v>36830</v>
      </c>
      <c r="F20" s="16" t="s">
        <v>900</v>
      </c>
      <c r="G20" s="16" t="s">
        <v>888</v>
      </c>
      <c r="H20" s="18" t="s">
        <v>68</v>
      </c>
      <c r="I20" s="24">
        <v>2.941935483870968E-2</v>
      </c>
      <c r="J20" s="20">
        <v>0</v>
      </c>
      <c r="K20" s="20">
        <v>0</v>
      </c>
      <c r="L20" s="20">
        <v>0</v>
      </c>
      <c r="M20" s="20">
        <v>0</v>
      </c>
      <c r="N20" s="341">
        <v>0</v>
      </c>
      <c r="O20" s="20">
        <f>SUM(I20:M20)</f>
        <v>2.941935483870968E-2</v>
      </c>
      <c r="P20" s="35" t="s">
        <v>936</v>
      </c>
      <c r="Q20" s="18">
        <v>4003</v>
      </c>
      <c r="R20" s="51" t="s">
        <v>937</v>
      </c>
      <c r="S20" s="25">
        <f>I20*I$1*Q20</f>
        <v>3650.7360000000003</v>
      </c>
      <c r="T20" s="25"/>
      <c r="U20" s="353">
        <v>233047</v>
      </c>
      <c r="V20" s="148"/>
      <c r="W20" s="148"/>
    </row>
    <row r="21" spans="1:23" s="80" customFormat="1" x14ac:dyDescent="0.25">
      <c r="A21" s="16" t="s">
        <v>1123</v>
      </c>
      <c r="B21" s="18" t="s">
        <v>147</v>
      </c>
      <c r="C21" s="18" t="s">
        <v>888</v>
      </c>
      <c r="D21" s="19">
        <v>36617</v>
      </c>
      <c r="E21" s="19">
        <v>36830</v>
      </c>
      <c r="F21" s="16" t="s">
        <v>935</v>
      </c>
      <c r="G21" s="16" t="s">
        <v>888</v>
      </c>
      <c r="H21" s="18" t="s">
        <v>68</v>
      </c>
      <c r="I21" s="24">
        <v>2.941935483870968E-2</v>
      </c>
      <c r="J21" s="20">
        <v>0</v>
      </c>
      <c r="K21" s="20">
        <v>0</v>
      </c>
      <c r="L21" s="20">
        <v>0</v>
      </c>
      <c r="M21" s="20">
        <v>0</v>
      </c>
      <c r="N21" s="341">
        <v>0</v>
      </c>
      <c r="O21" s="20">
        <f>SUM(I21:M21)</f>
        <v>2.941935483870968E-2</v>
      </c>
      <c r="P21" s="35" t="s">
        <v>936</v>
      </c>
      <c r="Q21" s="18">
        <v>383</v>
      </c>
      <c r="R21" s="51" t="s">
        <v>937</v>
      </c>
      <c r="S21" s="25">
        <f>I21*I$1*Q21</f>
        <v>349.29599999999999</v>
      </c>
      <c r="T21" s="25"/>
      <c r="U21" s="353">
        <v>233047</v>
      </c>
      <c r="V21" s="148"/>
      <c r="W21" s="148"/>
    </row>
    <row r="22" spans="1:23" s="80" customFormat="1" x14ac:dyDescent="0.25">
      <c r="A22" s="16" t="s">
        <v>1123</v>
      </c>
      <c r="B22" s="18" t="s">
        <v>147</v>
      </c>
      <c r="C22" s="18" t="s">
        <v>899</v>
      </c>
      <c r="D22" s="19">
        <v>36617</v>
      </c>
      <c r="E22" s="19">
        <v>36799</v>
      </c>
      <c r="F22" s="16" t="s">
        <v>900</v>
      </c>
      <c r="G22" s="16" t="s">
        <v>901</v>
      </c>
      <c r="H22" s="18" t="s">
        <v>68</v>
      </c>
      <c r="I22" s="24">
        <v>1.9612903225806451E-2</v>
      </c>
      <c r="J22" s="20">
        <v>0</v>
      </c>
      <c r="K22" s="20">
        <v>0</v>
      </c>
      <c r="L22" s="20">
        <v>0</v>
      </c>
      <c r="M22" s="20">
        <v>0</v>
      </c>
      <c r="N22" s="341">
        <v>0</v>
      </c>
      <c r="O22" s="20">
        <f>SUM(I22:M22)</f>
        <v>1.9612903225806451E-2</v>
      </c>
      <c r="P22" s="35" t="s">
        <v>902</v>
      </c>
      <c r="Q22" s="18">
        <v>3947</v>
      </c>
      <c r="R22" s="51" t="s">
        <v>903</v>
      </c>
      <c r="S22" s="25">
        <f>I22*I$1*Q22</f>
        <v>2399.7759999999998</v>
      </c>
      <c r="T22" s="25"/>
      <c r="U22" s="353">
        <v>231229</v>
      </c>
      <c r="V22" s="148"/>
      <c r="W22" s="148"/>
    </row>
    <row r="23" spans="1:23" x14ac:dyDescent="0.25">
      <c r="A23" s="26" t="s">
        <v>47</v>
      </c>
      <c r="B23" s="354" t="s">
        <v>47</v>
      </c>
      <c r="C23" s="27" t="s">
        <v>47</v>
      </c>
      <c r="D23" s="28" t="s">
        <v>47</v>
      </c>
      <c r="E23" s="28"/>
      <c r="F23" s="26" t="s">
        <v>47</v>
      </c>
      <c r="G23" s="355" t="s">
        <v>47</v>
      </c>
      <c r="H23" s="354" t="s">
        <v>47</v>
      </c>
      <c r="I23" s="29"/>
      <c r="J23" s="30"/>
      <c r="K23" s="30"/>
      <c r="L23" s="30"/>
      <c r="M23" s="30"/>
      <c r="N23" s="356"/>
      <c r="O23" s="30"/>
      <c r="P23" s="357" t="s">
        <v>47</v>
      </c>
      <c r="Q23" s="354">
        <f>SUM(Q19:Q22)</f>
        <v>23333</v>
      </c>
      <c r="R23" s="26" t="s">
        <v>47</v>
      </c>
      <c r="S23" s="614">
        <f>SUM(S19:S22)</f>
        <v>21219.807999999997</v>
      </c>
      <c r="T23" s="358">
        <f>SUM(T19:T22)</f>
        <v>0</v>
      </c>
      <c r="U23" s="359"/>
      <c r="V23" s="148"/>
      <c r="W23" s="148"/>
    </row>
    <row r="24" spans="1:23" x14ac:dyDescent="0.25">
      <c r="A24" s="345" t="s">
        <v>49</v>
      </c>
      <c r="B24" s="346" t="s">
        <v>50</v>
      </c>
      <c r="C24" s="346" t="s">
        <v>51</v>
      </c>
      <c r="D24" s="347" t="s">
        <v>52</v>
      </c>
      <c r="E24" s="347"/>
      <c r="F24" s="345" t="s">
        <v>53</v>
      </c>
      <c r="G24" s="345" t="s">
        <v>54</v>
      </c>
      <c r="H24" s="346" t="s">
        <v>55</v>
      </c>
      <c r="I24" s="348" t="s">
        <v>56</v>
      </c>
      <c r="J24" s="346" t="s">
        <v>57</v>
      </c>
      <c r="K24" s="346" t="s">
        <v>58</v>
      </c>
      <c r="L24" s="346" t="s">
        <v>59</v>
      </c>
      <c r="M24" s="346" t="s">
        <v>60</v>
      </c>
      <c r="N24" s="349" t="s">
        <v>62</v>
      </c>
      <c r="O24" s="346" t="s">
        <v>63</v>
      </c>
      <c r="P24" s="350" t="s">
        <v>743</v>
      </c>
      <c r="Q24" s="346" t="s">
        <v>65</v>
      </c>
      <c r="R24" s="345" t="s">
        <v>66</v>
      </c>
      <c r="S24" s="351" t="s">
        <v>767</v>
      </c>
      <c r="T24" s="351" t="s">
        <v>767</v>
      </c>
      <c r="U24" s="352"/>
      <c r="V24" s="148"/>
      <c r="W24" s="148"/>
    </row>
    <row r="25" spans="1:23" s="80" customFormat="1" x14ac:dyDescent="0.25">
      <c r="A25" s="16" t="s">
        <v>658</v>
      </c>
      <c r="B25" s="18" t="s">
        <v>768</v>
      </c>
      <c r="C25" s="18" t="s">
        <v>768</v>
      </c>
      <c r="D25" s="19" t="s">
        <v>784</v>
      </c>
      <c r="E25" s="19" t="s">
        <v>784</v>
      </c>
      <c r="F25" s="16" t="s">
        <v>83</v>
      </c>
      <c r="G25" s="51"/>
      <c r="H25" s="18"/>
      <c r="I25" s="24">
        <v>0</v>
      </c>
      <c r="J25" s="20">
        <v>0</v>
      </c>
      <c r="K25" s="20">
        <v>0</v>
      </c>
      <c r="L25" s="20">
        <v>0</v>
      </c>
      <c r="M25" s="20">
        <v>0</v>
      </c>
      <c r="N25" s="341">
        <v>0</v>
      </c>
      <c r="O25" s="20">
        <f t="shared" ref="O25:O37" si="0">SUM(I25:M25)</f>
        <v>0</v>
      </c>
      <c r="P25" s="35" t="s">
        <v>918</v>
      </c>
      <c r="Q25" s="18"/>
      <c r="R25" s="51"/>
      <c r="S25" s="25">
        <f t="shared" ref="S25:S37" si="1">I25*I$1*Q25</f>
        <v>0</v>
      </c>
      <c r="T25" s="25"/>
      <c r="U25" s="353"/>
      <c r="V25" s="148"/>
      <c r="W25" s="148"/>
    </row>
    <row r="26" spans="1:23" s="230" customFormat="1" x14ac:dyDescent="0.25">
      <c r="A26" s="190" t="s">
        <v>791</v>
      </c>
      <c r="B26" s="378" t="s">
        <v>768</v>
      </c>
      <c r="C26" s="378" t="s">
        <v>768</v>
      </c>
      <c r="D26" s="379">
        <v>36647</v>
      </c>
      <c r="E26" s="379">
        <v>36677</v>
      </c>
      <c r="F26" s="190" t="s">
        <v>764</v>
      </c>
      <c r="G26" s="383" t="s">
        <v>1053</v>
      </c>
      <c r="H26" s="378" t="s">
        <v>70</v>
      </c>
      <c r="I26" s="380">
        <v>1.4999999999999999E-2</v>
      </c>
      <c r="J26" s="381">
        <v>0</v>
      </c>
      <c r="K26" s="381">
        <v>0</v>
      </c>
      <c r="L26" s="381">
        <v>0</v>
      </c>
      <c r="M26" s="381">
        <v>0</v>
      </c>
      <c r="N26" s="544">
        <v>0</v>
      </c>
      <c r="O26" s="381">
        <f t="shared" si="0"/>
        <v>1.4999999999999999E-2</v>
      </c>
      <c r="P26" s="386">
        <v>67693</v>
      </c>
      <c r="Q26" s="378">
        <v>-20000</v>
      </c>
      <c r="R26" s="190" t="s">
        <v>1129</v>
      </c>
      <c r="S26" s="384">
        <f t="shared" si="1"/>
        <v>-9300</v>
      </c>
      <c r="T26" s="384"/>
      <c r="U26" s="545">
        <v>254584</v>
      </c>
      <c r="V26" s="385"/>
      <c r="W26" s="385"/>
    </row>
    <row r="27" spans="1:23" s="230" customFormat="1" x14ac:dyDescent="0.25">
      <c r="A27" s="190" t="s">
        <v>1123</v>
      </c>
      <c r="B27" s="378" t="s">
        <v>768</v>
      </c>
      <c r="C27" s="378" t="s">
        <v>768</v>
      </c>
      <c r="D27" s="379">
        <v>36617</v>
      </c>
      <c r="E27" s="379">
        <v>36981</v>
      </c>
      <c r="F27" s="190" t="s">
        <v>764</v>
      </c>
      <c r="G27" s="383">
        <v>19</v>
      </c>
      <c r="H27" s="378" t="s">
        <v>68</v>
      </c>
      <c r="I27" s="380">
        <f>4.41/I$1</f>
        <v>0.14225806451612905</v>
      </c>
      <c r="J27" s="381">
        <v>0</v>
      </c>
      <c r="K27" s="381">
        <v>0</v>
      </c>
      <c r="L27" s="381">
        <v>0</v>
      </c>
      <c r="M27" s="381">
        <v>0</v>
      </c>
      <c r="N27" s="544">
        <v>0</v>
      </c>
      <c r="O27" s="381">
        <f>SUM(I27:M27)</f>
        <v>0.14225806451612905</v>
      </c>
      <c r="P27" s="386">
        <v>66930</v>
      </c>
      <c r="Q27" s="378">
        <v>4000</v>
      </c>
      <c r="R27" s="190" t="s">
        <v>1122</v>
      </c>
      <c r="S27" s="384">
        <f>I27*I$1*Q27</f>
        <v>17640</v>
      </c>
      <c r="T27" s="384"/>
      <c r="U27" s="545">
        <v>227986</v>
      </c>
      <c r="V27" s="385"/>
      <c r="W27" s="385"/>
    </row>
    <row r="28" spans="1:23" s="230" customFormat="1" x14ac:dyDescent="0.25">
      <c r="A28" s="190" t="s">
        <v>1123</v>
      </c>
      <c r="B28" s="378" t="s">
        <v>768</v>
      </c>
      <c r="C28" s="378" t="s">
        <v>768</v>
      </c>
      <c r="D28" s="379">
        <v>36617</v>
      </c>
      <c r="E28" s="379">
        <v>36981</v>
      </c>
      <c r="F28" s="190" t="s">
        <v>764</v>
      </c>
      <c r="G28" s="383" t="s">
        <v>1128</v>
      </c>
      <c r="H28" s="378" t="s">
        <v>879</v>
      </c>
      <c r="I28" s="380">
        <f>4.41/I$1</f>
        <v>0.14225806451612905</v>
      </c>
      <c r="J28" s="381">
        <v>0</v>
      </c>
      <c r="K28" s="381">
        <v>0</v>
      </c>
      <c r="L28" s="381">
        <v>0</v>
      </c>
      <c r="M28" s="381">
        <v>0</v>
      </c>
      <c r="N28" s="544">
        <v>0</v>
      </c>
      <c r="O28" s="381">
        <f>SUM(I28:M28)</f>
        <v>0.14225806451612905</v>
      </c>
      <c r="P28" s="386">
        <v>66931</v>
      </c>
      <c r="Q28" s="378">
        <v>4000</v>
      </c>
      <c r="R28" s="190" t="s">
        <v>875</v>
      </c>
      <c r="S28" s="384">
        <f>I28*I$1*Q28</f>
        <v>17640</v>
      </c>
      <c r="T28" s="384"/>
      <c r="U28" s="545">
        <v>227996</v>
      </c>
      <c r="V28" s="385"/>
      <c r="W28" s="385"/>
    </row>
    <row r="29" spans="1:23" s="230" customFormat="1" x14ac:dyDescent="0.25">
      <c r="A29" s="190" t="s">
        <v>1123</v>
      </c>
      <c r="B29" s="378" t="s">
        <v>768</v>
      </c>
      <c r="C29" s="378" t="s">
        <v>768</v>
      </c>
      <c r="D29" s="379">
        <v>36617</v>
      </c>
      <c r="E29" s="379">
        <v>36981</v>
      </c>
      <c r="F29" s="190" t="s">
        <v>764</v>
      </c>
      <c r="G29" s="190" t="s">
        <v>876</v>
      </c>
      <c r="H29" s="378" t="s">
        <v>68</v>
      </c>
      <c r="I29" s="380">
        <f>6.201/I$1</f>
        <v>0.20003225806451611</v>
      </c>
      <c r="J29" s="381">
        <v>0</v>
      </c>
      <c r="K29" s="381">
        <v>0</v>
      </c>
      <c r="L29" s="381">
        <v>0</v>
      </c>
      <c r="M29" s="381">
        <v>0</v>
      </c>
      <c r="N29" s="544">
        <v>0</v>
      </c>
      <c r="O29" s="381">
        <f>SUM(I29:M29)</f>
        <v>0.20003225806451611</v>
      </c>
      <c r="P29" s="386">
        <v>66932</v>
      </c>
      <c r="Q29" s="378">
        <v>4000</v>
      </c>
      <c r="R29" s="190" t="s">
        <v>875</v>
      </c>
      <c r="S29" s="384">
        <f>I29*I$1*Q29</f>
        <v>24804</v>
      </c>
      <c r="T29" s="384"/>
      <c r="U29" s="545">
        <v>228003</v>
      </c>
      <c r="V29" s="385"/>
      <c r="W29" s="385"/>
    </row>
    <row r="30" spans="1:23" s="230" customFormat="1" x14ac:dyDescent="0.25">
      <c r="A30" s="190" t="s">
        <v>1123</v>
      </c>
      <c r="B30" s="378" t="s">
        <v>768</v>
      </c>
      <c r="C30" s="378" t="s">
        <v>768</v>
      </c>
      <c r="D30" s="379">
        <v>36617</v>
      </c>
      <c r="E30" s="379">
        <v>36830</v>
      </c>
      <c r="F30" s="190" t="s">
        <v>938</v>
      </c>
      <c r="G30" s="383" t="s">
        <v>939</v>
      </c>
      <c r="H30" s="378" t="s">
        <v>68</v>
      </c>
      <c r="I30" s="380">
        <f>1.5286/I$1</f>
        <v>4.9309677419354839E-2</v>
      </c>
      <c r="J30" s="381">
        <v>0</v>
      </c>
      <c r="K30" s="381">
        <v>0</v>
      </c>
      <c r="L30" s="381">
        <v>0</v>
      </c>
      <c r="M30" s="381">
        <v>0</v>
      </c>
      <c r="N30" s="544">
        <v>0</v>
      </c>
      <c r="O30" s="381">
        <f t="shared" si="0"/>
        <v>4.9309677419354839E-2</v>
      </c>
      <c r="P30" s="386">
        <v>66965</v>
      </c>
      <c r="Q30" s="378">
        <v>20000</v>
      </c>
      <c r="R30" s="190" t="s">
        <v>940</v>
      </c>
      <c r="S30" s="384">
        <f t="shared" si="1"/>
        <v>30572</v>
      </c>
      <c r="T30" s="384"/>
      <c r="U30" s="545">
        <v>229727</v>
      </c>
      <c r="V30" s="385"/>
      <c r="W30" s="385"/>
    </row>
    <row r="31" spans="1:23" s="230" customFormat="1" x14ac:dyDescent="0.25">
      <c r="A31" s="190" t="s">
        <v>1123</v>
      </c>
      <c r="B31" s="378" t="s">
        <v>768</v>
      </c>
      <c r="C31" s="378" t="s">
        <v>768</v>
      </c>
      <c r="D31" s="379">
        <v>36647</v>
      </c>
      <c r="E31" s="379">
        <v>36677</v>
      </c>
      <c r="F31" s="190" t="s">
        <v>764</v>
      </c>
      <c r="G31" s="190" t="s">
        <v>1124</v>
      </c>
      <c r="H31" s="378" t="s">
        <v>68</v>
      </c>
      <c r="I31" s="380">
        <f>2.48/I$1</f>
        <v>0.08</v>
      </c>
      <c r="J31" s="381">
        <v>0</v>
      </c>
      <c r="K31" s="381">
        <v>0</v>
      </c>
      <c r="L31" s="381">
        <v>0</v>
      </c>
      <c r="M31" s="381">
        <v>0</v>
      </c>
      <c r="N31" s="544">
        <v>0</v>
      </c>
      <c r="O31" s="381">
        <f t="shared" si="0"/>
        <v>0.08</v>
      </c>
      <c r="P31" s="386">
        <v>68278</v>
      </c>
      <c r="Q31" s="378">
        <v>7500</v>
      </c>
      <c r="R31" s="190" t="s">
        <v>1126</v>
      </c>
      <c r="S31" s="384">
        <f t="shared" si="1"/>
        <v>18600</v>
      </c>
      <c r="T31" s="384"/>
      <c r="U31" s="545">
        <v>255858</v>
      </c>
      <c r="V31" s="385"/>
      <c r="W31" s="385"/>
    </row>
    <row r="32" spans="1:23" s="623" customFormat="1" x14ac:dyDescent="0.25">
      <c r="A32" s="526" t="s">
        <v>1123</v>
      </c>
      <c r="B32" s="528" t="s">
        <v>768</v>
      </c>
      <c r="C32" s="528" t="s">
        <v>768</v>
      </c>
      <c r="D32" s="529">
        <v>36678</v>
      </c>
      <c r="E32" s="529">
        <v>36830</v>
      </c>
      <c r="F32" s="526" t="s">
        <v>764</v>
      </c>
      <c r="G32" s="526" t="s">
        <v>1124</v>
      </c>
      <c r="H32" s="528" t="s">
        <v>68</v>
      </c>
      <c r="I32" s="530">
        <f>2.48/I$1</f>
        <v>0.08</v>
      </c>
      <c r="J32" s="531">
        <v>0</v>
      </c>
      <c r="K32" s="531">
        <v>0</v>
      </c>
      <c r="L32" s="531">
        <v>0</v>
      </c>
      <c r="M32" s="531">
        <v>0</v>
      </c>
      <c r="N32" s="620">
        <v>0</v>
      </c>
      <c r="O32" s="531">
        <f t="shared" si="0"/>
        <v>0.08</v>
      </c>
      <c r="P32" s="621" t="s">
        <v>1125</v>
      </c>
      <c r="Q32" s="528">
        <v>7500</v>
      </c>
      <c r="R32" s="526"/>
      <c r="S32" s="536" t="s">
        <v>1127</v>
      </c>
      <c r="T32" s="536"/>
      <c r="U32" s="622"/>
      <c r="V32" s="537"/>
      <c r="W32" s="537"/>
    </row>
    <row r="33" spans="1:23" s="80" customFormat="1" x14ac:dyDescent="0.25">
      <c r="A33" s="16" t="s">
        <v>658</v>
      </c>
      <c r="B33" s="18" t="s">
        <v>768</v>
      </c>
      <c r="C33" s="18" t="s">
        <v>762</v>
      </c>
      <c r="D33" s="19">
        <v>36464</v>
      </c>
      <c r="E33" s="19">
        <v>36860</v>
      </c>
      <c r="F33" s="51" t="s">
        <v>764</v>
      </c>
      <c r="G33" s="51" t="s">
        <v>769</v>
      </c>
      <c r="H33" s="18"/>
      <c r="I33" s="24">
        <f>6.423/I$1</f>
        <v>0.20719354838709678</v>
      </c>
      <c r="J33" s="20">
        <v>0</v>
      </c>
      <c r="K33" s="20">
        <v>0</v>
      </c>
      <c r="L33" s="20">
        <v>0</v>
      </c>
      <c r="M33" s="20">
        <v>0</v>
      </c>
      <c r="N33" s="341">
        <v>0</v>
      </c>
      <c r="O33" s="20">
        <f t="shared" si="0"/>
        <v>0.20719354838709678</v>
      </c>
      <c r="P33" s="35">
        <v>65071</v>
      </c>
      <c r="Q33" s="18">
        <v>5429</v>
      </c>
      <c r="R33" s="51" t="s">
        <v>770</v>
      </c>
      <c r="S33" s="25">
        <f t="shared" si="1"/>
        <v>34870.466999999997</v>
      </c>
      <c r="T33" s="25"/>
      <c r="U33" s="353">
        <v>205687</v>
      </c>
      <c r="V33" s="148"/>
      <c r="W33" s="148"/>
    </row>
    <row r="34" spans="1:23" s="80" customFormat="1" x14ac:dyDescent="0.25">
      <c r="A34" s="16" t="s">
        <v>658</v>
      </c>
      <c r="B34" s="18" t="s">
        <v>768</v>
      </c>
      <c r="C34" s="18" t="s">
        <v>762</v>
      </c>
      <c r="D34" s="19">
        <v>36464</v>
      </c>
      <c r="E34" s="19">
        <v>36860</v>
      </c>
      <c r="F34" s="51" t="s">
        <v>764</v>
      </c>
      <c r="G34" s="51" t="s">
        <v>771</v>
      </c>
      <c r="H34" s="18"/>
      <c r="I34" s="24">
        <f>6.423/I$1</f>
        <v>0.20719354838709678</v>
      </c>
      <c r="J34" s="20">
        <v>0</v>
      </c>
      <c r="K34" s="20">
        <v>0</v>
      </c>
      <c r="L34" s="20">
        <v>0</v>
      </c>
      <c r="M34" s="20">
        <v>0</v>
      </c>
      <c r="N34" s="341">
        <v>0</v>
      </c>
      <c r="O34" s="20">
        <f t="shared" si="0"/>
        <v>0.20719354838709678</v>
      </c>
      <c r="P34" s="35">
        <v>65071</v>
      </c>
      <c r="Q34" s="18">
        <v>1000</v>
      </c>
      <c r="R34" s="51" t="s">
        <v>770</v>
      </c>
      <c r="S34" s="25">
        <f t="shared" si="1"/>
        <v>6423</v>
      </c>
      <c r="T34" s="25"/>
      <c r="U34" s="353">
        <v>205687</v>
      </c>
      <c r="V34" s="148"/>
      <c r="W34" s="148"/>
    </row>
    <row r="35" spans="1:23" s="80" customFormat="1" x14ac:dyDescent="0.25">
      <c r="A35" s="16" t="s">
        <v>658</v>
      </c>
      <c r="B35" s="18" t="s">
        <v>768</v>
      </c>
      <c r="C35" s="18" t="s">
        <v>762</v>
      </c>
      <c r="D35" s="19">
        <v>36464</v>
      </c>
      <c r="E35" s="19">
        <v>36860</v>
      </c>
      <c r="F35" s="51" t="s">
        <v>764</v>
      </c>
      <c r="G35" s="51" t="s">
        <v>772</v>
      </c>
      <c r="H35" s="18"/>
      <c r="I35" s="24">
        <f>6.423/I$1</f>
        <v>0.20719354838709678</v>
      </c>
      <c r="J35" s="20">
        <v>0</v>
      </c>
      <c r="K35" s="20">
        <v>0</v>
      </c>
      <c r="L35" s="20">
        <v>0</v>
      </c>
      <c r="M35" s="20">
        <v>0</v>
      </c>
      <c r="N35" s="341">
        <v>0</v>
      </c>
      <c r="O35" s="20">
        <f t="shared" si="0"/>
        <v>0.20719354838709678</v>
      </c>
      <c r="P35" s="35">
        <v>65071</v>
      </c>
      <c r="Q35" s="18">
        <v>1000</v>
      </c>
      <c r="R35" s="51" t="s">
        <v>770</v>
      </c>
      <c r="S35" s="25">
        <f t="shared" si="1"/>
        <v>6423</v>
      </c>
      <c r="T35" s="25"/>
      <c r="U35" s="353">
        <v>205687</v>
      </c>
      <c r="V35" s="148"/>
      <c r="W35" s="148"/>
    </row>
    <row r="36" spans="1:23" s="230" customFormat="1" ht="13.8" thickBot="1" x14ac:dyDescent="0.3">
      <c r="A36" s="190" t="s">
        <v>658</v>
      </c>
      <c r="B36" s="378" t="s">
        <v>768</v>
      </c>
      <c r="C36" s="190" t="s">
        <v>773</v>
      </c>
      <c r="D36" s="379">
        <v>36647</v>
      </c>
      <c r="E36" s="379">
        <v>36677</v>
      </c>
      <c r="F36" s="383" t="s">
        <v>764</v>
      </c>
      <c r="G36" s="383" t="s">
        <v>771</v>
      </c>
      <c r="H36" s="378"/>
      <c r="I36" s="380">
        <f>6.423/I$1</f>
        <v>0.20719354838709678</v>
      </c>
      <c r="J36" s="381">
        <v>0</v>
      </c>
      <c r="K36" s="381">
        <v>0</v>
      </c>
      <c r="L36" s="381">
        <v>0</v>
      </c>
      <c r="M36" s="381">
        <v>0</v>
      </c>
      <c r="N36" s="544">
        <v>0</v>
      </c>
      <c r="O36" s="381">
        <f t="shared" si="0"/>
        <v>0.20719354838709678</v>
      </c>
      <c r="P36" s="386">
        <v>65071</v>
      </c>
      <c r="Q36" s="546">
        <v>-437</v>
      </c>
      <c r="R36" s="190" t="s">
        <v>1047</v>
      </c>
      <c r="S36" s="384">
        <f t="shared" si="1"/>
        <v>-2806.8510000000001</v>
      </c>
      <c r="T36" s="384"/>
      <c r="U36" s="545">
        <v>251574</v>
      </c>
      <c r="V36" s="385"/>
      <c r="W36" s="385"/>
    </row>
    <row r="37" spans="1:23" s="80" customFormat="1" ht="13.8" thickTop="1" x14ac:dyDescent="0.25">
      <c r="A37" s="16" t="s">
        <v>658</v>
      </c>
      <c r="B37" s="18" t="s">
        <v>768</v>
      </c>
      <c r="C37" s="18" t="s">
        <v>774</v>
      </c>
      <c r="D37" s="19">
        <v>36434</v>
      </c>
      <c r="E37" s="19">
        <v>36714</v>
      </c>
      <c r="F37" s="16" t="s">
        <v>775</v>
      </c>
      <c r="G37" s="16" t="s">
        <v>776</v>
      </c>
      <c r="H37" s="18"/>
      <c r="I37" s="24">
        <v>8.5000000000000006E-2</v>
      </c>
      <c r="J37" s="20">
        <v>0</v>
      </c>
      <c r="K37" s="20">
        <v>0</v>
      </c>
      <c r="L37" s="20">
        <v>0</v>
      </c>
      <c r="M37" s="20">
        <v>0</v>
      </c>
      <c r="N37" s="341">
        <v>0</v>
      </c>
      <c r="O37" s="20">
        <f t="shared" si="0"/>
        <v>8.5000000000000006E-2</v>
      </c>
      <c r="P37" s="35"/>
      <c r="Q37" s="18">
        <v>40000</v>
      </c>
      <c r="R37" s="16" t="s">
        <v>777</v>
      </c>
      <c r="S37" s="25">
        <f t="shared" si="1"/>
        <v>105400.00000000001</v>
      </c>
      <c r="T37" s="25"/>
      <c r="U37" s="353"/>
      <c r="V37" s="148"/>
      <c r="W37" s="148"/>
    </row>
    <row r="38" spans="1:23" x14ac:dyDescent="0.25">
      <c r="A38" s="26" t="s">
        <v>47</v>
      </c>
      <c r="B38" s="354" t="s">
        <v>47</v>
      </c>
      <c r="C38" s="354" t="s">
        <v>47</v>
      </c>
      <c r="D38" s="28" t="s">
        <v>47</v>
      </c>
      <c r="E38" s="28" t="s">
        <v>47</v>
      </c>
      <c r="F38" s="26" t="s">
        <v>47</v>
      </c>
      <c r="G38" s="355" t="s">
        <v>47</v>
      </c>
      <c r="H38" s="354" t="s">
        <v>47</v>
      </c>
      <c r="I38" s="29"/>
      <c r="J38" s="30"/>
      <c r="K38" s="30"/>
      <c r="L38" s="30"/>
      <c r="M38" s="30"/>
      <c r="N38" s="356"/>
      <c r="O38" s="30"/>
      <c r="P38" s="357" t="s">
        <v>47</v>
      </c>
      <c r="Q38" s="354">
        <f>SUM(Q25:Q37)</f>
        <v>73992</v>
      </c>
      <c r="R38" s="26" t="s">
        <v>47</v>
      </c>
      <c r="S38" s="358">
        <f>SUM(S25:S37)</f>
        <v>250265.61600000004</v>
      </c>
      <c r="T38" s="358">
        <f>SUM(T33:T37)</f>
        <v>0</v>
      </c>
      <c r="U38" s="359"/>
      <c r="V38" s="148"/>
      <c r="W38" s="148"/>
    </row>
    <row r="39" spans="1:23" x14ac:dyDescent="0.25">
      <c r="A39" s="345" t="s">
        <v>49</v>
      </c>
      <c r="B39" s="346" t="s">
        <v>50</v>
      </c>
      <c r="C39" s="346" t="s">
        <v>51</v>
      </c>
      <c r="D39" s="347" t="s">
        <v>52</v>
      </c>
      <c r="E39" s="347"/>
      <c r="F39" s="345" t="s">
        <v>53</v>
      </c>
      <c r="G39" s="345" t="s">
        <v>54</v>
      </c>
      <c r="H39" s="346" t="s">
        <v>55</v>
      </c>
      <c r="I39" s="348" t="s">
        <v>56</v>
      </c>
      <c r="J39" s="346" t="s">
        <v>57</v>
      </c>
      <c r="K39" s="346" t="s">
        <v>58</v>
      </c>
      <c r="L39" s="346" t="s">
        <v>59</v>
      </c>
      <c r="M39" s="346" t="s">
        <v>60</v>
      </c>
      <c r="N39" s="349" t="s">
        <v>62</v>
      </c>
      <c r="O39" s="346" t="s">
        <v>63</v>
      </c>
      <c r="P39" s="350" t="s">
        <v>743</v>
      </c>
      <c r="Q39" s="346" t="s">
        <v>65</v>
      </c>
      <c r="R39" s="345" t="s">
        <v>66</v>
      </c>
      <c r="S39" s="351" t="s">
        <v>744</v>
      </c>
      <c r="T39" s="351" t="s">
        <v>745</v>
      </c>
      <c r="U39" s="352" t="s">
        <v>746</v>
      </c>
      <c r="V39" s="148"/>
      <c r="W39" s="148"/>
    </row>
    <row r="40" spans="1:23" s="80" customFormat="1" x14ac:dyDescent="0.25">
      <c r="A40" s="16" t="s">
        <v>658</v>
      </c>
      <c r="B40" s="18" t="s">
        <v>747</v>
      </c>
      <c r="C40" s="18" t="s">
        <v>747</v>
      </c>
      <c r="D40" s="19">
        <v>34274</v>
      </c>
      <c r="E40" s="19">
        <v>37042</v>
      </c>
      <c r="F40" s="16" t="s">
        <v>28</v>
      </c>
      <c r="G40" s="16" t="s">
        <v>926</v>
      </c>
      <c r="H40" s="18" t="s">
        <v>68</v>
      </c>
      <c r="I40" s="24">
        <f>1.0603/I$1</f>
        <v>3.4203225806451611E-2</v>
      </c>
      <c r="J40" s="20">
        <v>0</v>
      </c>
      <c r="K40" s="20">
        <v>0</v>
      </c>
      <c r="L40" s="20">
        <v>0</v>
      </c>
      <c r="M40" s="20">
        <v>0</v>
      </c>
      <c r="N40" s="341">
        <v>0</v>
      </c>
      <c r="O40" s="20">
        <f>SUM(I40:M40)</f>
        <v>3.4203225806451611E-2</v>
      </c>
      <c r="P40" s="35">
        <v>37393</v>
      </c>
      <c r="Q40" s="18">
        <v>20000</v>
      </c>
      <c r="R40" s="16" t="s">
        <v>1133</v>
      </c>
      <c r="S40" s="25">
        <f>I40*I$1*Q40</f>
        <v>21206</v>
      </c>
      <c r="T40" s="25"/>
      <c r="U40" s="353">
        <v>92346</v>
      </c>
      <c r="V40" s="148"/>
      <c r="W40" s="148"/>
    </row>
    <row r="41" spans="1:23" s="80" customFormat="1" x14ac:dyDescent="0.25">
      <c r="A41" s="16" t="s">
        <v>658</v>
      </c>
      <c r="B41" s="18" t="s">
        <v>747</v>
      </c>
      <c r="C41" s="18" t="s">
        <v>747</v>
      </c>
      <c r="D41" s="19">
        <v>36434</v>
      </c>
      <c r="E41" s="19">
        <v>36799</v>
      </c>
      <c r="F41" s="16" t="s">
        <v>1130</v>
      </c>
      <c r="G41" s="16" t="s">
        <v>1131</v>
      </c>
      <c r="H41" s="18" t="s">
        <v>68</v>
      </c>
      <c r="I41" s="24">
        <v>1.4999999999999999E-2</v>
      </c>
      <c r="J41" s="20">
        <v>0</v>
      </c>
      <c r="K41" s="20">
        <v>0</v>
      </c>
      <c r="L41" s="20">
        <v>0</v>
      </c>
      <c r="M41" s="20">
        <v>0</v>
      </c>
      <c r="N41" s="341">
        <v>0</v>
      </c>
      <c r="O41" s="20">
        <f>SUM(I41:M41)</f>
        <v>1.4999999999999999E-2</v>
      </c>
      <c r="P41" s="35">
        <v>64937</v>
      </c>
      <c r="Q41" s="18">
        <v>10000</v>
      </c>
      <c r="R41" s="16"/>
      <c r="S41" s="25">
        <f>I41*I$1*Q41</f>
        <v>4650</v>
      </c>
      <c r="T41" s="25"/>
      <c r="U41" s="353"/>
      <c r="V41" s="148"/>
      <c r="W41" s="148"/>
    </row>
    <row r="42" spans="1:23" s="80" customFormat="1" x14ac:dyDescent="0.25">
      <c r="A42" s="16" t="s">
        <v>658</v>
      </c>
      <c r="B42" s="18" t="s">
        <v>747</v>
      </c>
      <c r="C42" s="18" t="s">
        <v>747</v>
      </c>
      <c r="D42" s="19">
        <v>36617</v>
      </c>
      <c r="E42" s="19">
        <v>36981</v>
      </c>
      <c r="F42" s="16" t="s">
        <v>668</v>
      </c>
      <c r="G42" s="16" t="s">
        <v>1132</v>
      </c>
      <c r="H42" s="18" t="s">
        <v>68</v>
      </c>
      <c r="I42" s="24">
        <f>1.5238/I$1</f>
        <v>4.915483870967742E-2</v>
      </c>
      <c r="J42" s="20">
        <v>0</v>
      </c>
      <c r="K42" s="20">
        <v>0</v>
      </c>
      <c r="L42" s="20">
        <v>0</v>
      </c>
      <c r="M42" s="20">
        <v>0</v>
      </c>
      <c r="N42" s="341">
        <v>0</v>
      </c>
      <c r="O42" s="20">
        <f>SUM(I42:M42)</f>
        <v>4.915483870967742E-2</v>
      </c>
      <c r="P42" s="35">
        <v>66973</v>
      </c>
      <c r="Q42" s="18">
        <v>10000</v>
      </c>
      <c r="R42" s="16" t="s">
        <v>943</v>
      </c>
      <c r="S42" s="25">
        <f>I42*I$1*Q42</f>
        <v>15238</v>
      </c>
      <c r="T42" s="25"/>
      <c r="U42" s="353">
        <v>231728</v>
      </c>
      <c r="V42" s="148"/>
      <c r="W42" s="148"/>
    </row>
    <row r="43" spans="1:23" s="80" customFormat="1" x14ac:dyDescent="0.25">
      <c r="A43" s="16" t="s">
        <v>658</v>
      </c>
      <c r="B43" s="18" t="s">
        <v>747</v>
      </c>
      <c r="C43" s="18" t="s">
        <v>747</v>
      </c>
      <c r="D43" s="19">
        <v>34274</v>
      </c>
      <c r="E43" s="19">
        <v>40117</v>
      </c>
      <c r="F43" s="16" t="s">
        <v>926</v>
      </c>
      <c r="G43" s="16" t="s">
        <v>369</v>
      </c>
      <c r="H43" s="18" t="s">
        <v>68</v>
      </c>
      <c r="I43" s="24">
        <f>3.145/I$1</f>
        <v>0.10145161290322581</v>
      </c>
      <c r="J43" s="20">
        <v>0</v>
      </c>
      <c r="K43" s="20">
        <v>0</v>
      </c>
      <c r="L43" s="20">
        <v>0</v>
      </c>
      <c r="M43" s="20">
        <v>0</v>
      </c>
      <c r="N43" s="341">
        <v>0</v>
      </c>
      <c r="O43" s="20">
        <f>SUM(I43:M43)</f>
        <v>0.10145161290322581</v>
      </c>
      <c r="P43" s="35">
        <v>37861</v>
      </c>
      <c r="Q43" s="18">
        <v>15000</v>
      </c>
      <c r="R43" s="16" t="s">
        <v>1134</v>
      </c>
      <c r="S43" s="25">
        <f>I43*I$1*Q43</f>
        <v>47175</v>
      </c>
      <c r="T43" s="25"/>
      <c r="U43" s="353">
        <v>93034</v>
      </c>
      <c r="V43" s="148"/>
      <c r="W43" s="148"/>
    </row>
    <row r="44" spans="1:23" s="80" customFormat="1" x14ac:dyDescent="0.25">
      <c r="A44" s="16" t="s">
        <v>658</v>
      </c>
      <c r="B44" s="18" t="s">
        <v>747</v>
      </c>
      <c r="C44" s="18" t="s">
        <v>696</v>
      </c>
      <c r="D44" s="19">
        <v>36557</v>
      </c>
      <c r="E44" s="19">
        <v>36830</v>
      </c>
      <c r="F44" s="16" t="s">
        <v>748</v>
      </c>
      <c r="G44" s="16" t="s">
        <v>749</v>
      </c>
      <c r="H44" s="18"/>
      <c r="I44" s="24">
        <f>1.0603/I$1</f>
        <v>3.4203225806451611E-2</v>
      </c>
      <c r="J44" s="20">
        <v>0</v>
      </c>
      <c r="K44" s="20">
        <v>0</v>
      </c>
      <c r="L44" s="20">
        <v>0</v>
      </c>
      <c r="M44" s="20">
        <v>0</v>
      </c>
      <c r="N44" s="341">
        <v>0</v>
      </c>
      <c r="O44" s="20">
        <f t="shared" ref="O44:O49" si="2">SUM(I44:M44)</f>
        <v>3.4203225806451611E-2</v>
      </c>
      <c r="P44" s="35">
        <v>42789</v>
      </c>
      <c r="Q44" s="18">
        <v>30000</v>
      </c>
      <c r="R44" s="16" t="s">
        <v>750</v>
      </c>
      <c r="S44" s="25">
        <f t="shared" ref="S44:S52" si="3">I44*I$1*Q44</f>
        <v>31809</v>
      </c>
      <c r="T44" s="25"/>
      <c r="U44" s="353">
        <v>156388</v>
      </c>
      <c r="V44" s="148"/>
      <c r="W44" s="148"/>
    </row>
    <row r="45" spans="1:23" s="80" customFormat="1" x14ac:dyDescent="0.25">
      <c r="A45" s="16" t="s">
        <v>658</v>
      </c>
      <c r="B45" s="18" t="s">
        <v>747</v>
      </c>
      <c r="C45" s="18" t="s">
        <v>696</v>
      </c>
      <c r="D45" s="19">
        <v>36557</v>
      </c>
      <c r="E45" s="19">
        <v>36830</v>
      </c>
      <c r="F45" s="16" t="s">
        <v>751</v>
      </c>
      <c r="G45" s="16" t="s">
        <v>749</v>
      </c>
      <c r="H45" s="18"/>
      <c r="I45" s="24">
        <f>1.0603/I$1</f>
        <v>3.4203225806451611E-2</v>
      </c>
      <c r="J45" s="20">
        <v>0</v>
      </c>
      <c r="K45" s="20">
        <v>0</v>
      </c>
      <c r="L45" s="20">
        <v>0</v>
      </c>
      <c r="M45" s="20">
        <v>0</v>
      </c>
      <c r="N45" s="341">
        <v>0</v>
      </c>
      <c r="O45" s="20">
        <f t="shared" si="2"/>
        <v>3.4203225806451611E-2</v>
      </c>
      <c r="P45" s="35">
        <v>50250</v>
      </c>
      <c r="Q45" s="18">
        <v>20000</v>
      </c>
      <c r="R45" s="16" t="s">
        <v>752</v>
      </c>
      <c r="S45" s="25">
        <f t="shared" si="3"/>
        <v>21206</v>
      </c>
      <c r="T45" s="25"/>
      <c r="U45" s="353">
        <v>156399</v>
      </c>
      <c r="V45" s="148"/>
      <c r="W45" s="148"/>
    </row>
    <row r="46" spans="1:23" s="80" customFormat="1" x14ac:dyDescent="0.25">
      <c r="A46" s="16" t="s">
        <v>658</v>
      </c>
      <c r="B46" s="18" t="s">
        <v>747</v>
      </c>
      <c r="C46" s="18" t="s">
        <v>696</v>
      </c>
      <c r="D46" s="19">
        <v>36557</v>
      </c>
      <c r="E46" s="19">
        <v>38442</v>
      </c>
      <c r="F46" s="16" t="s">
        <v>749</v>
      </c>
      <c r="G46" s="16" t="s">
        <v>369</v>
      </c>
      <c r="H46" s="18"/>
      <c r="I46" s="24">
        <f>3.145/I$1</f>
        <v>0.10145161290322581</v>
      </c>
      <c r="J46" s="20">
        <v>0</v>
      </c>
      <c r="K46" s="20">
        <v>0</v>
      </c>
      <c r="L46" s="20">
        <v>0</v>
      </c>
      <c r="M46" s="20">
        <v>0</v>
      </c>
      <c r="N46" s="341">
        <v>0</v>
      </c>
      <c r="O46" s="20">
        <f t="shared" si="2"/>
        <v>0.10145161290322581</v>
      </c>
      <c r="P46" s="35">
        <v>58654</v>
      </c>
      <c r="Q46" s="18">
        <v>15000</v>
      </c>
      <c r="R46" s="16" t="s">
        <v>753</v>
      </c>
      <c r="S46" s="25">
        <f t="shared" si="3"/>
        <v>47175</v>
      </c>
      <c r="T46" s="25"/>
      <c r="U46" s="353">
        <v>156408</v>
      </c>
      <c r="V46" s="148"/>
      <c r="W46" s="148"/>
    </row>
    <row r="47" spans="1:23" s="80" customFormat="1" x14ac:dyDescent="0.25">
      <c r="A47" s="16" t="s">
        <v>658</v>
      </c>
      <c r="B47" s="18" t="s">
        <v>747</v>
      </c>
      <c r="C47" s="18" t="s">
        <v>696</v>
      </c>
      <c r="D47" s="19">
        <v>36557</v>
      </c>
      <c r="E47" s="19">
        <v>37955</v>
      </c>
      <c r="F47" s="16" t="s">
        <v>754</v>
      </c>
      <c r="G47" s="16" t="s">
        <v>755</v>
      </c>
      <c r="H47" s="18"/>
      <c r="I47" s="24">
        <f>1.0603/I$1</f>
        <v>3.4203225806451611E-2</v>
      </c>
      <c r="J47" s="20">
        <v>0</v>
      </c>
      <c r="K47" s="20">
        <v>0</v>
      </c>
      <c r="L47" s="20">
        <v>0</v>
      </c>
      <c r="M47" s="20">
        <v>0</v>
      </c>
      <c r="N47" s="341">
        <v>0</v>
      </c>
      <c r="O47" s="20">
        <f t="shared" si="2"/>
        <v>3.4203225806451611E-2</v>
      </c>
      <c r="P47" s="35">
        <v>62408</v>
      </c>
      <c r="Q47" s="18">
        <v>40000</v>
      </c>
      <c r="R47" s="16" t="s">
        <v>756</v>
      </c>
      <c r="S47" s="25">
        <f t="shared" si="3"/>
        <v>42412</v>
      </c>
      <c r="T47" s="25"/>
      <c r="U47" s="353">
        <v>156526</v>
      </c>
      <c r="V47" s="148"/>
      <c r="W47" s="148"/>
    </row>
    <row r="48" spans="1:23" s="80" customFormat="1" x14ac:dyDescent="0.25">
      <c r="A48" s="16" t="s">
        <v>658</v>
      </c>
      <c r="B48" s="18" t="s">
        <v>747</v>
      </c>
      <c r="C48" s="18" t="s">
        <v>696</v>
      </c>
      <c r="D48" s="19">
        <v>36557</v>
      </c>
      <c r="E48" s="19">
        <v>37346</v>
      </c>
      <c r="F48" s="16" t="s">
        <v>749</v>
      </c>
      <c r="G48" s="16" t="s">
        <v>369</v>
      </c>
      <c r="H48" s="18"/>
      <c r="I48" s="24">
        <f>2.6805/I$1</f>
        <v>8.6467741935483872E-2</v>
      </c>
      <c r="J48" s="20">
        <v>0</v>
      </c>
      <c r="K48" s="20">
        <v>0</v>
      </c>
      <c r="L48" s="20">
        <v>0</v>
      </c>
      <c r="M48" s="20">
        <v>0</v>
      </c>
      <c r="N48" s="341">
        <v>0</v>
      </c>
      <c r="O48" s="20">
        <f t="shared" si="2"/>
        <v>8.6467741935483872E-2</v>
      </c>
      <c r="P48" s="35">
        <v>63115</v>
      </c>
      <c r="Q48" s="18">
        <v>30000</v>
      </c>
      <c r="R48" s="16" t="s">
        <v>753</v>
      </c>
      <c r="S48" s="25">
        <f t="shared" si="3"/>
        <v>80415</v>
      </c>
      <c r="T48" s="25"/>
      <c r="U48" s="353">
        <v>156532</v>
      </c>
      <c r="V48" s="148"/>
      <c r="W48" s="148"/>
    </row>
    <row r="49" spans="1:23" s="80" customFormat="1" x14ac:dyDescent="0.25">
      <c r="A49" s="16" t="s">
        <v>658</v>
      </c>
      <c r="B49" s="18" t="s">
        <v>747</v>
      </c>
      <c r="C49" s="18" t="s">
        <v>696</v>
      </c>
      <c r="D49" s="19">
        <v>36557</v>
      </c>
      <c r="E49" s="19">
        <v>38291</v>
      </c>
      <c r="F49" s="16" t="s">
        <v>757</v>
      </c>
      <c r="G49" s="16" t="s">
        <v>749</v>
      </c>
      <c r="H49" s="18"/>
      <c r="I49" s="24">
        <f>1.0603/I$1</f>
        <v>3.4203225806451611E-2</v>
      </c>
      <c r="J49" s="20">
        <v>0</v>
      </c>
      <c r="K49" s="20">
        <v>0</v>
      </c>
      <c r="L49" s="20">
        <v>0</v>
      </c>
      <c r="M49" s="20">
        <v>0</v>
      </c>
      <c r="N49" s="341">
        <v>0</v>
      </c>
      <c r="O49" s="20">
        <f t="shared" si="2"/>
        <v>3.4203225806451611E-2</v>
      </c>
      <c r="P49" s="35">
        <v>63922</v>
      </c>
      <c r="Q49" s="18">
        <v>25654</v>
      </c>
      <c r="R49" s="16" t="s">
        <v>758</v>
      </c>
      <c r="S49" s="25">
        <f t="shared" si="3"/>
        <v>27200.9362</v>
      </c>
      <c r="T49" s="25"/>
      <c r="U49" s="353">
        <v>156540</v>
      </c>
      <c r="V49" s="148"/>
      <c r="W49" s="148"/>
    </row>
    <row r="50" spans="1:23" s="406" customFormat="1" x14ac:dyDescent="0.25">
      <c r="A50" s="196" t="s">
        <v>658</v>
      </c>
      <c r="B50" s="397" t="s">
        <v>747</v>
      </c>
      <c r="C50" s="397" t="s">
        <v>696</v>
      </c>
      <c r="D50" s="398">
        <v>36557</v>
      </c>
      <c r="E50" s="398">
        <v>36769</v>
      </c>
      <c r="F50" s="196" t="s">
        <v>759</v>
      </c>
      <c r="G50" s="196" t="s">
        <v>760</v>
      </c>
      <c r="H50" s="397"/>
      <c r="I50" s="399">
        <f>1.4381/I$1</f>
        <v>4.6390322580645162E-2</v>
      </c>
      <c r="J50" s="400">
        <v>0</v>
      </c>
      <c r="K50" s="400">
        <v>0</v>
      </c>
      <c r="L50" s="400">
        <v>0</v>
      </c>
      <c r="M50" s="400">
        <v>0</v>
      </c>
      <c r="N50" s="401">
        <v>0</v>
      </c>
      <c r="O50" s="400">
        <f>SUM(I50:M50)</f>
        <v>4.6390322580645162E-2</v>
      </c>
      <c r="P50" s="402">
        <v>64502</v>
      </c>
      <c r="Q50" s="397">
        <v>29000</v>
      </c>
      <c r="R50" s="196" t="s">
        <v>761</v>
      </c>
      <c r="S50" s="403">
        <f t="shared" si="3"/>
        <v>41704.9</v>
      </c>
      <c r="T50" s="403"/>
      <c r="U50" s="404"/>
      <c r="V50" s="408" t="s">
        <v>874</v>
      </c>
      <c r="W50" s="405"/>
    </row>
    <row r="51" spans="1:23" s="80" customFormat="1" x14ac:dyDescent="0.25">
      <c r="A51" s="16" t="s">
        <v>658</v>
      </c>
      <c r="B51" s="18" t="s">
        <v>747</v>
      </c>
      <c r="C51" s="18" t="s">
        <v>762</v>
      </c>
      <c r="D51" s="19">
        <v>36557</v>
      </c>
      <c r="E51" s="19">
        <v>36830</v>
      </c>
      <c r="F51" s="51" t="s">
        <v>763</v>
      </c>
      <c r="G51" s="51" t="s">
        <v>764</v>
      </c>
      <c r="H51" s="18"/>
      <c r="I51" s="24">
        <f>3.145/I$1</f>
        <v>0.10145161290322581</v>
      </c>
      <c r="J51" s="20">
        <v>0</v>
      </c>
      <c r="K51" s="20">
        <v>0</v>
      </c>
      <c r="L51" s="20">
        <v>0</v>
      </c>
      <c r="M51" s="20">
        <v>0</v>
      </c>
      <c r="N51" s="341">
        <v>0</v>
      </c>
      <c r="O51" s="20">
        <f>SUM(I51:M51)</f>
        <v>0.10145161290322581</v>
      </c>
      <c r="P51" s="35">
        <v>65072</v>
      </c>
      <c r="Q51" s="18">
        <v>7610</v>
      </c>
      <c r="R51" s="51" t="s">
        <v>765</v>
      </c>
      <c r="S51" s="25">
        <f t="shared" si="3"/>
        <v>23933.45</v>
      </c>
      <c r="T51" s="25"/>
      <c r="U51" s="353">
        <v>156603</v>
      </c>
      <c r="V51" s="148"/>
      <c r="W51" s="148"/>
    </row>
    <row r="52" spans="1:23" s="230" customFormat="1" x14ac:dyDescent="0.25">
      <c r="A52" s="190" t="s">
        <v>658</v>
      </c>
      <c r="B52" s="378" t="s">
        <v>747</v>
      </c>
      <c r="C52" s="378" t="s">
        <v>762</v>
      </c>
      <c r="D52" s="379">
        <v>36647</v>
      </c>
      <c r="E52" s="379">
        <v>36676</v>
      </c>
      <c r="F52" s="383" t="s">
        <v>763</v>
      </c>
      <c r="G52" s="383" t="s">
        <v>764</v>
      </c>
      <c r="H52" s="378"/>
      <c r="I52" s="380">
        <f>3.145/I$1</f>
        <v>0.10145161290322581</v>
      </c>
      <c r="J52" s="381">
        <v>0</v>
      </c>
      <c r="K52" s="381">
        <v>0</v>
      </c>
      <c r="L52" s="381">
        <v>0</v>
      </c>
      <c r="M52" s="381">
        <v>0</v>
      </c>
      <c r="N52" s="544">
        <v>0</v>
      </c>
      <c r="O52" s="381">
        <f>SUM(I52:M52)</f>
        <v>0.10145161290322581</v>
      </c>
      <c r="P52" s="386">
        <v>65072</v>
      </c>
      <c r="Q52" s="615">
        <v>-446</v>
      </c>
      <c r="R52" s="190" t="s">
        <v>1046</v>
      </c>
      <c r="S52" s="384">
        <f t="shared" si="3"/>
        <v>-1402.67</v>
      </c>
      <c r="T52" s="384"/>
      <c r="U52" s="545">
        <v>251585</v>
      </c>
      <c r="V52" s="385"/>
      <c r="W52" s="385"/>
    </row>
    <row r="53" spans="1:23" s="80" customFormat="1" x14ac:dyDescent="0.25">
      <c r="A53" s="16"/>
      <c r="B53" s="18"/>
      <c r="C53" s="18"/>
      <c r="D53" s="19"/>
      <c r="E53" s="19"/>
      <c r="F53" s="51"/>
      <c r="G53" s="51"/>
      <c r="H53" s="18"/>
      <c r="I53" s="24"/>
      <c r="J53" s="20"/>
      <c r="K53" s="20"/>
      <c r="L53" s="20"/>
      <c r="M53" s="20"/>
      <c r="N53" s="341"/>
      <c r="O53" s="20"/>
      <c r="P53" s="35"/>
      <c r="Q53" s="616"/>
      <c r="R53" s="51"/>
      <c r="S53" s="25"/>
      <c r="T53" s="25"/>
      <c r="U53" s="353"/>
      <c r="V53" s="148"/>
      <c r="W53" s="148"/>
    </row>
    <row r="54" spans="1:23" x14ac:dyDescent="0.25">
      <c r="A54" s="26" t="s">
        <v>47</v>
      </c>
      <c r="B54" s="354" t="s">
        <v>47</v>
      </c>
      <c r="C54" s="27" t="s">
        <v>47</v>
      </c>
      <c r="D54" s="28" t="s">
        <v>47</v>
      </c>
      <c r="E54" s="28"/>
      <c r="F54" s="26" t="s">
        <v>47</v>
      </c>
      <c r="G54" s="355" t="s">
        <v>47</v>
      </c>
      <c r="H54" s="354" t="s">
        <v>47</v>
      </c>
      <c r="I54" s="29"/>
      <c r="J54" s="30"/>
      <c r="K54" s="30"/>
      <c r="L54" s="30"/>
      <c r="M54" s="30"/>
      <c r="N54" s="356"/>
      <c r="O54" s="30"/>
      <c r="P54" s="357" t="s">
        <v>47</v>
      </c>
      <c r="Q54" s="354">
        <f>SUM(Q40:Q53)</f>
        <v>251818</v>
      </c>
      <c r="R54" s="26" t="s">
        <v>47</v>
      </c>
      <c r="S54" s="388">
        <f>SUM(S40:S53)</f>
        <v>402722.61620000005</v>
      </c>
      <c r="T54" s="358">
        <f>SUM(T44:T53)</f>
        <v>0</v>
      </c>
      <c r="U54" s="359"/>
      <c r="V54" s="148"/>
      <c r="W54" s="148"/>
    </row>
    <row r="55" spans="1:23" x14ac:dyDescent="0.25">
      <c r="A55" s="345" t="s">
        <v>49</v>
      </c>
      <c r="B55" s="346" t="s">
        <v>50</v>
      </c>
      <c r="C55" s="346" t="s">
        <v>51</v>
      </c>
      <c r="D55" s="347" t="s">
        <v>52</v>
      </c>
      <c r="E55" s="347"/>
      <c r="F55" s="345" t="s">
        <v>53</v>
      </c>
      <c r="G55" s="345" t="s">
        <v>54</v>
      </c>
      <c r="H55" s="346" t="s">
        <v>778</v>
      </c>
      <c r="I55" s="348" t="s">
        <v>56</v>
      </c>
      <c r="J55" s="346" t="s">
        <v>57</v>
      </c>
      <c r="K55" s="346" t="s">
        <v>58</v>
      </c>
      <c r="L55" s="346" t="s">
        <v>59</v>
      </c>
      <c r="M55" s="346" t="s">
        <v>60</v>
      </c>
      <c r="N55" s="349" t="s">
        <v>62</v>
      </c>
      <c r="O55" s="346" t="s">
        <v>63</v>
      </c>
      <c r="P55" s="350" t="s">
        <v>743</v>
      </c>
      <c r="Q55" s="346" t="s">
        <v>65</v>
      </c>
      <c r="R55" s="345" t="s">
        <v>66</v>
      </c>
      <c r="S55" s="351" t="s">
        <v>744</v>
      </c>
      <c r="T55" s="351" t="s">
        <v>745</v>
      </c>
      <c r="U55" s="352" t="s">
        <v>746</v>
      </c>
      <c r="V55" s="148"/>
      <c r="W55" s="148"/>
    </row>
    <row r="56" spans="1:23" s="80" customFormat="1" x14ac:dyDescent="0.25">
      <c r="A56" s="16" t="s">
        <v>842</v>
      </c>
      <c r="B56" s="16" t="s">
        <v>843</v>
      </c>
      <c r="C56" s="18"/>
      <c r="D56" s="19">
        <v>36526</v>
      </c>
      <c r="E56" s="19">
        <v>36769</v>
      </c>
      <c r="F56" s="16" t="s">
        <v>844</v>
      </c>
      <c r="G56" s="16"/>
      <c r="H56" s="18" t="s">
        <v>845</v>
      </c>
      <c r="I56" s="24">
        <v>0.125</v>
      </c>
      <c r="J56" s="20">
        <v>0</v>
      </c>
      <c r="K56" s="20">
        <v>2.2000000000000001E-3</v>
      </c>
      <c r="L56" s="20">
        <v>7.1999999999999998E-3</v>
      </c>
      <c r="M56" s="20">
        <v>1.3100000000000001E-2</v>
      </c>
      <c r="N56" s="341">
        <v>0</v>
      </c>
      <c r="O56" s="20">
        <f>SUM(I56:M56)</f>
        <v>0.14750000000000002</v>
      </c>
      <c r="P56" s="35" t="s">
        <v>846</v>
      </c>
      <c r="Q56" s="18">
        <v>1000000</v>
      </c>
      <c r="R56" s="16" t="s">
        <v>847</v>
      </c>
      <c r="S56" s="389">
        <v>125000</v>
      </c>
      <c r="T56" s="25"/>
      <c r="U56" s="360"/>
      <c r="V56" s="148"/>
      <c r="W56" s="148"/>
    </row>
    <row r="57" spans="1:23" s="80" customFormat="1" x14ac:dyDescent="0.25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341"/>
      <c r="O57" s="20"/>
      <c r="P57" s="305"/>
      <c r="Q57" s="18"/>
      <c r="R57" s="16"/>
      <c r="S57" s="25">
        <f>SUM(S56)</f>
        <v>125000</v>
      </c>
      <c r="T57" s="25"/>
      <c r="U57" s="360"/>
      <c r="V57" s="148"/>
      <c r="W57" s="148"/>
    </row>
    <row r="58" spans="1:23" x14ac:dyDescent="0.25">
      <c r="A58" s="345" t="s">
        <v>49</v>
      </c>
      <c r="B58" s="346" t="s">
        <v>50</v>
      </c>
      <c r="C58" s="346" t="s">
        <v>51</v>
      </c>
      <c r="D58" s="347" t="s">
        <v>52</v>
      </c>
      <c r="E58" s="347"/>
      <c r="F58" s="345" t="s">
        <v>53</v>
      </c>
      <c r="G58" s="345" t="s">
        <v>54</v>
      </c>
      <c r="H58" s="346" t="s">
        <v>778</v>
      </c>
      <c r="I58" s="348" t="s">
        <v>56</v>
      </c>
      <c r="J58" s="346" t="s">
        <v>57</v>
      </c>
      <c r="K58" s="346" t="s">
        <v>58</v>
      </c>
      <c r="L58" s="346" t="s">
        <v>59</v>
      </c>
      <c r="M58" s="346" t="s">
        <v>60</v>
      </c>
      <c r="N58" s="349" t="s">
        <v>62</v>
      </c>
      <c r="O58" s="346" t="s">
        <v>63</v>
      </c>
      <c r="P58" s="350" t="s">
        <v>743</v>
      </c>
      <c r="Q58" s="346" t="s">
        <v>65</v>
      </c>
      <c r="R58" s="345" t="s">
        <v>66</v>
      </c>
      <c r="S58" s="351" t="s">
        <v>744</v>
      </c>
      <c r="T58" s="351" t="s">
        <v>745</v>
      </c>
      <c r="U58" s="352" t="s">
        <v>746</v>
      </c>
      <c r="V58" s="148"/>
      <c r="W58" s="148"/>
    </row>
    <row r="59" spans="1:23" s="80" customFormat="1" x14ac:dyDescent="0.25">
      <c r="A59" s="16" t="s">
        <v>766</v>
      </c>
      <c r="B59" s="18" t="s">
        <v>544</v>
      </c>
      <c r="C59" s="18" t="s">
        <v>696</v>
      </c>
      <c r="D59" s="19">
        <v>35612</v>
      </c>
      <c r="E59" s="19">
        <v>37437</v>
      </c>
      <c r="F59" s="16" t="s">
        <v>451</v>
      </c>
      <c r="G59" s="16" t="s">
        <v>451</v>
      </c>
      <c r="H59" s="18" t="s">
        <v>779</v>
      </c>
      <c r="I59" s="24">
        <f>7.007/$I$1</f>
        <v>0.22603225806451613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41">
        <v>0</v>
      </c>
      <c r="O59" s="20">
        <f>SUM(I59:M59)</f>
        <v>0.24853225806451615</v>
      </c>
      <c r="P59" s="305">
        <v>270</v>
      </c>
      <c r="Q59" s="18">
        <v>1000</v>
      </c>
      <c r="R59" s="16" t="s">
        <v>780</v>
      </c>
      <c r="S59" s="25">
        <f>I59*I$1*Q59</f>
        <v>7007</v>
      </c>
      <c r="T59" s="25"/>
      <c r="U59" s="360"/>
      <c r="V59" s="148"/>
      <c r="W59" s="148"/>
    </row>
    <row r="60" spans="1:23" s="80" customFormat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41"/>
      <c r="O60" s="20"/>
      <c r="P60" s="305"/>
      <c r="Q60" s="18"/>
      <c r="R60" s="16"/>
      <c r="S60" s="25">
        <f>SUM(S59)</f>
        <v>7007</v>
      </c>
      <c r="T60" s="25"/>
      <c r="U60" s="360"/>
      <c r="V60" s="148"/>
      <c r="W60" s="148"/>
    </row>
    <row r="61" spans="1:23" x14ac:dyDescent="0.25">
      <c r="A61" s="345" t="s">
        <v>49</v>
      </c>
      <c r="B61" s="346" t="s">
        <v>50</v>
      </c>
      <c r="C61" s="346" t="s">
        <v>51</v>
      </c>
      <c r="D61" s="347" t="s">
        <v>52</v>
      </c>
      <c r="E61" s="347"/>
      <c r="F61" s="345" t="s">
        <v>53</v>
      </c>
      <c r="G61" s="345" t="s">
        <v>54</v>
      </c>
      <c r="H61" s="346" t="s">
        <v>778</v>
      </c>
      <c r="I61" s="348" t="s">
        <v>56</v>
      </c>
      <c r="J61" s="346" t="s">
        <v>57</v>
      </c>
      <c r="K61" s="346" t="s">
        <v>58</v>
      </c>
      <c r="L61" s="346" t="s">
        <v>59</v>
      </c>
      <c r="M61" s="346" t="s">
        <v>60</v>
      </c>
      <c r="N61" s="349" t="s">
        <v>62</v>
      </c>
      <c r="O61" s="346" t="s">
        <v>63</v>
      </c>
      <c r="P61" s="350" t="s">
        <v>743</v>
      </c>
      <c r="Q61" s="346" t="s">
        <v>65</v>
      </c>
      <c r="R61" s="345" t="s">
        <v>66</v>
      </c>
      <c r="S61" s="351" t="s">
        <v>744</v>
      </c>
      <c r="T61" s="351" t="s">
        <v>745</v>
      </c>
      <c r="U61" s="352" t="s">
        <v>746</v>
      </c>
      <c r="V61" s="148"/>
      <c r="W61" s="148"/>
    </row>
    <row r="62" spans="1:23" s="16" customFormat="1" ht="10.199999999999999" x14ac:dyDescent="0.2">
      <c r="A62" s="16" t="s">
        <v>658</v>
      </c>
      <c r="B62" s="16" t="s">
        <v>781</v>
      </c>
      <c r="C62" s="16" t="s">
        <v>762</v>
      </c>
      <c r="D62" s="19">
        <v>36557</v>
      </c>
      <c r="E62" s="19">
        <v>36830</v>
      </c>
      <c r="F62" s="16" t="s">
        <v>81</v>
      </c>
      <c r="G62" s="16" t="s">
        <v>126</v>
      </c>
      <c r="H62" s="16" t="s">
        <v>99</v>
      </c>
      <c r="I62" s="494">
        <f>18.29*0.0328767</f>
        <v>0.60131484300000004</v>
      </c>
      <c r="J62" s="16">
        <v>0</v>
      </c>
      <c r="K62" s="16">
        <v>2.2000000000000001E-3</v>
      </c>
      <c r="L62" s="16">
        <v>7.1999999999999998E-3</v>
      </c>
      <c r="M62" s="16">
        <v>1.3100000000000001E-2</v>
      </c>
      <c r="N62" s="16">
        <v>0</v>
      </c>
      <c r="O62" s="16">
        <f>SUM(I62:M62)</f>
        <v>0.62381484300000001</v>
      </c>
      <c r="P62" s="305">
        <v>892510</v>
      </c>
      <c r="Q62" s="16">
        <v>16136</v>
      </c>
      <c r="R62" s="16" t="s">
        <v>782</v>
      </c>
      <c r="S62" s="18">
        <f>I62*I$1*Q62</f>
        <v>300787.30550608801</v>
      </c>
      <c r="U62" s="353" t="s">
        <v>933</v>
      </c>
    </row>
    <row r="63" spans="1:23" s="190" customFormat="1" ht="10.199999999999999" x14ac:dyDescent="0.2">
      <c r="A63" s="190" t="s">
        <v>658</v>
      </c>
      <c r="B63" s="190" t="s">
        <v>781</v>
      </c>
      <c r="C63" s="190" t="s">
        <v>762</v>
      </c>
      <c r="D63" s="379">
        <v>36647</v>
      </c>
      <c r="E63" s="379">
        <v>36677</v>
      </c>
      <c r="F63" s="190" t="s">
        <v>81</v>
      </c>
      <c r="G63" s="190" t="s">
        <v>126</v>
      </c>
      <c r="H63" s="190" t="s">
        <v>99</v>
      </c>
      <c r="I63" s="547">
        <f>18.889*0.0328767</f>
        <v>0.62100798629999998</v>
      </c>
      <c r="J63" s="190">
        <v>0</v>
      </c>
      <c r="K63" s="190">
        <v>2.2000000000000001E-3</v>
      </c>
      <c r="L63" s="190">
        <v>7.1999999999999998E-3</v>
      </c>
      <c r="M63" s="190">
        <v>1.3100000000000001E-2</v>
      </c>
      <c r="N63" s="190">
        <v>0</v>
      </c>
      <c r="O63" s="190">
        <f>SUM(I63:M63)</f>
        <v>0.64350798629999995</v>
      </c>
      <c r="P63" s="548">
        <v>892511</v>
      </c>
      <c r="Q63" s="190">
        <v>-731</v>
      </c>
      <c r="S63" s="378">
        <f>I63*I$1*Q63</f>
        <v>-14072.6619775443</v>
      </c>
      <c r="U63" s="549">
        <v>251824</v>
      </c>
    </row>
    <row r="64" spans="1:23" s="80" customFormat="1" x14ac:dyDescent="0.25">
      <c r="A64" s="16" t="s">
        <v>658</v>
      </c>
      <c r="B64" s="18" t="s">
        <v>781</v>
      </c>
      <c r="C64" s="18" t="s">
        <v>762</v>
      </c>
      <c r="D64" s="19">
        <v>36465</v>
      </c>
      <c r="E64" s="19">
        <v>36830</v>
      </c>
      <c r="F64" s="16" t="s">
        <v>81</v>
      </c>
      <c r="G64" s="16" t="s">
        <v>126</v>
      </c>
      <c r="H64" s="18" t="s">
        <v>99</v>
      </c>
      <c r="I64" s="494">
        <f>18.889*0.0328767</f>
        <v>0.62100798629999998</v>
      </c>
      <c r="J64" s="20">
        <v>0</v>
      </c>
      <c r="K64" s="20">
        <v>2.2000000000000001E-3</v>
      </c>
      <c r="L64" s="20">
        <v>7.1999999999999998E-3</v>
      </c>
      <c r="M64" s="20">
        <v>1.3100000000000001E-2</v>
      </c>
      <c r="N64" s="341">
        <v>0</v>
      </c>
      <c r="O64" s="20">
        <f>SUM(I64:M64)</f>
        <v>0.64350798629999995</v>
      </c>
      <c r="P64" s="305">
        <v>892511</v>
      </c>
      <c r="Q64" s="18">
        <v>8068</v>
      </c>
      <c r="R64" s="16"/>
      <c r="S64" s="18">
        <f>I64*I$1*Q64</f>
        <v>155319.06543752039</v>
      </c>
      <c r="T64" s="25"/>
      <c r="U64" s="353" t="s">
        <v>934</v>
      </c>
      <c r="V64" s="148"/>
      <c r="W64" s="148"/>
    </row>
    <row r="65" spans="1:23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4"/>
      <c r="L65" s="20"/>
      <c r="M65" s="20"/>
      <c r="N65" s="341"/>
      <c r="O65" s="20"/>
      <c r="P65" s="35"/>
      <c r="Q65" s="17"/>
      <c r="R65" s="18"/>
      <c r="S65" s="25">
        <f>SUM(S62:S64)</f>
        <v>442033.70896606409</v>
      </c>
      <c r="T65" s="25"/>
      <c r="U65" s="353"/>
      <c r="V65" s="148"/>
      <c r="W65" s="148"/>
    </row>
    <row r="66" spans="1:23" x14ac:dyDescent="0.25">
      <c r="A66" s="345" t="s">
        <v>49</v>
      </c>
      <c r="B66" s="346" t="s">
        <v>50</v>
      </c>
      <c r="C66" s="346" t="s">
        <v>51</v>
      </c>
      <c r="D66" s="347" t="s">
        <v>52</v>
      </c>
      <c r="E66" s="347"/>
      <c r="F66" s="345" t="s">
        <v>53</v>
      </c>
      <c r="G66" s="345" t="s">
        <v>54</v>
      </c>
      <c r="H66" s="346" t="s">
        <v>778</v>
      </c>
      <c r="I66" s="348" t="s">
        <v>56</v>
      </c>
      <c r="J66" s="346" t="s">
        <v>57</v>
      </c>
      <c r="K66" s="346" t="s">
        <v>58</v>
      </c>
      <c r="L66" s="346" t="s">
        <v>59</v>
      </c>
      <c r="M66" s="346" t="s">
        <v>60</v>
      </c>
      <c r="N66" s="349" t="s">
        <v>62</v>
      </c>
      <c r="O66" s="346" t="s">
        <v>63</v>
      </c>
      <c r="P66" s="350" t="s">
        <v>743</v>
      </c>
      <c r="Q66" s="346" t="s">
        <v>65</v>
      </c>
      <c r="R66" s="345" t="s">
        <v>66</v>
      </c>
      <c r="S66" s="351" t="s">
        <v>744</v>
      </c>
      <c r="T66" s="351" t="s">
        <v>745</v>
      </c>
      <c r="U66" s="352" t="s">
        <v>746</v>
      </c>
      <c r="V66" s="148"/>
      <c r="W66" s="148"/>
    </row>
    <row r="67" spans="1:23" x14ac:dyDescent="0.25">
      <c r="A67" s="16" t="s">
        <v>658</v>
      </c>
      <c r="B67" s="18" t="s">
        <v>840</v>
      </c>
      <c r="C67" s="18" t="s">
        <v>841</v>
      </c>
      <c r="D67" s="19"/>
      <c r="E67" s="19"/>
      <c r="F67" s="16"/>
      <c r="G67" s="16"/>
      <c r="H67" s="18"/>
      <c r="I67" s="24">
        <f>4.28/31</f>
        <v>0.13806451612903226</v>
      </c>
      <c r="J67" s="20"/>
      <c r="K67" s="34"/>
      <c r="L67" s="20"/>
      <c r="M67" s="20"/>
      <c r="N67" s="341"/>
      <c r="O67" s="20"/>
      <c r="P67" s="35">
        <v>714638</v>
      </c>
      <c r="Q67" s="17">
        <v>40000</v>
      </c>
      <c r="R67" s="18"/>
      <c r="S67" s="339">
        <f>I67*I$1*Q67</f>
        <v>171200</v>
      </c>
      <c r="T67" s="25"/>
      <c r="U67" s="353"/>
      <c r="V67" s="148"/>
      <c r="W67" s="148"/>
    </row>
    <row r="68" spans="1:23" x14ac:dyDescent="0.25">
      <c r="A68" s="16" t="s">
        <v>658</v>
      </c>
      <c r="B68" s="18" t="s">
        <v>840</v>
      </c>
      <c r="C68" s="18" t="s">
        <v>696</v>
      </c>
      <c r="D68" s="19"/>
      <c r="E68" s="19"/>
      <c r="F68" s="16"/>
      <c r="G68" s="16"/>
      <c r="H68" s="18"/>
      <c r="I68" s="24">
        <f>4.28/31</f>
        <v>0.13806451612903226</v>
      </c>
      <c r="J68" s="20"/>
      <c r="K68" s="34"/>
      <c r="L68" s="20"/>
      <c r="M68" s="20"/>
      <c r="N68" s="341"/>
      <c r="O68" s="20"/>
      <c r="P68" s="35">
        <v>712131</v>
      </c>
      <c r="Q68" s="17">
        <v>3750</v>
      </c>
      <c r="R68" s="18"/>
      <c r="S68" s="25">
        <f>I68*I$1*Q68</f>
        <v>16050.000000000002</v>
      </c>
      <c r="T68" s="25"/>
      <c r="U68" s="353"/>
      <c r="V68" s="148"/>
      <c r="W68" s="148"/>
    </row>
    <row r="69" spans="1:23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4"/>
      <c r="L69" s="20"/>
      <c r="M69" s="20"/>
      <c r="N69" s="341"/>
      <c r="O69" s="20"/>
      <c r="P69" s="35"/>
      <c r="Q69" s="17"/>
      <c r="R69" s="18"/>
      <c r="S69" s="139">
        <f>SUM(S67:S68)</f>
        <v>187250</v>
      </c>
      <c r="T69" s="25"/>
      <c r="U69" s="353"/>
      <c r="V69" s="148"/>
      <c r="W69" s="148"/>
    </row>
    <row r="70" spans="1:23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34"/>
      <c r="L70" s="20"/>
      <c r="M70" s="20"/>
      <c r="N70" s="341"/>
      <c r="O70" s="20"/>
      <c r="P70" s="35"/>
      <c r="Q70" s="17"/>
      <c r="R70" s="18"/>
      <c r="S70" s="361"/>
      <c r="T70" s="25"/>
      <c r="U70" s="353"/>
      <c r="V70" s="148"/>
      <c r="W70" s="148"/>
    </row>
    <row r="71" spans="1:23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34"/>
      <c r="L71" s="20"/>
      <c r="M71" s="20"/>
      <c r="N71" s="362"/>
      <c r="O71" s="20"/>
      <c r="P71" s="35"/>
      <c r="Q71" s="18"/>
      <c r="R71" s="18"/>
      <c r="V71" s="363"/>
      <c r="W71" s="363"/>
    </row>
    <row r="72" spans="1:23" x14ac:dyDescent="0.25">
      <c r="A72" s="16"/>
      <c r="B72" s="18"/>
      <c r="C72" s="18"/>
      <c r="D72" s="19" t="s">
        <v>47</v>
      </c>
      <c r="E72" s="19"/>
      <c r="F72" s="16"/>
      <c r="G72" s="16"/>
      <c r="H72" s="18"/>
      <c r="I72" s="24"/>
      <c r="J72" s="20"/>
      <c r="K72" s="34"/>
      <c r="L72" s="20"/>
      <c r="M72" s="20"/>
      <c r="N72" s="341"/>
      <c r="O72" s="20"/>
      <c r="P72" s="364"/>
      <c r="Q72" s="55"/>
      <c r="R72" s="365" t="s">
        <v>788</v>
      </c>
      <c r="S72" s="366">
        <f>SUM(S69,S65,S60,S57,S38,S54)</f>
        <v>1414278.9411660642</v>
      </c>
      <c r="T72" s="367"/>
      <c r="U72" s="368"/>
      <c r="V72" s="147"/>
      <c r="W72" s="147"/>
    </row>
    <row r="73" spans="1:23" x14ac:dyDescent="0.25">
      <c r="A73" s="49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341"/>
      <c r="O73" s="20"/>
      <c r="P73" s="364"/>
      <c r="Q73" s="369"/>
      <c r="R73" s="50" t="s">
        <v>789</v>
      </c>
      <c r="S73" s="370">
        <f>SUM(S62:S64,S33:S36,S51:S53)</f>
        <v>509474.1049660641</v>
      </c>
      <c r="T73" s="50"/>
      <c r="U73" s="342"/>
      <c r="V73" s="147"/>
      <c r="W73" s="147"/>
    </row>
    <row r="74" spans="1:23" ht="13.8" thickBot="1" x14ac:dyDescent="0.3">
      <c r="A74" s="49"/>
      <c r="B74" s="18"/>
      <c r="C74" s="18"/>
      <c r="D74" s="19"/>
      <c r="E74" s="19"/>
      <c r="F74" s="16"/>
      <c r="G74" s="16"/>
      <c r="H74" s="18"/>
      <c r="I74" s="20"/>
      <c r="J74" s="20"/>
      <c r="K74" s="20"/>
      <c r="L74" s="20"/>
      <c r="M74" s="20"/>
      <c r="N74" s="341"/>
      <c r="O74" s="20"/>
      <c r="P74" s="364"/>
      <c r="Q74" s="369"/>
      <c r="R74" s="50" t="s">
        <v>790</v>
      </c>
      <c r="S74" s="371">
        <f>+S72-S73</f>
        <v>904804.83620000014</v>
      </c>
      <c r="T74" s="50"/>
      <c r="U74" s="342"/>
      <c r="V74" s="147"/>
      <c r="W74" s="147"/>
    </row>
    <row r="75" spans="1:23" ht="13.8" thickTop="1" x14ac:dyDescent="0.25">
      <c r="A75" s="49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341"/>
      <c r="O75" s="20"/>
      <c r="P75" s="364"/>
      <c r="Q75" s="369"/>
      <c r="R75" s="50"/>
      <c r="S75" s="50"/>
      <c r="T75" s="50"/>
      <c r="U75" s="342"/>
      <c r="V75" s="147"/>
      <c r="W75" s="147"/>
    </row>
    <row r="76" spans="1:23" x14ac:dyDescent="0.25">
      <c r="A76" s="49"/>
      <c r="B76" s="18"/>
      <c r="C76" s="18"/>
      <c r="D76" s="19"/>
      <c r="E76" s="19"/>
      <c r="F76" s="16"/>
      <c r="G76" s="16"/>
      <c r="H76" s="18"/>
      <c r="I76" s="20"/>
      <c r="J76" s="20"/>
      <c r="K76" s="20"/>
      <c r="L76" s="20"/>
      <c r="M76" s="20"/>
      <c r="N76" s="341"/>
      <c r="O76" s="20"/>
      <c r="P76" s="364"/>
      <c r="Q76" s="369"/>
      <c r="R76" s="50"/>
      <c r="S76" s="50"/>
      <c r="T76" s="50"/>
      <c r="U76" s="342"/>
      <c r="V76" s="147"/>
      <c r="W76" s="147"/>
    </row>
    <row r="77" spans="1:23" x14ac:dyDescent="0.25">
      <c r="A77" s="49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41"/>
      <c r="O77" s="20"/>
      <c r="P77" s="364"/>
      <c r="Q77" s="369"/>
      <c r="R77" s="50"/>
      <c r="S77" s="50"/>
      <c r="T77" s="50"/>
      <c r="U77" s="342"/>
      <c r="V77" s="147"/>
      <c r="W77" s="147"/>
    </row>
    <row r="78" spans="1:23" x14ac:dyDescent="0.25">
      <c r="A78" s="49"/>
      <c r="B78" s="18"/>
      <c r="C78" s="18"/>
      <c r="D78" s="19"/>
      <c r="E78" s="19"/>
      <c r="F78" s="16"/>
      <c r="G78" s="16"/>
      <c r="H78" s="18"/>
      <c r="I78" s="20"/>
      <c r="J78" s="20"/>
      <c r="K78" s="20"/>
      <c r="L78" s="20"/>
      <c r="M78" s="20"/>
      <c r="N78" s="341"/>
      <c r="O78" s="20"/>
      <c r="P78" s="364"/>
      <c r="Q78" s="369"/>
      <c r="R78" s="50"/>
      <c r="S78" s="50"/>
      <c r="T78" s="50"/>
      <c r="U78" s="342"/>
      <c r="V78" s="147"/>
      <c r="W78" s="147"/>
    </row>
    <row r="79" spans="1:23" x14ac:dyDescent="0.25">
      <c r="A79" s="49"/>
      <c r="B79" s="18"/>
      <c r="C79" s="18"/>
      <c r="D79" s="19"/>
      <c r="E79" s="19"/>
      <c r="F79" s="16"/>
      <c r="G79" s="16"/>
      <c r="H79" s="18"/>
      <c r="I79" s="20"/>
      <c r="J79" s="20"/>
      <c r="K79" s="20"/>
      <c r="L79" s="20"/>
      <c r="M79" s="20"/>
      <c r="N79" s="341"/>
      <c r="O79" s="20"/>
      <c r="P79" s="364"/>
      <c r="Q79" s="369"/>
      <c r="R79" s="50"/>
      <c r="S79" s="50"/>
      <c r="T79" s="50"/>
      <c r="U79" s="342"/>
      <c r="V79" s="159"/>
      <c r="W79" s="147"/>
    </row>
    <row r="80" spans="1:23" x14ac:dyDescent="0.25">
      <c r="A80" s="49"/>
      <c r="B80" s="18"/>
      <c r="C80" s="18"/>
      <c r="D80" s="19"/>
      <c r="E80" s="19"/>
      <c r="F80" s="16"/>
      <c r="G80" s="16"/>
      <c r="H80" s="18"/>
      <c r="I80" s="20"/>
      <c r="J80" s="20"/>
      <c r="K80" s="20"/>
      <c r="L80" s="20"/>
      <c r="M80" s="20"/>
      <c r="N80" s="341"/>
      <c r="O80" s="20"/>
      <c r="P80" s="364"/>
      <c r="Q80" s="369"/>
      <c r="R80" s="50"/>
      <c r="S80" s="50"/>
      <c r="T80" s="50"/>
      <c r="U80" s="342"/>
      <c r="V80" s="147"/>
      <c r="W80" s="147"/>
    </row>
    <row r="81" spans="1:23" x14ac:dyDescent="0.25">
      <c r="A81" s="49"/>
      <c r="B81" s="18"/>
      <c r="C81" s="18"/>
      <c r="D81" s="19"/>
      <c r="E81" s="19"/>
      <c r="F81" s="16"/>
      <c r="G81" s="16"/>
      <c r="H81" s="18"/>
      <c r="I81" s="20"/>
      <c r="J81" s="20"/>
      <c r="K81" s="20"/>
      <c r="L81" s="20"/>
      <c r="M81" s="20"/>
      <c r="N81" s="341"/>
      <c r="O81" s="20"/>
      <c r="P81" s="364"/>
      <c r="Q81" s="369"/>
      <c r="R81" s="50"/>
      <c r="S81" s="50"/>
      <c r="T81" s="50"/>
      <c r="U81" s="342"/>
      <c r="V81" s="147"/>
      <c r="W81" s="147"/>
    </row>
    <row r="82" spans="1:23" x14ac:dyDescent="0.25">
      <c r="A82" s="49"/>
      <c r="B82" s="18"/>
      <c r="C82" s="18"/>
      <c r="D82" s="19"/>
      <c r="E82" s="19"/>
      <c r="F82" s="16"/>
      <c r="G82" s="16"/>
      <c r="H82" s="18"/>
      <c r="I82" s="24"/>
      <c r="J82" s="20"/>
      <c r="K82" s="20"/>
      <c r="L82" s="20"/>
      <c r="M82" s="20"/>
      <c r="N82" s="341"/>
      <c r="O82" s="20"/>
      <c r="P82" s="364"/>
      <c r="Q82" s="369"/>
      <c r="R82" s="159"/>
      <c r="S82" s="50"/>
      <c r="T82" s="50"/>
      <c r="U82" s="342"/>
      <c r="V82" s="147"/>
      <c r="W82" s="147"/>
    </row>
    <row r="83" spans="1:23" x14ac:dyDescent="0.25">
      <c r="A83" s="49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341"/>
      <c r="O83" s="20"/>
      <c r="P83" s="364"/>
      <c r="Q83" s="369"/>
      <c r="R83" s="159"/>
      <c r="S83" s="50"/>
      <c r="T83" s="50"/>
      <c r="U83" s="342"/>
      <c r="V83" s="147"/>
      <c r="W83" s="147"/>
    </row>
    <row r="84" spans="1:23" x14ac:dyDescent="0.25">
      <c r="P84" s="78"/>
      <c r="Q84" s="78"/>
      <c r="R84" s="78"/>
      <c r="S84" s="78"/>
      <c r="T84" s="78"/>
      <c r="U84" s="373"/>
      <c r="V84" s="373"/>
    </row>
    <row r="85" spans="1:23" x14ac:dyDescent="0.25">
      <c r="P85" s="78"/>
      <c r="Q85" s="78"/>
      <c r="R85" s="78"/>
      <c r="S85" s="78"/>
      <c r="T85" s="78"/>
      <c r="U85" s="373"/>
      <c r="V85" s="373"/>
    </row>
  </sheetData>
  <pageMargins left="0.75" right="0.75" top="1" bottom="1" header="0.5" footer="0.5"/>
  <pageSetup paperSize="5" scale="6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157"/>
  <sheetViews>
    <sheetView tabSelected="1" zoomScale="125" workbookViewId="0">
      <pane xSplit="4" ySplit="4" topLeftCell="Q111" activePane="bottomRight" state="frozen"/>
      <selection pane="topRight" activeCell="E1" sqref="E1"/>
      <selection pane="bottomLeft" activeCell="A6" sqref="A6"/>
      <selection pane="bottomRight" activeCell="C14" sqref="C14"/>
    </sheetView>
  </sheetViews>
  <sheetFormatPr defaultColWidth="9.109375" defaultRowHeight="13.2" x14ac:dyDescent="0.25"/>
  <cols>
    <col min="1" max="1" width="6.33203125" style="36" customWidth="1"/>
    <col min="2" max="2" width="9.109375" style="36"/>
    <col min="3" max="3" width="10.5546875" style="36" customWidth="1"/>
    <col min="4" max="4" width="11.109375" style="36" customWidth="1"/>
    <col min="5" max="5" width="8" style="36" customWidth="1"/>
    <col min="6" max="6" width="12.44140625" style="49" customWidth="1"/>
    <col min="7" max="7" width="8" style="49" customWidth="1"/>
    <col min="8" max="8" width="6.44140625" style="36" customWidth="1"/>
    <col min="9" max="9" width="9.33203125" style="36" customWidth="1"/>
    <col min="10" max="16" width="0" style="36" hidden="1" customWidth="1"/>
    <col min="17" max="17" width="15.109375" style="36" customWidth="1"/>
    <col min="18" max="18" width="9.109375" style="36"/>
    <col min="19" max="19" width="14.6640625" style="36" customWidth="1"/>
    <col min="20" max="20" width="9.109375" style="98"/>
    <col min="21" max="21" width="7.33203125" style="36" customWidth="1"/>
    <col min="22" max="22" width="12.5546875" style="149" customWidth="1"/>
    <col min="23" max="23" width="9.109375" style="149"/>
    <col min="24" max="24" width="12.44140625" style="36" customWidth="1"/>
    <col min="25" max="16384" width="9.109375" style="36"/>
  </cols>
  <sheetData>
    <row r="1" spans="1:29" x14ac:dyDescent="0.25">
      <c r="A1" s="160" t="s">
        <v>1010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0"/>
      <c r="K1" s="20"/>
      <c r="L1" s="20"/>
      <c r="M1" s="20"/>
      <c r="N1" s="20"/>
      <c r="O1" s="21"/>
      <c r="P1" s="20"/>
      <c r="Q1" s="35"/>
      <c r="R1" s="17"/>
      <c r="S1" s="50"/>
      <c r="T1" s="416"/>
      <c r="U1" s="50"/>
      <c r="V1" s="147"/>
      <c r="W1" s="147"/>
    </row>
    <row r="2" spans="1:29" x14ac:dyDescent="0.25">
      <c r="A2" s="190" t="s">
        <v>634</v>
      </c>
      <c r="B2" s="190"/>
      <c r="C2" s="190"/>
      <c r="D2" s="19"/>
      <c r="E2" s="19"/>
      <c r="F2" s="16"/>
      <c r="G2" s="16"/>
      <c r="H2" s="18"/>
      <c r="I2" s="23"/>
      <c r="J2" s="20"/>
      <c r="K2" s="20"/>
      <c r="L2" s="20"/>
      <c r="M2" s="20"/>
      <c r="N2" s="20"/>
      <c r="O2" s="21"/>
      <c r="P2" s="20"/>
      <c r="Q2" s="35"/>
      <c r="R2" s="17"/>
      <c r="S2" s="50"/>
      <c r="T2" s="416"/>
      <c r="U2" s="50"/>
      <c r="V2" s="147"/>
      <c r="W2" s="147"/>
    </row>
    <row r="3" spans="1:29" x14ac:dyDescent="0.25">
      <c r="A3" s="196" t="s">
        <v>635</v>
      </c>
      <c r="B3" s="196"/>
      <c r="C3" s="19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53" t="s">
        <v>47</v>
      </c>
      <c r="O3" s="21"/>
      <c r="P3" s="53" t="s">
        <v>47</v>
      </c>
      <c r="Q3" s="35"/>
      <c r="R3" s="17"/>
      <c r="S3" s="50"/>
      <c r="T3" s="416"/>
      <c r="U3" s="50"/>
      <c r="V3" s="147"/>
      <c r="W3" s="147"/>
      <c r="Z3" s="36">
        <v>2.8</v>
      </c>
      <c r="AC3" s="36">
        <v>3.03</v>
      </c>
    </row>
    <row r="4" spans="1:29" x14ac:dyDescent="0.25">
      <c r="A4" s="197" t="s">
        <v>636</v>
      </c>
      <c r="B4" s="198"/>
      <c r="C4" s="198"/>
      <c r="D4" s="19"/>
      <c r="E4" s="19"/>
      <c r="F4" s="54"/>
      <c r="G4" s="16"/>
      <c r="H4" s="54"/>
      <c r="I4" s="24"/>
      <c r="J4" s="54"/>
      <c r="K4" s="20"/>
      <c r="L4" s="54"/>
      <c r="M4" s="17"/>
      <c r="N4" s="54"/>
      <c r="O4" s="21"/>
      <c r="P4" s="17"/>
      <c r="Q4" s="35"/>
      <c r="R4" s="17"/>
      <c r="S4" s="50"/>
      <c r="T4" s="416"/>
      <c r="U4" s="55"/>
      <c r="V4" s="147" t="s">
        <v>548</v>
      </c>
      <c r="W4" s="147"/>
    </row>
    <row r="5" spans="1:29" s="80" customFormat="1" x14ac:dyDescent="0.25">
      <c r="A5" s="296" t="s">
        <v>49</v>
      </c>
      <c r="B5" s="297" t="s">
        <v>50</v>
      </c>
      <c r="C5" s="297" t="s">
        <v>51</v>
      </c>
      <c r="D5" s="298" t="s">
        <v>52</v>
      </c>
      <c r="E5" s="298"/>
      <c r="F5" s="296" t="s">
        <v>53</v>
      </c>
      <c r="G5" s="296" t="s">
        <v>54</v>
      </c>
      <c r="H5" s="297" t="s">
        <v>55</v>
      </c>
      <c r="I5" s="299" t="s">
        <v>56</v>
      </c>
      <c r="J5" s="297" t="s">
        <v>57</v>
      </c>
      <c r="K5" s="297" t="s">
        <v>58</v>
      </c>
      <c r="L5" s="297" t="s">
        <v>59</v>
      </c>
      <c r="M5" s="297" t="s">
        <v>60</v>
      </c>
      <c r="N5" s="297" t="s">
        <v>61</v>
      </c>
      <c r="O5" s="300" t="s">
        <v>62</v>
      </c>
      <c r="P5" s="297" t="s">
        <v>63</v>
      </c>
      <c r="Q5" s="301" t="s">
        <v>64</v>
      </c>
      <c r="R5" s="297" t="s">
        <v>65</v>
      </c>
      <c r="S5" s="296" t="s">
        <v>66</v>
      </c>
      <c r="T5" s="417" t="s">
        <v>693</v>
      </c>
      <c r="U5" s="302" t="s">
        <v>694</v>
      </c>
      <c r="V5" s="148"/>
      <c r="W5" s="148"/>
    </row>
    <row r="6" spans="1:29" s="80" customFormat="1" x14ac:dyDescent="0.25">
      <c r="A6" s="16"/>
      <c r="B6" s="18" t="s">
        <v>1005</v>
      </c>
      <c r="C6" s="18" t="s">
        <v>1005</v>
      </c>
      <c r="D6" s="19">
        <v>36631</v>
      </c>
      <c r="E6" s="19">
        <v>36981</v>
      </c>
      <c r="F6" s="16"/>
      <c r="G6" s="16"/>
      <c r="H6" s="18" t="s">
        <v>68</v>
      </c>
      <c r="I6" s="24">
        <v>0.65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1">
        <v>3.6900000000000002E-2</v>
      </c>
      <c r="P6" s="20">
        <v>0</v>
      </c>
      <c r="Q6" s="35" t="s">
        <v>1006</v>
      </c>
      <c r="R6" s="18">
        <v>36000</v>
      </c>
      <c r="S6" s="51" t="s">
        <v>1007</v>
      </c>
      <c r="T6" s="339">
        <f>+R6*I6</f>
        <v>23400</v>
      </c>
      <c r="U6" s="25"/>
      <c r="V6" s="148">
        <v>247741</v>
      </c>
      <c r="W6" s="148"/>
    </row>
    <row r="7" spans="1:29" s="80" customFormat="1" x14ac:dyDescent="0.25">
      <c r="A7" s="16"/>
      <c r="B7" s="18"/>
      <c r="C7" s="18"/>
      <c r="D7" s="19"/>
      <c r="E7" s="19"/>
      <c r="F7" s="16"/>
      <c r="G7" s="16"/>
      <c r="H7" s="18"/>
      <c r="I7" s="24"/>
      <c r="J7" s="20"/>
      <c r="K7" s="20"/>
      <c r="L7" s="20"/>
      <c r="M7" s="20"/>
      <c r="N7" s="20"/>
      <c r="O7" s="21"/>
      <c r="P7" s="20"/>
      <c r="Q7" s="35"/>
      <c r="R7" s="18"/>
      <c r="S7" s="25"/>
      <c r="T7" s="339">
        <f>SUM(T6)</f>
        <v>23400</v>
      </c>
      <c r="U7" s="25"/>
      <c r="V7" s="148"/>
      <c r="W7" s="148"/>
    </row>
    <row r="8" spans="1:29" s="80" customFormat="1" x14ac:dyDescent="0.25">
      <c r="A8" s="296" t="s">
        <v>49</v>
      </c>
      <c r="B8" s="297" t="s">
        <v>50</v>
      </c>
      <c r="C8" s="297" t="s">
        <v>51</v>
      </c>
      <c r="D8" s="298" t="s">
        <v>52</v>
      </c>
      <c r="E8" s="298"/>
      <c r="F8" s="296" t="s">
        <v>53</v>
      </c>
      <c r="G8" s="296" t="s">
        <v>54</v>
      </c>
      <c r="H8" s="297" t="s">
        <v>55</v>
      </c>
      <c r="I8" s="299" t="s">
        <v>56</v>
      </c>
      <c r="J8" s="297" t="s">
        <v>57</v>
      </c>
      <c r="K8" s="297" t="s">
        <v>58</v>
      </c>
      <c r="L8" s="297" t="s">
        <v>59</v>
      </c>
      <c r="M8" s="297" t="s">
        <v>60</v>
      </c>
      <c r="N8" s="297" t="s">
        <v>61</v>
      </c>
      <c r="O8" s="300" t="s">
        <v>62</v>
      </c>
      <c r="P8" s="297" t="s">
        <v>63</v>
      </c>
      <c r="Q8" s="301" t="s">
        <v>64</v>
      </c>
      <c r="R8" s="297" t="s">
        <v>65</v>
      </c>
      <c r="S8" s="296" t="s">
        <v>66</v>
      </c>
      <c r="T8" s="417" t="s">
        <v>693</v>
      </c>
      <c r="U8" s="302" t="s">
        <v>694</v>
      </c>
      <c r="V8" s="148"/>
      <c r="W8" s="148"/>
    </row>
    <row r="9" spans="1:29" s="80" customFormat="1" x14ac:dyDescent="0.25">
      <c r="A9" s="16" t="s">
        <v>67</v>
      </c>
      <c r="B9" s="18" t="s">
        <v>84</v>
      </c>
      <c r="C9" s="18" t="s">
        <v>84</v>
      </c>
      <c r="D9" s="19">
        <v>36100</v>
      </c>
      <c r="E9" s="19">
        <v>39022</v>
      </c>
      <c r="F9" s="16">
        <v>1</v>
      </c>
      <c r="G9" s="16">
        <v>2</v>
      </c>
      <c r="H9" s="18" t="s">
        <v>68</v>
      </c>
      <c r="I9" s="24">
        <f>(14.1123+0.2)/I$1</f>
        <v>0.46168709677419351</v>
      </c>
      <c r="J9" s="20">
        <v>5.4000000000000003E-3</v>
      </c>
      <c r="K9" s="20">
        <v>2.2000000000000001E-3</v>
      </c>
      <c r="L9" s="20">
        <v>7.4999999999999997E-3</v>
      </c>
      <c r="M9" s="20">
        <v>1.1999999999999999E-3</v>
      </c>
      <c r="N9" s="20">
        <f>+O9*2.3</f>
        <v>1.61E-2</v>
      </c>
      <c r="O9" s="21">
        <v>7.0000000000000001E-3</v>
      </c>
      <c r="P9" s="20">
        <f>SUM(I9:N9)</f>
        <v>0.49408709677419349</v>
      </c>
      <c r="Q9" s="35" t="s">
        <v>85</v>
      </c>
      <c r="R9" s="18">
        <v>2017</v>
      </c>
      <c r="S9" s="16" t="s">
        <v>378</v>
      </c>
      <c r="T9" s="339">
        <f>I9*I$1*R9</f>
        <v>28867.909099999997</v>
      </c>
      <c r="U9" s="25"/>
      <c r="V9" s="148">
        <v>77758</v>
      </c>
      <c r="W9" s="148"/>
    </row>
    <row r="10" spans="1:29" s="80" customFormat="1" x14ac:dyDescent="0.25">
      <c r="A10" s="16" t="s">
        <v>67</v>
      </c>
      <c r="B10" s="18" t="s">
        <v>84</v>
      </c>
      <c r="C10" s="18" t="s">
        <v>72</v>
      </c>
      <c r="D10" s="19">
        <v>36100</v>
      </c>
      <c r="E10" s="19">
        <v>39539</v>
      </c>
      <c r="F10" s="16" t="s">
        <v>86</v>
      </c>
      <c r="G10" s="16" t="s">
        <v>87</v>
      </c>
      <c r="H10" s="18" t="s">
        <v>47</v>
      </c>
      <c r="I10" s="24">
        <f>(8.5058)/I$1</f>
        <v>0.27438064516129035</v>
      </c>
      <c r="J10" s="20">
        <v>3.0000000000000001E-3</v>
      </c>
      <c r="K10" s="20">
        <v>2.2000000000000001E-3</v>
      </c>
      <c r="L10" s="20">
        <v>0</v>
      </c>
      <c r="M10" s="20">
        <v>6.9999999999999999E-4</v>
      </c>
      <c r="N10" s="20">
        <f>+O10*2.3</f>
        <v>0</v>
      </c>
      <c r="O10" s="21">
        <v>0</v>
      </c>
      <c r="P10" s="20">
        <f>SUM(I10:N10)</f>
        <v>0.28028064516129031</v>
      </c>
      <c r="Q10" s="35" t="s">
        <v>88</v>
      </c>
      <c r="R10" s="18">
        <v>35465</v>
      </c>
      <c r="S10" s="16" t="s">
        <v>379</v>
      </c>
      <c r="T10" s="339">
        <f>I10*I$1*R10</f>
        <v>301658.19700000004</v>
      </c>
      <c r="U10" s="25"/>
      <c r="V10" s="148">
        <v>77729</v>
      </c>
      <c r="W10" s="148"/>
    </row>
    <row r="11" spans="1:29" s="80" customFormat="1" x14ac:dyDescent="0.25">
      <c r="A11" s="16"/>
      <c r="B11" s="18"/>
      <c r="C11" s="18"/>
      <c r="D11" s="19"/>
      <c r="E11" s="19"/>
      <c r="F11" s="16"/>
      <c r="G11" s="16"/>
      <c r="H11" s="18"/>
      <c r="I11" s="24"/>
      <c r="J11" s="20"/>
      <c r="K11" s="20"/>
      <c r="L11" s="20"/>
      <c r="M11" s="20"/>
      <c r="N11" s="20"/>
      <c r="O11" s="21"/>
      <c r="P11" s="20"/>
      <c r="Q11" s="35"/>
      <c r="R11" s="18"/>
      <c r="S11" s="16"/>
      <c r="T11" s="339">
        <f>SUM(T9:T10)</f>
        <v>330526.10610000003</v>
      </c>
      <c r="U11" s="25">
        <f>SUM(U9:U10)</f>
        <v>0</v>
      </c>
      <c r="V11" s="148"/>
      <c r="W11" s="148"/>
    </row>
    <row r="12" spans="1:29" s="80" customFormat="1" x14ac:dyDescent="0.25">
      <c r="A12" s="16"/>
      <c r="B12" s="18"/>
      <c r="C12" s="18"/>
      <c r="D12" s="19"/>
      <c r="E12" s="19"/>
      <c r="F12" s="16"/>
      <c r="G12" s="16"/>
      <c r="H12" s="18"/>
      <c r="I12" s="24"/>
      <c r="J12" s="20"/>
      <c r="K12" s="34"/>
      <c r="L12" s="20"/>
      <c r="M12" s="20"/>
      <c r="N12" s="20"/>
      <c r="O12" s="21"/>
      <c r="P12" s="20"/>
      <c r="Q12" s="35"/>
      <c r="R12" s="18"/>
      <c r="S12" s="18"/>
      <c r="T12" s="339"/>
      <c r="U12" s="25"/>
      <c r="V12" s="148"/>
      <c r="W12" s="148"/>
    </row>
    <row r="13" spans="1:29" s="80" customFormat="1" x14ac:dyDescent="0.25">
      <c r="A13" s="296" t="s">
        <v>49</v>
      </c>
      <c r="B13" s="297" t="s">
        <v>50</v>
      </c>
      <c r="C13" s="297" t="s">
        <v>51</v>
      </c>
      <c r="D13" s="298" t="s">
        <v>52</v>
      </c>
      <c r="E13" s="298"/>
      <c r="F13" s="296" t="s">
        <v>53</v>
      </c>
      <c r="G13" s="296" t="s">
        <v>54</v>
      </c>
      <c r="H13" s="297" t="s">
        <v>55</v>
      </c>
      <c r="I13" s="299" t="s">
        <v>56</v>
      </c>
      <c r="J13" s="297" t="s">
        <v>57</v>
      </c>
      <c r="K13" s="297" t="s">
        <v>58</v>
      </c>
      <c r="L13" s="297" t="s">
        <v>59</v>
      </c>
      <c r="M13" s="297" t="s">
        <v>60</v>
      </c>
      <c r="N13" s="297" t="s">
        <v>61</v>
      </c>
      <c r="O13" s="300" t="s">
        <v>62</v>
      </c>
      <c r="P13" s="297" t="s">
        <v>63</v>
      </c>
      <c r="Q13" s="301" t="s">
        <v>64</v>
      </c>
      <c r="R13" s="297" t="s">
        <v>65</v>
      </c>
      <c r="S13" s="296" t="s">
        <v>66</v>
      </c>
      <c r="T13" s="417" t="s">
        <v>693</v>
      </c>
      <c r="U13" s="302" t="s">
        <v>694</v>
      </c>
      <c r="V13" s="148"/>
      <c r="W13" s="148"/>
    </row>
    <row r="14" spans="1:29" s="80" customFormat="1" ht="13.5" customHeight="1" x14ac:dyDescent="0.25">
      <c r="A14" s="16" t="s">
        <v>608</v>
      </c>
      <c r="B14" s="18" t="s">
        <v>699</v>
      </c>
      <c r="C14" s="18" t="s">
        <v>700</v>
      </c>
      <c r="D14" s="19">
        <v>36526</v>
      </c>
      <c r="E14" s="19">
        <v>36556</v>
      </c>
      <c r="F14" s="16" t="s">
        <v>478</v>
      </c>
      <c r="G14" s="16" t="s">
        <v>700</v>
      </c>
      <c r="H14" s="18"/>
      <c r="I14" s="24">
        <v>0.1275</v>
      </c>
      <c r="J14" s="20">
        <v>0</v>
      </c>
      <c r="K14" s="20">
        <v>0</v>
      </c>
      <c r="L14" s="20">
        <v>0</v>
      </c>
      <c r="M14" s="20">
        <v>0</v>
      </c>
      <c r="N14" s="20">
        <f>+O14*2.2</f>
        <v>1.7600000000000001E-2</v>
      </c>
      <c r="O14" s="21">
        <v>8.0000000000000002E-3</v>
      </c>
      <c r="P14" s="20">
        <f>SUM(I14:N14)</f>
        <v>0.14510000000000001</v>
      </c>
      <c r="Q14" s="35">
        <v>6025</v>
      </c>
      <c r="R14" s="18">
        <v>4581</v>
      </c>
      <c r="S14" s="16"/>
      <c r="T14" s="418">
        <f t="shared" ref="T14:T30" si="0">I14*I$1*R14</f>
        <v>18106.4025</v>
      </c>
      <c r="U14" s="25"/>
      <c r="V14" s="148">
        <v>145032</v>
      </c>
      <c r="W14" s="148"/>
    </row>
    <row r="15" spans="1:29" s="80" customFormat="1" x14ac:dyDescent="0.25">
      <c r="A15" s="16" t="s">
        <v>608</v>
      </c>
      <c r="B15" s="18" t="s">
        <v>699</v>
      </c>
      <c r="C15" s="18" t="s">
        <v>700</v>
      </c>
      <c r="D15" s="19">
        <v>36526</v>
      </c>
      <c r="E15" s="19">
        <v>36556</v>
      </c>
      <c r="F15" s="16" t="s">
        <v>478</v>
      </c>
      <c r="G15" s="16" t="s">
        <v>700</v>
      </c>
      <c r="H15" s="18"/>
      <c r="I15" s="24">
        <v>0.1275</v>
      </c>
      <c r="J15" s="20">
        <v>0</v>
      </c>
      <c r="K15" s="20">
        <v>0</v>
      </c>
      <c r="L15" s="20">
        <v>0</v>
      </c>
      <c r="M15" s="20">
        <v>0</v>
      </c>
      <c r="N15" s="20">
        <f t="shared" ref="N15:N31" si="1">+O15*2.2</f>
        <v>1.7600000000000001E-2</v>
      </c>
      <c r="O15" s="21">
        <v>8.0000000000000002E-3</v>
      </c>
      <c r="P15" s="20">
        <f>SUM(I15:N15)</f>
        <v>0.14510000000000001</v>
      </c>
      <c r="Q15" s="35">
        <v>6041</v>
      </c>
      <c r="R15" s="18">
        <v>835</v>
      </c>
      <c r="S15" s="16"/>
      <c r="T15" s="418">
        <f t="shared" si="0"/>
        <v>3300.3375000000001</v>
      </c>
      <c r="U15" s="25"/>
      <c r="V15" s="148">
        <v>145036</v>
      </c>
      <c r="W15" s="148"/>
    </row>
    <row r="16" spans="1:29" s="80" customFormat="1" x14ac:dyDescent="0.25">
      <c r="A16" s="16" t="s">
        <v>608</v>
      </c>
      <c r="B16" s="18" t="s">
        <v>699</v>
      </c>
      <c r="C16" s="18" t="s">
        <v>1052</v>
      </c>
      <c r="D16" s="19">
        <v>36526</v>
      </c>
      <c r="E16" s="19">
        <v>36556</v>
      </c>
      <c r="F16" s="16" t="s">
        <v>478</v>
      </c>
      <c r="G16" s="16" t="s">
        <v>1052</v>
      </c>
      <c r="H16" s="18"/>
      <c r="I16" s="24">
        <v>0.1275</v>
      </c>
      <c r="J16" s="20">
        <v>0</v>
      </c>
      <c r="K16" s="20">
        <v>0</v>
      </c>
      <c r="L16" s="20">
        <v>0</v>
      </c>
      <c r="M16" s="20">
        <v>0</v>
      </c>
      <c r="N16" s="20">
        <f t="shared" si="1"/>
        <v>1.7600000000000001E-2</v>
      </c>
      <c r="O16" s="21">
        <v>8.0000000000000002E-3</v>
      </c>
      <c r="P16" s="20">
        <f>SUM(I16:N16)</f>
        <v>0.14510000000000001</v>
      </c>
      <c r="Q16" s="35">
        <v>6011</v>
      </c>
      <c r="R16" s="18">
        <v>500</v>
      </c>
      <c r="S16" s="16"/>
      <c r="T16" s="418">
        <f t="shared" si="0"/>
        <v>1976.25</v>
      </c>
      <c r="U16" s="25"/>
      <c r="V16" s="148">
        <v>145040</v>
      </c>
      <c r="W16" s="148"/>
    </row>
    <row r="17" spans="1:23" s="560" customFormat="1" x14ac:dyDescent="0.25">
      <c r="A17" s="550" t="s">
        <v>791</v>
      </c>
      <c r="B17" s="551" t="s">
        <v>699</v>
      </c>
      <c r="C17" s="551" t="s">
        <v>1052</v>
      </c>
      <c r="D17" s="552">
        <v>36647</v>
      </c>
      <c r="E17" s="552">
        <v>36677</v>
      </c>
      <c r="F17" s="550" t="s">
        <v>478</v>
      </c>
      <c r="G17" s="550" t="s">
        <v>1052</v>
      </c>
      <c r="H17" s="551"/>
      <c r="I17" s="553">
        <v>4.5600000000000002E-2</v>
      </c>
      <c r="J17" s="554"/>
      <c r="K17" s="554"/>
      <c r="L17" s="554"/>
      <c r="M17" s="554"/>
      <c r="N17" s="554"/>
      <c r="O17" s="555"/>
      <c r="P17" s="554"/>
      <c r="Q17" s="556">
        <v>6011</v>
      </c>
      <c r="R17" s="551">
        <v>-500</v>
      </c>
      <c r="S17" s="550"/>
      <c r="T17" s="557">
        <f t="shared" si="0"/>
        <v>-706.8</v>
      </c>
      <c r="U17" s="558"/>
      <c r="V17" s="559">
        <v>256505</v>
      </c>
      <c r="W17" s="559"/>
    </row>
    <row r="18" spans="1:23" s="80" customFormat="1" x14ac:dyDescent="0.25">
      <c r="A18" s="16" t="s">
        <v>608</v>
      </c>
      <c r="B18" s="18" t="s">
        <v>699</v>
      </c>
      <c r="C18" s="18" t="s">
        <v>702</v>
      </c>
      <c r="D18" s="19">
        <v>36526</v>
      </c>
      <c r="E18" s="19">
        <v>36556</v>
      </c>
      <c r="F18" s="16" t="s">
        <v>478</v>
      </c>
      <c r="G18" s="16" t="s">
        <v>702</v>
      </c>
      <c r="H18" s="18"/>
      <c r="I18" s="24">
        <v>0.1275</v>
      </c>
      <c r="J18" s="20">
        <v>0</v>
      </c>
      <c r="K18" s="20">
        <v>0</v>
      </c>
      <c r="L18" s="20">
        <v>0</v>
      </c>
      <c r="M18" s="20">
        <v>0</v>
      </c>
      <c r="N18" s="20">
        <f t="shared" si="1"/>
        <v>1.7600000000000001E-2</v>
      </c>
      <c r="O18" s="21">
        <v>8.0000000000000002E-3</v>
      </c>
      <c r="P18" s="20">
        <f>SUM(I18:N18)</f>
        <v>0.14510000000000001</v>
      </c>
      <c r="Q18" s="35">
        <v>6500</v>
      </c>
      <c r="R18" s="18">
        <v>359</v>
      </c>
      <c r="S18" s="16"/>
      <c r="T18" s="418">
        <f t="shared" si="0"/>
        <v>1418.9475</v>
      </c>
      <c r="U18" s="25"/>
      <c r="V18" s="148">
        <v>145042</v>
      </c>
      <c r="W18" s="148"/>
    </row>
    <row r="19" spans="1:23" s="80" customFormat="1" x14ac:dyDescent="0.25">
      <c r="A19" s="16" t="s">
        <v>608</v>
      </c>
      <c r="B19" s="18" t="s">
        <v>699</v>
      </c>
      <c r="C19" s="18" t="s">
        <v>704</v>
      </c>
      <c r="D19" s="19">
        <v>36526</v>
      </c>
      <c r="E19" s="19">
        <v>36556</v>
      </c>
      <c r="F19" s="16" t="s">
        <v>478</v>
      </c>
      <c r="G19" s="16" t="s">
        <v>702</v>
      </c>
      <c r="H19" s="18"/>
      <c r="I19" s="24">
        <v>0.1275</v>
      </c>
      <c r="J19" s="20">
        <v>0</v>
      </c>
      <c r="K19" s="20">
        <v>0</v>
      </c>
      <c r="L19" s="20">
        <v>0</v>
      </c>
      <c r="M19" s="20">
        <v>0</v>
      </c>
      <c r="N19" s="20">
        <f t="shared" si="1"/>
        <v>1.7600000000000001E-2</v>
      </c>
      <c r="O19" s="21">
        <v>8.0000000000000002E-3</v>
      </c>
      <c r="P19" s="20">
        <f t="shared" ref="P19:P26" si="2">SUM(I19:N19)</f>
        <v>0.14510000000000001</v>
      </c>
      <c r="Q19" s="35">
        <v>6005</v>
      </c>
      <c r="R19" s="18">
        <v>1690</v>
      </c>
      <c r="S19" s="16"/>
      <c r="T19" s="418">
        <f t="shared" ref="T19:T26" si="3">I19*I$1*R19</f>
        <v>6679.7250000000004</v>
      </c>
      <c r="U19" s="25"/>
      <c r="V19" s="148">
        <v>144644</v>
      </c>
      <c r="W19" s="148"/>
    </row>
    <row r="20" spans="1:23" s="80" customFormat="1" x14ac:dyDescent="0.25">
      <c r="A20" s="16" t="s">
        <v>608</v>
      </c>
      <c r="B20" s="18" t="s">
        <v>699</v>
      </c>
      <c r="C20" s="18" t="s">
        <v>704</v>
      </c>
      <c r="D20" s="19">
        <v>36526</v>
      </c>
      <c r="E20" s="19">
        <v>36556</v>
      </c>
      <c r="F20" s="16" t="s">
        <v>478</v>
      </c>
      <c r="G20" s="16" t="s">
        <v>702</v>
      </c>
      <c r="H20" s="18"/>
      <c r="I20" s="24">
        <v>0.1275</v>
      </c>
      <c r="J20" s="20">
        <v>0</v>
      </c>
      <c r="K20" s="20">
        <v>0</v>
      </c>
      <c r="L20" s="20">
        <v>0</v>
      </c>
      <c r="M20" s="20">
        <v>0</v>
      </c>
      <c r="N20" s="20">
        <f t="shared" si="1"/>
        <v>1.7600000000000001E-2</v>
      </c>
      <c r="O20" s="21">
        <v>8.0000000000000002E-3</v>
      </c>
      <c r="P20" s="20">
        <f t="shared" si="2"/>
        <v>0.14510000000000001</v>
      </c>
      <c r="Q20" s="35">
        <v>6047</v>
      </c>
      <c r="R20" s="18">
        <v>1758</v>
      </c>
      <c r="S20" s="16"/>
      <c r="T20" s="418">
        <f t="shared" si="3"/>
        <v>6948.4949999999999</v>
      </c>
      <c r="U20" s="25"/>
      <c r="V20" s="148">
        <v>145016</v>
      </c>
      <c r="W20" s="148"/>
    </row>
    <row r="21" spans="1:23" s="80" customFormat="1" x14ac:dyDescent="0.25">
      <c r="A21" s="16" t="s">
        <v>608</v>
      </c>
      <c r="B21" s="18" t="s">
        <v>699</v>
      </c>
      <c r="C21" s="18" t="s">
        <v>704</v>
      </c>
      <c r="D21" s="19">
        <v>36526</v>
      </c>
      <c r="E21" s="19">
        <v>36556</v>
      </c>
      <c r="F21" s="16" t="s">
        <v>478</v>
      </c>
      <c r="G21" s="16" t="s">
        <v>702</v>
      </c>
      <c r="H21" s="18"/>
      <c r="I21" s="24">
        <v>0.1275</v>
      </c>
      <c r="J21" s="20">
        <v>0</v>
      </c>
      <c r="K21" s="20">
        <v>0</v>
      </c>
      <c r="L21" s="20">
        <v>0</v>
      </c>
      <c r="M21" s="20">
        <v>0</v>
      </c>
      <c r="N21" s="20">
        <f t="shared" si="1"/>
        <v>1.7600000000000001E-2</v>
      </c>
      <c r="O21" s="21">
        <v>8.0000000000000002E-3</v>
      </c>
      <c r="P21" s="20">
        <f t="shared" si="2"/>
        <v>0.14510000000000001</v>
      </c>
      <c r="Q21" s="35">
        <v>6048</v>
      </c>
      <c r="R21" s="18">
        <v>2500</v>
      </c>
      <c r="S21" s="16"/>
      <c r="T21" s="418">
        <f t="shared" si="3"/>
        <v>9881.25</v>
      </c>
      <c r="U21" s="25"/>
      <c r="V21" s="148">
        <v>145019</v>
      </c>
      <c r="W21" s="148"/>
    </row>
    <row r="22" spans="1:23" s="80" customFormat="1" x14ac:dyDescent="0.25">
      <c r="A22" s="16" t="s">
        <v>608</v>
      </c>
      <c r="B22" s="18" t="s">
        <v>699</v>
      </c>
      <c r="C22" s="18" t="s">
        <v>704</v>
      </c>
      <c r="D22" s="19">
        <v>36526</v>
      </c>
      <c r="E22" s="19">
        <v>36556</v>
      </c>
      <c r="F22" s="16" t="s">
        <v>478</v>
      </c>
      <c r="G22" s="16" t="s">
        <v>702</v>
      </c>
      <c r="H22" s="18"/>
      <c r="I22" s="24">
        <v>0.1275</v>
      </c>
      <c r="J22" s="20">
        <v>0</v>
      </c>
      <c r="K22" s="20">
        <v>0</v>
      </c>
      <c r="L22" s="20">
        <v>0</v>
      </c>
      <c r="M22" s="20">
        <v>0</v>
      </c>
      <c r="N22" s="20">
        <f t="shared" si="1"/>
        <v>1.7600000000000001E-2</v>
      </c>
      <c r="O22" s="21">
        <v>8.0000000000000002E-3</v>
      </c>
      <c r="P22" s="20">
        <f t="shared" si="2"/>
        <v>0.14510000000000001</v>
      </c>
      <c r="Q22" s="35">
        <v>6049</v>
      </c>
      <c r="R22" s="18">
        <v>12000</v>
      </c>
      <c r="S22" s="16"/>
      <c r="T22" s="418">
        <f t="shared" si="3"/>
        <v>47430</v>
      </c>
      <c r="U22" s="25"/>
      <c r="V22" s="148">
        <v>145020</v>
      </c>
      <c r="W22" s="148"/>
    </row>
    <row r="23" spans="1:23" s="80" customFormat="1" x14ac:dyDescent="0.25">
      <c r="A23" s="16" t="s">
        <v>608</v>
      </c>
      <c r="B23" s="18" t="s">
        <v>699</v>
      </c>
      <c r="C23" s="18" t="s">
        <v>704</v>
      </c>
      <c r="D23" s="19">
        <v>36526</v>
      </c>
      <c r="E23" s="19">
        <v>36556</v>
      </c>
      <c r="F23" s="16" t="s">
        <v>478</v>
      </c>
      <c r="G23" s="16" t="s">
        <v>702</v>
      </c>
      <c r="H23" s="18"/>
      <c r="I23" s="24">
        <v>0.1275</v>
      </c>
      <c r="J23" s="20">
        <v>0</v>
      </c>
      <c r="K23" s="20">
        <v>0</v>
      </c>
      <c r="L23" s="20">
        <v>0</v>
      </c>
      <c r="M23" s="20">
        <v>0</v>
      </c>
      <c r="N23" s="20">
        <f t="shared" si="1"/>
        <v>1.7600000000000001E-2</v>
      </c>
      <c r="O23" s="21">
        <v>8.0000000000000002E-3</v>
      </c>
      <c r="P23" s="20">
        <f t="shared" si="2"/>
        <v>0.14510000000000001</v>
      </c>
      <c r="Q23" s="35">
        <v>6050</v>
      </c>
      <c r="R23" s="18">
        <v>1745</v>
      </c>
      <c r="S23" s="16"/>
      <c r="T23" s="418">
        <f t="shared" si="3"/>
        <v>6897.1125000000002</v>
      </c>
      <c r="U23" s="25"/>
      <c r="V23" s="148">
        <v>145025</v>
      </c>
      <c r="W23" s="148"/>
    </row>
    <row r="24" spans="1:23" s="80" customFormat="1" x14ac:dyDescent="0.25">
      <c r="A24" s="16" t="s">
        <v>608</v>
      </c>
      <c r="B24" s="18" t="s">
        <v>699</v>
      </c>
      <c r="C24" s="18" t="s">
        <v>704</v>
      </c>
      <c r="D24" s="19">
        <v>36526</v>
      </c>
      <c r="E24" s="19">
        <v>36556</v>
      </c>
      <c r="F24" s="16" t="s">
        <v>478</v>
      </c>
      <c r="G24" s="16" t="s">
        <v>702</v>
      </c>
      <c r="H24" s="18"/>
      <c r="I24" s="24">
        <v>0.1275</v>
      </c>
      <c r="J24" s="20">
        <v>0</v>
      </c>
      <c r="K24" s="20">
        <v>0</v>
      </c>
      <c r="L24" s="20">
        <v>0</v>
      </c>
      <c r="M24" s="20">
        <v>0</v>
      </c>
      <c r="N24" s="20">
        <f t="shared" si="1"/>
        <v>1.7600000000000001E-2</v>
      </c>
      <c r="O24" s="21">
        <v>8.0000000000000002E-3</v>
      </c>
      <c r="P24" s="20">
        <f t="shared" si="2"/>
        <v>0.14510000000000001</v>
      </c>
      <c r="Q24" s="35">
        <v>6051</v>
      </c>
      <c r="R24" s="18">
        <v>2800</v>
      </c>
      <c r="S24" s="16"/>
      <c r="T24" s="418">
        <f t="shared" si="3"/>
        <v>11067</v>
      </c>
      <c r="U24" s="25"/>
      <c r="V24" s="148">
        <v>145028</v>
      </c>
      <c r="W24" s="148"/>
    </row>
    <row r="25" spans="1:23" s="80" customFormat="1" x14ac:dyDescent="0.25">
      <c r="A25" s="16" t="s">
        <v>608</v>
      </c>
      <c r="B25" s="18" t="s">
        <v>699</v>
      </c>
      <c r="C25" s="18" t="s">
        <v>704</v>
      </c>
      <c r="D25" s="19">
        <v>36526</v>
      </c>
      <c r="E25" s="19">
        <v>36556</v>
      </c>
      <c r="F25" s="16" t="s">
        <v>478</v>
      </c>
      <c r="G25" s="16" t="s">
        <v>702</v>
      </c>
      <c r="H25" s="18"/>
      <c r="I25" s="24">
        <v>0.1275</v>
      </c>
      <c r="J25" s="20">
        <v>0</v>
      </c>
      <c r="K25" s="20">
        <v>0</v>
      </c>
      <c r="L25" s="20">
        <v>0</v>
      </c>
      <c r="M25" s="20">
        <v>0</v>
      </c>
      <c r="N25" s="20">
        <f t="shared" si="1"/>
        <v>1.7600000000000001E-2</v>
      </c>
      <c r="O25" s="21">
        <v>8.0000000000000002E-3</v>
      </c>
      <c r="P25" s="20">
        <f t="shared" si="2"/>
        <v>0.14510000000000001</v>
      </c>
      <c r="Q25" s="35">
        <v>6052</v>
      </c>
      <c r="R25" s="18">
        <v>1241</v>
      </c>
      <c r="S25" s="16"/>
      <c r="T25" s="418">
        <f t="shared" si="3"/>
        <v>4905.0524999999998</v>
      </c>
      <c r="U25" s="25"/>
      <c r="V25" s="148">
        <v>145029</v>
      </c>
      <c r="W25" s="148"/>
    </row>
    <row r="26" spans="1:23" s="80" customFormat="1" x14ac:dyDescent="0.25">
      <c r="A26" s="16" t="s">
        <v>608</v>
      </c>
      <c r="B26" s="18" t="s">
        <v>699</v>
      </c>
      <c r="C26" s="18" t="s">
        <v>704</v>
      </c>
      <c r="D26" s="19">
        <v>36526</v>
      </c>
      <c r="E26" s="19">
        <v>36556</v>
      </c>
      <c r="F26" s="16" t="s">
        <v>478</v>
      </c>
      <c r="G26" s="16" t="s">
        <v>702</v>
      </c>
      <c r="H26" s="18"/>
      <c r="I26" s="24">
        <v>0.1275</v>
      </c>
      <c r="J26" s="20">
        <v>0</v>
      </c>
      <c r="K26" s="20">
        <v>0</v>
      </c>
      <c r="L26" s="20">
        <v>0</v>
      </c>
      <c r="M26" s="20">
        <v>0</v>
      </c>
      <c r="N26" s="20">
        <f t="shared" si="1"/>
        <v>1.7600000000000001E-2</v>
      </c>
      <c r="O26" s="21">
        <v>8.0000000000000002E-3</v>
      </c>
      <c r="P26" s="20">
        <f t="shared" si="2"/>
        <v>0.14510000000000001</v>
      </c>
      <c r="Q26" s="35">
        <v>6053</v>
      </c>
      <c r="R26" s="18">
        <v>2500</v>
      </c>
      <c r="S26" s="16"/>
      <c r="T26" s="418">
        <f t="shared" si="3"/>
        <v>9881.25</v>
      </c>
      <c r="U26" s="25"/>
      <c r="V26" s="148">
        <v>145030</v>
      </c>
      <c r="W26" s="148"/>
    </row>
    <row r="27" spans="1:23" s="80" customFormat="1" x14ac:dyDescent="0.25">
      <c r="A27" s="16" t="s">
        <v>608</v>
      </c>
      <c r="B27" s="18" t="s">
        <v>699</v>
      </c>
      <c r="C27" s="18" t="s">
        <v>703</v>
      </c>
      <c r="D27" s="19">
        <v>36526</v>
      </c>
      <c r="E27" s="19">
        <v>36556</v>
      </c>
      <c r="F27" s="16" t="s">
        <v>478</v>
      </c>
      <c r="G27" s="16" t="s">
        <v>703</v>
      </c>
      <c r="H27" s="18"/>
      <c r="I27" s="24">
        <v>0.1275</v>
      </c>
      <c r="J27" s="20">
        <v>0</v>
      </c>
      <c r="K27" s="20">
        <v>0</v>
      </c>
      <c r="L27" s="20">
        <v>0</v>
      </c>
      <c r="M27" s="20">
        <v>0</v>
      </c>
      <c r="N27" s="20">
        <f t="shared" si="1"/>
        <v>1.7600000000000001E-2</v>
      </c>
      <c r="O27" s="21">
        <v>8.0000000000000002E-3</v>
      </c>
      <c r="P27" s="20">
        <f>SUM(I27:N27)</f>
        <v>0.14510000000000001</v>
      </c>
      <c r="Q27" s="35">
        <v>6009</v>
      </c>
      <c r="R27" s="18">
        <v>5281</v>
      </c>
      <c r="S27" s="16"/>
      <c r="T27" s="418">
        <f t="shared" si="0"/>
        <v>20873.1525</v>
      </c>
      <c r="U27" s="25"/>
      <c r="V27" s="148">
        <v>145645</v>
      </c>
      <c r="W27" s="148"/>
    </row>
    <row r="28" spans="1:23" s="80" customFormat="1" x14ac:dyDescent="0.25">
      <c r="A28" s="16" t="s">
        <v>608</v>
      </c>
      <c r="B28" s="18" t="s">
        <v>699</v>
      </c>
      <c r="C28" s="18" t="s">
        <v>703</v>
      </c>
      <c r="D28" s="19">
        <v>36526</v>
      </c>
      <c r="E28" s="19">
        <v>36556</v>
      </c>
      <c r="F28" s="16" t="s">
        <v>478</v>
      </c>
      <c r="G28" s="16" t="s">
        <v>703</v>
      </c>
      <c r="H28" s="18"/>
      <c r="I28" s="24">
        <v>0.1275</v>
      </c>
      <c r="J28" s="20">
        <v>0</v>
      </c>
      <c r="K28" s="20">
        <v>0</v>
      </c>
      <c r="L28" s="20">
        <v>0</v>
      </c>
      <c r="M28" s="20">
        <v>0</v>
      </c>
      <c r="N28" s="20">
        <f t="shared" si="1"/>
        <v>1.7600000000000001E-2</v>
      </c>
      <c r="O28" s="21">
        <v>8.0000000000000002E-3</v>
      </c>
      <c r="P28" s="20">
        <f>SUM(I28:N28)</f>
        <v>0.14510000000000001</v>
      </c>
      <c r="Q28" s="35">
        <v>6055</v>
      </c>
      <c r="R28" s="18">
        <v>23254</v>
      </c>
      <c r="S28" s="16"/>
      <c r="T28" s="418">
        <f t="shared" si="0"/>
        <v>91911.434999999998</v>
      </c>
      <c r="U28" s="25"/>
      <c r="V28" s="148">
        <v>145048</v>
      </c>
      <c r="W28" s="148"/>
    </row>
    <row r="29" spans="1:23" s="80" customFormat="1" x14ac:dyDescent="0.25">
      <c r="A29" s="16" t="s">
        <v>608</v>
      </c>
      <c r="B29" s="18" t="s">
        <v>699</v>
      </c>
      <c r="C29" s="18" t="s">
        <v>703</v>
      </c>
      <c r="D29" s="19">
        <v>36526</v>
      </c>
      <c r="E29" s="19">
        <v>36556</v>
      </c>
      <c r="F29" s="16" t="s">
        <v>478</v>
      </c>
      <c r="G29" s="16" t="s">
        <v>703</v>
      </c>
      <c r="H29" s="18"/>
      <c r="I29" s="24">
        <v>0.1275</v>
      </c>
      <c r="J29" s="20">
        <v>0</v>
      </c>
      <c r="K29" s="20">
        <v>0</v>
      </c>
      <c r="L29" s="20">
        <v>0</v>
      </c>
      <c r="M29" s="20">
        <v>0</v>
      </c>
      <c r="N29" s="20">
        <f t="shared" si="1"/>
        <v>1.7600000000000001E-2</v>
      </c>
      <c r="O29" s="21">
        <v>8.0000000000000002E-3</v>
      </c>
      <c r="P29" s="20">
        <f>SUM(I29:N29)</f>
        <v>0.14510000000000001</v>
      </c>
      <c r="Q29" s="35">
        <v>6056</v>
      </c>
      <c r="R29" s="18">
        <v>10000</v>
      </c>
      <c r="S29" s="16"/>
      <c r="T29" s="418">
        <f t="shared" si="0"/>
        <v>39525</v>
      </c>
      <c r="U29" s="25"/>
      <c r="V29" s="148">
        <v>145049</v>
      </c>
      <c r="W29" s="148"/>
    </row>
    <row r="30" spans="1:23" s="80" customFormat="1" x14ac:dyDescent="0.25">
      <c r="A30" s="16" t="s">
        <v>608</v>
      </c>
      <c r="B30" s="18" t="s">
        <v>699</v>
      </c>
      <c r="C30" s="18" t="s">
        <v>703</v>
      </c>
      <c r="D30" s="19">
        <v>36526</v>
      </c>
      <c r="E30" s="19">
        <v>36556</v>
      </c>
      <c r="F30" s="16" t="s">
        <v>478</v>
      </c>
      <c r="G30" s="16" t="s">
        <v>703</v>
      </c>
      <c r="H30" s="18"/>
      <c r="I30" s="24">
        <v>0.1275</v>
      </c>
      <c r="J30" s="20">
        <v>0</v>
      </c>
      <c r="K30" s="20">
        <v>0</v>
      </c>
      <c r="L30" s="20">
        <v>0</v>
      </c>
      <c r="M30" s="20">
        <v>0</v>
      </c>
      <c r="N30" s="20">
        <f t="shared" si="1"/>
        <v>1.7600000000000001E-2</v>
      </c>
      <c r="O30" s="21">
        <v>8.0000000000000002E-3</v>
      </c>
      <c r="P30" s="20">
        <f>SUM(I30:N30)</f>
        <v>0.14510000000000001</v>
      </c>
      <c r="Q30" s="35">
        <v>6063</v>
      </c>
      <c r="R30" s="18">
        <v>5000</v>
      </c>
      <c r="S30" s="16"/>
      <c r="T30" s="418">
        <f t="shared" si="0"/>
        <v>19762.5</v>
      </c>
      <c r="U30" s="25"/>
      <c r="V30" s="148">
        <v>145050</v>
      </c>
      <c r="W30" s="148"/>
    </row>
    <row r="31" spans="1:23" s="80" customFormat="1" x14ac:dyDescent="0.25">
      <c r="A31" s="16" t="s">
        <v>608</v>
      </c>
      <c r="B31" s="18" t="s">
        <v>699</v>
      </c>
      <c r="C31" s="18" t="s">
        <v>82</v>
      </c>
      <c r="D31" s="19">
        <v>36526</v>
      </c>
      <c r="E31" s="19">
        <v>36556</v>
      </c>
      <c r="F31" s="16" t="s">
        <v>478</v>
      </c>
      <c r="G31" s="16" t="s">
        <v>700</v>
      </c>
      <c r="H31" s="18"/>
      <c r="I31" s="24">
        <v>0.1275</v>
      </c>
      <c r="J31" s="20">
        <v>0</v>
      </c>
      <c r="K31" s="20">
        <v>0</v>
      </c>
      <c r="L31" s="20">
        <v>0</v>
      </c>
      <c r="M31" s="20">
        <v>0</v>
      </c>
      <c r="N31" s="20">
        <f t="shared" si="1"/>
        <v>1.7600000000000001E-2</v>
      </c>
      <c r="O31" s="21">
        <v>8.0000000000000002E-3</v>
      </c>
      <c r="P31" s="20">
        <f>SUM(I31:N31)</f>
        <v>0.14510000000000001</v>
      </c>
      <c r="Q31" s="35">
        <v>6056</v>
      </c>
      <c r="R31" s="18"/>
      <c r="S31" s="16"/>
      <c r="T31" s="339"/>
      <c r="U31" s="25"/>
      <c r="V31" s="148"/>
      <c r="W31" s="148"/>
    </row>
    <row r="32" spans="1:23" s="80" customFormat="1" x14ac:dyDescent="0.25">
      <c r="A32" s="16"/>
      <c r="B32" s="18"/>
      <c r="C32" s="18"/>
      <c r="D32" s="19"/>
      <c r="E32" s="19"/>
      <c r="F32" s="16"/>
      <c r="G32" s="16"/>
      <c r="H32" s="18"/>
      <c r="I32" s="24"/>
      <c r="J32" s="20"/>
      <c r="K32" s="34"/>
      <c r="L32" s="20"/>
      <c r="M32" s="20"/>
      <c r="N32" s="20"/>
      <c r="O32" s="21"/>
      <c r="P32" s="20"/>
      <c r="Q32" s="35"/>
      <c r="R32" s="18"/>
      <c r="S32" s="18"/>
      <c r="T32" s="339">
        <f>SUM(T14:T31)</f>
        <v>299857.11</v>
      </c>
      <c r="U32" s="25"/>
      <c r="V32" s="148"/>
      <c r="W32" s="148"/>
    </row>
    <row r="33" spans="1:24" s="80" customFormat="1" x14ac:dyDescent="0.25">
      <c r="A33" s="296" t="s">
        <v>49</v>
      </c>
      <c r="B33" s="297" t="s">
        <v>50</v>
      </c>
      <c r="C33" s="297" t="s">
        <v>51</v>
      </c>
      <c r="D33" s="298" t="s">
        <v>52</v>
      </c>
      <c r="E33" s="298"/>
      <c r="F33" s="296" t="s">
        <v>53</v>
      </c>
      <c r="G33" s="296" t="s">
        <v>54</v>
      </c>
      <c r="H33" s="297" t="s">
        <v>55</v>
      </c>
      <c r="I33" s="299" t="s">
        <v>56</v>
      </c>
      <c r="J33" s="297" t="s">
        <v>57</v>
      </c>
      <c r="K33" s="297" t="s">
        <v>58</v>
      </c>
      <c r="L33" s="297" t="s">
        <v>59</v>
      </c>
      <c r="M33" s="297" t="s">
        <v>60</v>
      </c>
      <c r="N33" s="297" t="s">
        <v>61</v>
      </c>
      <c r="O33" s="300" t="s">
        <v>62</v>
      </c>
      <c r="P33" s="297" t="s">
        <v>63</v>
      </c>
      <c r="Q33" s="301" t="s">
        <v>64</v>
      </c>
      <c r="R33" s="297" t="s">
        <v>65</v>
      </c>
      <c r="S33" s="296" t="s">
        <v>66</v>
      </c>
      <c r="T33" s="417" t="s">
        <v>693</v>
      </c>
      <c r="U33" s="302" t="s">
        <v>694</v>
      </c>
      <c r="V33" s="148"/>
      <c r="W33" s="148"/>
    </row>
    <row r="34" spans="1:24" s="80" customFormat="1" x14ac:dyDescent="0.25">
      <c r="A34" s="16" t="s">
        <v>67</v>
      </c>
      <c r="B34" s="18" t="s">
        <v>375</v>
      </c>
      <c r="C34" s="18" t="s">
        <v>95</v>
      </c>
      <c r="D34" s="19">
        <v>36100</v>
      </c>
      <c r="E34" s="19">
        <v>39387</v>
      </c>
      <c r="F34" s="16" t="s">
        <v>77</v>
      </c>
      <c r="G34" s="16" t="s">
        <v>376</v>
      </c>
      <c r="H34" s="18" t="s">
        <v>47</v>
      </c>
      <c r="I34" s="20">
        <f>6.1038/I$1</f>
        <v>0.19689677419354837</v>
      </c>
      <c r="J34" s="20">
        <v>1.2999999999999999E-3</v>
      </c>
      <c r="K34" s="20">
        <v>2.2000000000000001E-3</v>
      </c>
      <c r="L34" s="20">
        <v>0</v>
      </c>
      <c r="M34" s="20">
        <v>0</v>
      </c>
      <c r="N34" s="20">
        <f>+O34*2.02</f>
        <v>4.0399999999999998E-2</v>
      </c>
      <c r="O34" s="21">
        <v>0.02</v>
      </c>
      <c r="P34" s="20">
        <f>SUM(I34:N34)</f>
        <v>0.24079677419354836</v>
      </c>
      <c r="Q34" s="35" t="s">
        <v>69</v>
      </c>
      <c r="R34" s="18">
        <v>117</v>
      </c>
      <c r="S34" s="16" t="s">
        <v>377</v>
      </c>
      <c r="T34" s="418">
        <f>I34*I$1*R34</f>
        <v>714.14459999999997</v>
      </c>
      <c r="U34" s="139"/>
      <c r="V34" s="148">
        <v>79923</v>
      </c>
      <c r="W34" s="148"/>
    </row>
    <row r="35" spans="1:24" s="80" customFormat="1" x14ac:dyDescent="0.25">
      <c r="A35" s="16" t="s">
        <v>67</v>
      </c>
      <c r="B35" s="18" t="s">
        <v>375</v>
      </c>
      <c r="C35" s="18" t="s">
        <v>95</v>
      </c>
      <c r="D35" s="19">
        <v>36465</v>
      </c>
      <c r="E35" s="19">
        <v>36831</v>
      </c>
      <c r="F35" s="16" t="s">
        <v>77</v>
      </c>
      <c r="G35" s="16" t="s">
        <v>376</v>
      </c>
      <c r="H35" s="18" t="s">
        <v>47</v>
      </c>
      <c r="I35" s="20">
        <f>6.1038/I$1</f>
        <v>0.19689677419354837</v>
      </c>
      <c r="J35" s="20">
        <v>1.2999999999999999E-3</v>
      </c>
      <c r="K35" s="20">
        <v>2.2000000000000001E-3</v>
      </c>
      <c r="L35" s="20">
        <v>0</v>
      </c>
      <c r="M35" s="20">
        <v>0</v>
      </c>
      <c r="N35" s="20">
        <f>+O35*2.02</f>
        <v>4.0399999999999998E-2</v>
      </c>
      <c r="O35" s="21">
        <v>0.02</v>
      </c>
      <c r="P35" s="20">
        <f>SUM(I35:N35)</f>
        <v>0.24079677419354836</v>
      </c>
      <c r="Q35" s="35" t="s">
        <v>656</v>
      </c>
      <c r="R35" s="18">
        <v>9005</v>
      </c>
      <c r="S35" s="16" t="s">
        <v>377</v>
      </c>
      <c r="T35" s="418">
        <f>I35*I$1*R35</f>
        <v>54964.718999999997</v>
      </c>
      <c r="U35" s="139"/>
      <c r="V35" s="148"/>
      <c r="W35" s="148"/>
    </row>
    <row r="36" spans="1:24" s="80" customFormat="1" x14ac:dyDescent="0.25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"/>
      <c r="O36" s="21"/>
      <c r="P36" s="20"/>
      <c r="Q36" s="35"/>
      <c r="R36" s="18"/>
      <c r="S36" s="16"/>
      <c r="T36" s="339">
        <f>SUM(T34:T35)</f>
        <v>55678.863599999997</v>
      </c>
      <c r="U36" s="25">
        <f>SUM(U34:U35)</f>
        <v>0</v>
      </c>
      <c r="V36" s="148"/>
      <c r="W36" s="148"/>
    </row>
    <row r="37" spans="1:24" s="80" customFormat="1" x14ac:dyDescent="0.25">
      <c r="A37" s="296" t="s">
        <v>49</v>
      </c>
      <c r="B37" s="297" t="s">
        <v>50</v>
      </c>
      <c r="C37" s="297" t="s">
        <v>51</v>
      </c>
      <c r="D37" s="298" t="s">
        <v>52</v>
      </c>
      <c r="E37" s="298"/>
      <c r="F37" s="296" t="s">
        <v>53</v>
      </c>
      <c r="G37" s="296" t="s">
        <v>54</v>
      </c>
      <c r="H37" s="297" t="s">
        <v>55</v>
      </c>
      <c r="I37" s="299" t="s">
        <v>56</v>
      </c>
      <c r="J37" s="297" t="s">
        <v>57</v>
      </c>
      <c r="K37" s="297" t="s">
        <v>58</v>
      </c>
      <c r="L37" s="297" t="s">
        <v>59</v>
      </c>
      <c r="M37" s="297" t="s">
        <v>60</v>
      </c>
      <c r="N37" s="297" t="s">
        <v>61</v>
      </c>
      <c r="O37" s="300" t="s">
        <v>62</v>
      </c>
      <c r="P37" s="297" t="s">
        <v>63</v>
      </c>
      <c r="Q37" s="301" t="s">
        <v>64</v>
      </c>
      <c r="R37" s="297" t="s">
        <v>65</v>
      </c>
      <c r="S37" s="296" t="s">
        <v>66</v>
      </c>
      <c r="T37" s="417" t="s">
        <v>693</v>
      </c>
      <c r="U37" s="302" t="s">
        <v>694</v>
      </c>
      <c r="V37" s="148"/>
      <c r="W37" s="148"/>
    </row>
    <row r="38" spans="1:24" s="80" customFormat="1" x14ac:dyDescent="0.25">
      <c r="A38" s="16" t="s">
        <v>67</v>
      </c>
      <c r="B38" s="16" t="s">
        <v>516</v>
      </c>
      <c r="C38" s="18" t="s">
        <v>95</v>
      </c>
      <c r="D38" s="19">
        <v>36281</v>
      </c>
      <c r="E38" s="19">
        <v>36831</v>
      </c>
      <c r="F38" s="16" t="s">
        <v>517</v>
      </c>
      <c r="G38" s="16" t="s">
        <v>518</v>
      </c>
      <c r="H38" s="18" t="s">
        <v>47</v>
      </c>
      <c r="I38" s="20">
        <v>3.9E-2</v>
      </c>
      <c r="J38" s="20">
        <v>3.0000000000000001E-3</v>
      </c>
      <c r="K38" s="20">
        <v>2.2000000000000001E-3</v>
      </c>
      <c r="L38" s="20">
        <v>0</v>
      </c>
      <c r="M38" s="20">
        <v>0</v>
      </c>
      <c r="N38" s="20">
        <f>+O38*2.02</f>
        <v>0</v>
      </c>
      <c r="O38" s="21">
        <v>0</v>
      </c>
      <c r="P38" s="20">
        <f>SUM(I38:N38)</f>
        <v>4.4200000000000003E-2</v>
      </c>
      <c r="Q38" s="35">
        <v>105431</v>
      </c>
      <c r="R38" s="18">
        <v>5000</v>
      </c>
      <c r="S38" s="16" t="s">
        <v>519</v>
      </c>
      <c r="T38" s="418">
        <f>I38*I$1*R38</f>
        <v>6045</v>
      </c>
      <c r="U38" s="139"/>
      <c r="V38" s="148">
        <v>93729</v>
      </c>
      <c r="W38" s="148"/>
    </row>
    <row r="39" spans="1:24" s="80" customFormat="1" x14ac:dyDescent="0.25">
      <c r="A39" s="16"/>
      <c r="B39" s="18"/>
      <c r="C39" s="18"/>
      <c r="D39" s="19"/>
      <c r="E39" s="19"/>
      <c r="F39" s="16"/>
      <c r="G39" s="16"/>
      <c r="H39" s="18"/>
      <c r="I39" s="24"/>
      <c r="J39" s="20"/>
      <c r="K39" s="34"/>
      <c r="L39" s="20"/>
      <c r="M39" s="20"/>
      <c r="N39" s="20"/>
      <c r="O39" s="21"/>
      <c r="P39" s="20"/>
      <c r="Q39" s="35"/>
      <c r="R39" s="18"/>
      <c r="S39" s="18"/>
      <c r="T39" s="420">
        <f>SUM(T38:T38)</f>
        <v>6045</v>
      </c>
      <c r="U39" s="304">
        <f>SUM(U38:U38)</f>
        <v>0</v>
      </c>
      <c r="V39" s="148"/>
      <c r="W39" s="148"/>
    </row>
    <row r="40" spans="1:24" s="80" customFormat="1" x14ac:dyDescent="0.25">
      <c r="A40" s="296" t="s">
        <v>49</v>
      </c>
      <c r="B40" s="297" t="s">
        <v>50</v>
      </c>
      <c r="C40" s="297" t="s">
        <v>51</v>
      </c>
      <c r="D40" s="298" t="s">
        <v>52</v>
      </c>
      <c r="E40" s="298"/>
      <c r="F40" s="296" t="s">
        <v>53</v>
      </c>
      <c r="G40" s="296" t="s">
        <v>54</v>
      </c>
      <c r="H40" s="297" t="s">
        <v>55</v>
      </c>
      <c r="I40" s="299" t="s">
        <v>56</v>
      </c>
      <c r="J40" s="297" t="s">
        <v>57</v>
      </c>
      <c r="K40" s="297" t="s">
        <v>58</v>
      </c>
      <c r="L40" s="297" t="s">
        <v>59</v>
      </c>
      <c r="M40" s="297" t="s">
        <v>60</v>
      </c>
      <c r="N40" s="297" t="s">
        <v>61</v>
      </c>
      <c r="O40" s="300" t="s">
        <v>62</v>
      </c>
      <c r="P40" s="297" t="s">
        <v>63</v>
      </c>
      <c r="Q40" s="301" t="s">
        <v>64</v>
      </c>
      <c r="R40" s="297" t="s">
        <v>65</v>
      </c>
      <c r="S40" s="296" t="s">
        <v>66</v>
      </c>
      <c r="T40" s="417" t="s">
        <v>693</v>
      </c>
      <c r="U40" s="302" t="s">
        <v>694</v>
      </c>
      <c r="V40" s="148"/>
      <c r="W40" s="148"/>
    </row>
    <row r="41" spans="1:24" s="80" customFormat="1" x14ac:dyDescent="0.25">
      <c r="A41" s="16" t="s">
        <v>608</v>
      </c>
      <c r="B41" s="18" t="s">
        <v>74</v>
      </c>
      <c r="C41" s="18" t="s">
        <v>637</v>
      </c>
      <c r="D41" s="19">
        <v>36526</v>
      </c>
      <c r="E41" s="19">
        <v>36556</v>
      </c>
      <c r="F41" s="16" t="s">
        <v>732</v>
      </c>
      <c r="G41" s="16" t="s">
        <v>732</v>
      </c>
      <c r="H41" s="18" t="s">
        <v>68</v>
      </c>
      <c r="I41" s="24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1">
        <v>3.6900000000000002E-2</v>
      </c>
      <c r="P41" s="20">
        <v>0</v>
      </c>
      <c r="Q41" s="305" t="s">
        <v>706</v>
      </c>
      <c r="R41" s="18">
        <v>0</v>
      </c>
      <c r="S41" s="25" t="s">
        <v>47</v>
      </c>
      <c r="T41" s="339">
        <v>115083.34</v>
      </c>
      <c r="U41" s="25"/>
      <c r="V41" s="148"/>
      <c r="W41" s="148"/>
      <c r="X41" s="80" t="s">
        <v>707</v>
      </c>
    </row>
    <row r="42" spans="1:24" s="80" customFormat="1" x14ac:dyDescent="0.25">
      <c r="A42" s="16" t="s">
        <v>608</v>
      </c>
      <c r="B42" s="18" t="s">
        <v>74</v>
      </c>
      <c r="C42" s="18" t="s">
        <v>637</v>
      </c>
      <c r="D42" s="19">
        <v>36039</v>
      </c>
      <c r="E42" s="19">
        <v>36831</v>
      </c>
      <c r="F42" s="16" t="s">
        <v>638</v>
      </c>
      <c r="G42" s="16"/>
      <c r="H42" s="18" t="s">
        <v>68</v>
      </c>
      <c r="I42" s="24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1">
        <v>3.6900000000000002E-2</v>
      </c>
      <c r="P42" s="20">
        <v>0</v>
      </c>
      <c r="Q42" s="35">
        <v>4310</v>
      </c>
      <c r="R42" s="18">
        <v>0</v>
      </c>
      <c r="S42" s="25" t="s">
        <v>705</v>
      </c>
      <c r="T42" s="339">
        <v>30106.57</v>
      </c>
      <c r="U42" s="25"/>
      <c r="V42" s="148">
        <v>105938</v>
      </c>
      <c r="W42" s="148">
        <v>96005270</v>
      </c>
      <c r="X42" s="80" t="s">
        <v>707</v>
      </c>
    </row>
    <row r="43" spans="1:24" s="80" customFormat="1" x14ac:dyDescent="0.25">
      <c r="A43" s="16" t="s">
        <v>608</v>
      </c>
      <c r="B43" s="18" t="s">
        <v>74</v>
      </c>
      <c r="C43" s="18" t="s">
        <v>639</v>
      </c>
      <c r="D43" s="19">
        <v>36039</v>
      </c>
      <c r="E43" s="19">
        <v>36831</v>
      </c>
      <c r="F43" s="16" t="s">
        <v>638</v>
      </c>
      <c r="G43" s="16"/>
      <c r="H43" s="18" t="s">
        <v>68</v>
      </c>
      <c r="I43" s="24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1">
        <v>3.6900000000000002E-2</v>
      </c>
      <c r="P43" s="20">
        <v>0</v>
      </c>
      <c r="Q43" s="35">
        <v>4345</v>
      </c>
      <c r="R43" s="18">
        <v>0</v>
      </c>
      <c r="S43" s="25" t="s">
        <v>734</v>
      </c>
      <c r="T43" s="339">
        <v>445.69</v>
      </c>
      <c r="U43" s="25"/>
      <c r="V43" s="148">
        <v>105939</v>
      </c>
      <c r="W43" s="148">
        <v>96006727</v>
      </c>
    </row>
    <row r="44" spans="1:24" s="80" customFormat="1" x14ac:dyDescent="0.25">
      <c r="A44" s="16" t="s">
        <v>608</v>
      </c>
      <c r="B44" s="18" t="s">
        <v>74</v>
      </c>
      <c r="C44" s="18" t="s">
        <v>639</v>
      </c>
      <c r="D44" s="19">
        <v>36039</v>
      </c>
      <c r="E44" s="19">
        <v>36831</v>
      </c>
      <c r="F44" s="16" t="s">
        <v>732</v>
      </c>
      <c r="G44" s="16" t="s">
        <v>732</v>
      </c>
      <c r="H44" s="18" t="s">
        <v>68</v>
      </c>
      <c r="I44" s="24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1">
        <v>3.6900000000000002E-2</v>
      </c>
      <c r="P44" s="20">
        <v>0</v>
      </c>
      <c r="Q44" s="35">
        <v>4371</v>
      </c>
      <c r="R44" s="18">
        <v>0</v>
      </c>
      <c r="S44" s="25" t="s">
        <v>733</v>
      </c>
      <c r="T44" s="339">
        <v>2044.04</v>
      </c>
      <c r="U44" s="25"/>
      <c r="V44" s="148"/>
      <c r="W44" s="148"/>
    </row>
    <row r="45" spans="1:24" s="80" customFormat="1" x14ac:dyDescent="0.25">
      <c r="A45" s="16" t="s">
        <v>67</v>
      </c>
      <c r="B45" s="18" t="s">
        <v>74</v>
      </c>
      <c r="C45" s="18" t="s">
        <v>72</v>
      </c>
      <c r="D45" s="19">
        <v>0</v>
      </c>
      <c r="E45" s="19">
        <v>0</v>
      </c>
      <c r="F45" s="16" t="s">
        <v>477</v>
      </c>
      <c r="G45" s="16" t="s">
        <v>476</v>
      </c>
      <c r="H45" s="18" t="s">
        <v>70</v>
      </c>
      <c r="I45" s="24">
        <v>0</v>
      </c>
      <c r="J45" s="20">
        <v>8.7300000000000003E-2</v>
      </c>
      <c r="K45" s="20">
        <v>2.2000000000000001E-3</v>
      </c>
      <c r="L45" s="20">
        <v>7.4999999999999997E-3</v>
      </c>
      <c r="M45" s="20">
        <v>0</v>
      </c>
      <c r="N45" s="20">
        <v>9.8669999999999994E-2</v>
      </c>
      <c r="O45" s="303">
        <v>4.2900000000000001E-2</v>
      </c>
      <c r="P45" s="20">
        <v>0.22066999999999998</v>
      </c>
      <c r="Q45" s="35"/>
      <c r="R45" s="18"/>
      <c r="S45" s="48" t="s">
        <v>47</v>
      </c>
      <c r="T45" s="339"/>
      <c r="U45" s="25"/>
      <c r="V45" s="148"/>
      <c r="W45" s="148"/>
    </row>
    <row r="46" spans="1:24" s="80" customFormat="1" x14ac:dyDescent="0.25">
      <c r="A46" s="16" t="s">
        <v>67</v>
      </c>
      <c r="B46" s="18" t="s">
        <v>74</v>
      </c>
      <c r="C46" s="18" t="s">
        <v>626</v>
      </c>
      <c r="D46" s="19">
        <v>36434</v>
      </c>
      <c r="E46" s="19">
        <v>36465</v>
      </c>
      <c r="F46" s="16" t="s">
        <v>627</v>
      </c>
      <c r="G46" s="16" t="s">
        <v>476</v>
      </c>
      <c r="H46" s="18" t="s">
        <v>70</v>
      </c>
      <c r="I46" s="24">
        <v>0.02</v>
      </c>
      <c r="J46" s="20">
        <v>8.7300000000000003E-2</v>
      </c>
      <c r="K46" s="20">
        <v>2.2000000000000001E-3</v>
      </c>
      <c r="L46" s="20">
        <v>7.4999999999999997E-3</v>
      </c>
      <c r="M46" s="20">
        <v>0</v>
      </c>
      <c r="N46" s="20">
        <f>+O46*2.3</f>
        <v>0.11592</v>
      </c>
      <c r="O46" s="303">
        <v>5.04E-2</v>
      </c>
      <c r="P46" s="20">
        <f t="shared" ref="P46:P53" si="4">SUM(I46:N46)</f>
        <v>0.23291999999999999</v>
      </c>
      <c r="Q46" s="35">
        <v>30880</v>
      </c>
      <c r="R46" s="18"/>
      <c r="S46" s="48" t="s">
        <v>47</v>
      </c>
      <c r="T46" s="339">
        <f t="shared" ref="T46:T61" si="5">I46*$I$1*R46</f>
        <v>0</v>
      </c>
      <c r="U46" s="25"/>
      <c r="V46" s="148"/>
      <c r="W46" s="148"/>
    </row>
    <row r="47" spans="1:24" s="80" customFormat="1" x14ac:dyDescent="0.25">
      <c r="A47" s="16" t="s">
        <v>67</v>
      </c>
      <c r="B47" s="18" t="s">
        <v>74</v>
      </c>
      <c r="C47" s="18" t="s">
        <v>72</v>
      </c>
      <c r="D47" s="19">
        <v>35827</v>
      </c>
      <c r="E47" s="19">
        <v>36342</v>
      </c>
      <c r="F47" s="16" t="s">
        <v>75</v>
      </c>
      <c r="G47" s="16" t="s">
        <v>76</v>
      </c>
      <c r="H47" s="18" t="s">
        <v>70</v>
      </c>
      <c r="I47" s="24">
        <f>(5.9+5.42)/I$1</f>
        <v>0.36516129032258066</v>
      </c>
      <c r="J47" s="20">
        <v>0</v>
      </c>
      <c r="K47" s="20">
        <v>2.2000000000000001E-3</v>
      </c>
      <c r="L47" s="20">
        <v>7.4999999999999997E-3</v>
      </c>
      <c r="M47" s="20">
        <v>0</v>
      </c>
      <c r="N47" s="20">
        <f>+O47*2.3</f>
        <v>3.0130000000000001E-2</v>
      </c>
      <c r="O47" s="303">
        <v>1.3100000000000001E-2</v>
      </c>
      <c r="P47" s="20">
        <f t="shared" si="4"/>
        <v>0.40499129032258063</v>
      </c>
      <c r="Q47" s="35">
        <v>23231</v>
      </c>
      <c r="R47" s="18">
        <v>0</v>
      </c>
      <c r="S47" s="48" t="s">
        <v>944</v>
      </c>
      <c r="T47" s="339">
        <f t="shared" si="5"/>
        <v>0</v>
      </c>
      <c r="U47" s="25"/>
      <c r="V47" s="148">
        <v>77257</v>
      </c>
      <c r="W47" s="148"/>
    </row>
    <row r="48" spans="1:24" s="80" customFormat="1" x14ac:dyDescent="0.25">
      <c r="A48" s="16" t="s">
        <v>67</v>
      </c>
      <c r="B48" s="18" t="s">
        <v>74</v>
      </c>
      <c r="C48" s="18" t="s">
        <v>72</v>
      </c>
      <c r="D48" s="19">
        <v>36342</v>
      </c>
      <c r="E48" s="19">
        <v>39539</v>
      </c>
      <c r="F48" s="16" t="s">
        <v>75</v>
      </c>
      <c r="G48" s="16" t="s">
        <v>76</v>
      </c>
      <c r="H48" s="18" t="s">
        <v>70</v>
      </c>
      <c r="I48" s="24">
        <f>(5.9+5.42)/I$1</f>
        <v>0.36516129032258066</v>
      </c>
      <c r="J48" s="20">
        <v>0</v>
      </c>
      <c r="K48" s="20">
        <v>2.2000000000000001E-3</v>
      </c>
      <c r="L48" s="20">
        <v>7.4999999999999997E-3</v>
      </c>
      <c r="M48" s="20">
        <v>0</v>
      </c>
      <c r="N48" s="20">
        <f>+O48*2.3</f>
        <v>3.0130000000000001E-2</v>
      </c>
      <c r="O48" s="303">
        <v>1.3100000000000001E-2</v>
      </c>
      <c r="P48" s="20">
        <f t="shared" si="4"/>
        <v>0.40499129032258063</v>
      </c>
      <c r="Q48" s="35">
        <v>29667</v>
      </c>
      <c r="R48" s="18">
        <v>35000</v>
      </c>
      <c r="S48" s="48">
        <v>13.36</v>
      </c>
      <c r="T48" s="339">
        <f t="shared" si="5"/>
        <v>396200</v>
      </c>
      <c r="U48" s="25"/>
      <c r="V48" s="148">
        <v>93036</v>
      </c>
      <c r="W48" s="148"/>
    </row>
    <row r="49" spans="1:23" s="80" customFormat="1" ht="12" customHeight="1" x14ac:dyDescent="0.25">
      <c r="A49" s="16" t="s">
        <v>541</v>
      </c>
      <c r="B49" s="18" t="s">
        <v>74</v>
      </c>
      <c r="C49" s="18"/>
      <c r="D49" s="19">
        <v>36373</v>
      </c>
      <c r="E49" s="19">
        <v>36404</v>
      </c>
      <c r="F49" s="16" t="s">
        <v>596</v>
      </c>
      <c r="G49" s="16"/>
      <c r="H49" s="18" t="s">
        <v>70</v>
      </c>
      <c r="I49" s="24">
        <v>0</v>
      </c>
      <c r="J49" s="20">
        <v>8.3500000000000005E-2</v>
      </c>
      <c r="K49" s="20">
        <v>2.2000000000000001E-3</v>
      </c>
      <c r="L49" s="20">
        <v>7.4999999999999997E-3</v>
      </c>
      <c r="M49" s="20">
        <v>0</v>
      </c>
      <c r="N49" s="20">
        <f t="shared" ref="N49:N59" si="6">+O49*(1.75)</f>
        <v>3.3599999999999998E-2</v>
      </c>
      <c r="O49" s="21">
        <v>1.9199999999999998E-2</v>
      </c>
      <c r="P49" s="20">
        <f t="shared" si="4"/>
        <v>0.1268</v>
      </c>
      <c r="Q49" s="35"/>
      <c r="R49" s="18"/>
      <c r="S49" s="56" t="s">
        <v>47</v>
      </c>
      <c r="T49" s="339">
        <f t="shared" si="5"/>
        <v>0</v>
      </c>
      <c r="U49" s="25"/>
      <c r="V49" s="148"/>
      <c r="W49" s="148"/>
    </row>
    <row r="50" spans="1:23" s="80" customFormat="1" ht="12" customHeight="1" x14ac:dyDescent="0.25">
      <c r="A50" s="16" t="s">
        <v>541</v>
      </c>
      <c r="B50" s="18" t="s">
        <v>74</v>
      </c>
      <c r="C50" s="18"/>
      <c r="D50" s="19"/>
      <c r="E50" s="19">
        <v>36585</v>
      </c>
      <c r="F50" s="16" t="s">
        <v>729</v>
      </c>
      <c r="G50" s="16" t="s">
        <v>540</v>
      </c>
      <c r="H50" s="18" t="s">
        <v>68</v>
      </c>
      <c r="I50" s="24">
        <v>0.02</v>
      </c>
      <c r="J50" s="20">
        <v>6.6900000000000001E-2</v>
      </c>
      <c r="K50" s="20">
        <v>2.2000000000000001E-3</v>
      </c>
      <c r="L50" s="20">
        <v>7.4999999999999997E-3</v>
      </c>
      <c r="M50" s="20">
        <v>0</v>
      </c>
      <c r="N50" s="20">
        <f t="shared" si="6"/>
        <v>4.8825E-2</v>
      </c>
      <c r="O50" s="21">
        <v>2.7900000000000001E-2</v>
      </c>
      <c r="P50" s="20">
        <f t="shared" si="4"/>
        <v>0.145425</v>
      </c>
      <c r="Q50" s="35"/>
      <c r="R50" s="18">
        <v>0</v>
      </c>
      <c r="S50" s="56" t="s">
        <v>47</v>
      </c>
      <c r="T50" s="339">
        <f t="shared" si="5"/>
        <v>0</v>
      </c>
      <c r="U50" s="25"/>
      <c r="V50" s="148"/>
      <c r="W50" s="148"/>
    </row>
    <row r="51" spans="1:23" s="80" customFormat="1" ht="12" customHeight="1" x14ac:dyDescent="0.25">
      <c r="A51" s="16" t="s">
        <v>541</v>
      </c>
      <c r="B51" s="18" t="s">
        <v>74</v>
      </c>
      <c r="C51" s="18" t="s">
        <v>542</v>
      </c>
      <c r="D51" s="19">
        <v>36617</v>
      </c>
      <c r="E51" s="19">
        <v>36830</v>
      </c>
      <c r="F51" s="16" t="s">
        <v>813</v>
      </c>
      <c r="G51" s="16" t="s">
        <v>540</v>
      </c>
      <c r="H51" s="18" t="s">
        <v>68</v>
      </c>
      <c r="I51" s="24">
        <f>0.47/31</f>
        <v>1.5161290322580644E-2</v>
      </c>
      <c r="J51" s="20">
        <v>6.6900000000000001E-2</v>
      </c>
      <c r="K51" s="20">
        <v>2.2000000000000001E-3</v>
      </c>
      <c r="L51" s="20">
        <v>7.4999999999999997E-3</v>
      </c>
      <c r="M51" s="20">
        <v>0</v>
      </c>
      <c r="N51" s="20">
        <f t="shared" si="6"/>
        <v>4.8825E-2</v>
      </c>
      <c r="O51" s="21">
        <v>2.7900000000000001E-2</v>
      </c>
      <c r="P51" s="20">
        <f t="shared" si="4"/>
        <v>0.14058629032258063</v>
      </c>
      <c r="Q51" s="35">
        <v>32976</v>
      </c>
      <c r="R51" s="18">
        <v>10000</v>
      </c>
      <c r="S51" s="56" t="s">
        <v>47</v>
      </c>
      <c r="T51" s="339">
        <f t="shared" ref="T51:T56" si="7">I51*$I$1*R51</f>
        <v>4700</v>
      </c>
      <c r="U51" s="25"/>
      <c r="V51" s="148">
        <v>227993</v>
      </c>
      <c r="W51" s="148"/>
    </row>
    <row r="52" spans="1:23" s="80" customFormat="1" ht="12" customHeight="1" x14ac:dyDescent="0.25">
      <c r="A52" s="16" t="s">
        <v>541</v>
      </c>
      <c r="B52" s="18" t="s">
        <v>74</v>
      </c>
      <c r="C52" s="18" t="s">
        <v>660</v>
      </c>
      <c r="D52" s="19">
        <v>36617</v>
      </c>
      <c r="E52" s="19">
        <v>36830</v>
      </c>
      <c r="F52" s="16" t="s">
        <v>813</v>
      </c>
      <c r="G52" s="16" t="s">
        <v>813</v>
      </c>
      <c r="H52" s="18" t="s">
        <v>68</v>
      </c>
      <c r="I52" s="24">
        <v>0</v>
      </c>
      <c r="J52" s="20">
        <v>6.6900000000000001E-2</v>
      </c>
      <c r="K52" s="20">
        <v>2.2000000000000001E-3</v>
      </c>
      <c r="L52" s="20">
        <v>7.4999999999999997E-3</v>
      </c>
      <c r="M52" s="20">
        <v>0</v>
      </c>
      <c r="N52" s="20">
        <f>+O52*(1.75)</f>
        <v>4.8825E-2</v>
      </c>
      <c r="O52" s="21">
        <v>2.7900000000000001E-2</v>
      </c>
      <c r="P52" s="20">
        <f>SUM(I52:N52)</f>
        <v>0.12542500000000001</v>
      </c>
      <c r="Q52" s="35">
        <v>32975</v>
      </c>
      <c r="R52" s="18">
        <v>10000</v>
      </c>
      <c r="S52" s="56" t="s">
        <v>887</v>
      </c>
      <c r="T52" s="339">
        <f t="shared" si="7"/>
        <v>0</v>
      </c>
      <c r="U52" s="25"/>
      <c r="V52" s="148">
        <v>231367</v>
      </c>
      <c r="W52" s="148"/>
    </row>
    <row r="53" spans="1:23" s="80" customFormat="1" ht="12" customHeight="1" x14ac:dyDescent="0.25">
      <c r="A53" s="16" t="s">
        <v>541</v>
      </c>
      <c r="B53" s="18" t="s">
        <v>886</v>
      </c>
      <c r="C53" s="18" t="s">
        <v>478</v>
      </c>
      <c r="D53" s="19">
        <v>36617</v>
      </c>
      <c r="E53" s="19">
        <v>36829</v>
      </c>
      <c r="F53" s="16" t="s">
        <v>698</v>
      </c>
      <c r="G53" s="16">
        <v>5</v>
      </c>
      <c r="H53" s="18" t="s">
        <v>68</v>
      </c>
      <c r="I53" s="24">
        <f>0.91/I1</f>
        <v>2.9354838709677419E-2</v>
      </c>
      <c r="J53" s="20">
        <v>0</v>
      </c>
      <c r="K53" s="20">
        <v>0</v>
      </c>
      <c r="L53" s="20">
        <v>0</v>
      </c>
      <c r="M53" s="20">
        <v>0</v>
      </c>
      <c r="N53" s="20">
        <f t="shared" si="6"/>
        <v>1.7675E-2</v>
      </c>
      <c r="O53" s="21">
        <v>1.01E-2</v>
      </c>
      <c r="P53" s="20">
        <f t="shared" si="4"/>
        <v>4.7029838709677418E-2</v>
      </c>
      <c r="Q53" s="35">
        <v>32954</v>
      </c>
      <c r="R53" s="18">
        <v>1900</v>
      </c>
      <c r="S53" s="56" t="s">
        <v>47</v>
      </c>
      <c r="T53" s="339">
        <f t="shared" si="7"/>
        <v>1729</v>
      </c>
      <c r="U53" s="25"/>
      <c r="V53" s="148">
        <v>231261</v>
      </c>
      <c r="W53" s="148"/>
    </row>
    <row r="54" spans="1:23" s="80" customFormat="1" ht="12" customHeight="1" x14ac:dyDescent="0.25">
      <c r="A54" s="16" t="s">
        <v>541</v>
      </c>
      <c r="B54" s="18" t="s">
        <v>886</v>
      </c>
      <c r="C54" s="18" t="s">
        <v>478</v>
      </c>
      <c r="D54" s="19">
        <v>36617</v>
      </c>
      <c r="E54" s="19">
        <v>36829</v>
      </c>
      <c r="F54" s="16" t="s">
        <v>698</v>
      </c>
      <c r="G54" s="16">
        <v>5</v>
      </c>
      <c r="H54" s="18" t="s">
        <v>68</v>
      </c>
      <c r="I54" s="24">
        <f>0.91/I1</f>
        <v>2.9354838709677419E-2</v>
      </c>
      <c r="J54" s="20">
        <v>0</v>
      </c>
      <c r="K54" s="20">
        <v>0</v>
      </c>
      <c r="L54" s="20">
        <v>0</v>
      </c>
      <c r="M54" s="20">
        <v>0</v>
      </c>
      <c r="N54" s="20">
        <f>+O54*(1.75)</f>
        <v>1.7675E-2</v>
      </c>
      <c r="O54" s="21">
        <v>1.01E-2</v>
      </c>
      <c r="P54" s="20">
        <f>SUM(I54:N54)</f>
        <v>4.7029838709677418E-2</v>
      </c>
      <c r="Q54" s="35">
        <v>32956</v>
      </c>
      <c r="R54" s="18">
        <v>2899</v>
      </c>
      <c r="S54" s="56" t="s">
        <v>47</v>
      </c>
      <c r="T54" s="339">
        <f t="shared" si="7"/>
        <v>2638.09</v>
      </c>
      <c r="U54" s="25"/>
      <c r="V54" s="148">
        <v>231241</v>
      </c>
      <c r="W54" s="148"/>
    </row>
    <row r="55" spans="1:23" s="80" customFormat="1" ht="12" customHeight="1" x14ac:dyDescent="0.25">
      <c r="A55" s="16" t="s">
        <v>541</v>
      </c>
      <c r="B55" s="18" t="s">
        <v>945</v>
      </c>
      <c r="C55" s="18" t="s">
        <v>478</v>
      </c>
      <c r="D55" s="19">
        <v>36617</v>
      </c>
      <c r="E55" s="19">
        <v>36829</v>
      </c>
      <c r="F55" s="16">
        <v>4</v>
      </c>
      <c r="G55" s="16">
        <v>6</v>
      </c>
      <c r="H55" s="18" t="s">
        <v>68</v>
      </c>
      <c r="I55" s="24">
        <f>0.76/I1</f>
        <v>2.4516129032258065E-2</v>
      </c>
      <c r="J55" s="20">
        <v>0</v>
      </c>
      <c r="K55" s="20">
        <v>0</v>
      </c>
      <c r="L55" s="20">
        <v>0</v>
      </c>
      <c r="M55" s="20">
        <v>0</v>
      </c>
      <c r="N55" s="20">
        <f>+O55*(1.75)</f>
        <v>1.7675E-2</v>
      </c>
      <c r="O55" s="21">
        <v>1.01E-2</v>
      </c>
      <c r="P55" s="20">
        <f>SUM(I55:N55)</f>
        <v>4.2191129032258065E-2</v>
      </c>
      <c r="Q55" s="35">
        <v>32958</v>
      </c>
      <c r="R55" s="18">
        <v>5265</v>
      </c>
      <c r="S55" s="56" t="s">
        <v>47</v>
      </c>
      <c r="T55" s="339">
        <f t="shared" si="7"/>
        <v>4001.4</v>
      </c>
      <c r="U55" s="25"/>
      <c r="V55" s="148">
        <v>231270</v>
      </c>
      <c r="W55" s="148"/>
    </row>
    <row r="56" spans="1:23" s="80" customFormat="1" ht="12" customHeight="1" x14ac:dyDescent="0.25">
      <c r="A56" s="16" t="s">
        <v>541</v>
      </c>
      <c r="B56" s="18" t="s">
        <v>945</v>
      </c>
      <c r="C56" s="18" t="s">
        <v>478</v>
      </c>
      <c r="D56" s="19">
        <v>36617</v>
      </c>
      <c r="E56" s="19">
        <v>36646</v>
      </c>
      <c r="F56" s="16">
        <v>4</v>
      </c>
      <c r="G56" s="16">
        <v>6</v>
      </c>
      <c r="H56" s="18" t="s">
        <v>68</v>
      </c>
      <c r="I56" s="148">
        <f>0.6/I1</f>
        <v>1.935483870967742E-2</v>
      </c>
      <c r="J56" s="20">
        <v>0</v>
      </c>
      <c r="K56" s="20">
        <v>0</v>
      </c>
      <c r="L56" s="20">
        <v>0</v>
      </c>
      <c r="M56" s="20">
        <v>0</v>
      </c>
      <c r="N56" s="20">
        <f>+O56*(1.75)</f>
        <v>1.7675E-2</v>
      </c>
      <c r="O56" s="21">
        <v>1.01E-2</v>
      </c>
      <c r="P56" s="20">
        <f>SUM(I56:N56)</f>
        <v>3.7029838709677423E-2</v>
      </c>
      <c r="Q56" s="35">
        <v>33072</v>
      </c>
      <c r="R56" s="18">
        <v>5000</v>
      </c>
      <c r="S56" s="56" t="s">
        <v>47</v>
      </c>
      <c r="T56" s="339">
        <f t="shared" si="7"/>
        <v>3000</v>
      </c>
      <c r="U56" s="25"/>
      <c r="V56" s="148">
        <v>232900</v>
      </c>
      <c r="W56" s="148"/>
    </row>
    <row r="57" spans="1:23" s="80" customFormat="1" ht="12" customHeight="1" x14ac:dyDescent="0.25">
      <c r="A57" s="16" t="s">
        <v>964</v>
      </c>
      <c r="B57" s="18" t="s">
        <v>74</v>
      </c>
      <c r="C57" s="18" t="s">
        <v>478</v>
      </c>
      <c r="D57" s="19">
        <v>36861</v>
      </c>
      <c r="E57" s="19">
        <v>36631</v>
      </c>
      <c r="F57" s="16" t="s">
        <v>965</v>
      </c>
      <c r="G57" s="16" t="s">
        <v>964</v>
      </c>
      <c r="H57" s="18" t="s">
        <v>68</v>
      </c>
      <c r="I57" s="24">
        <v>0.1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1">
        <v>0</v>
      </c>
      <c r="P57" s="20">
        <f>SUM(I57:N57)</f>
        <v>0.1</v>
      </c>
      <c r="Q57" s="35">
        <v>33188</v>
      </c>
      <c r="R57" s="18">
        <v>12396</v>
      </c>
      <c r="S57" s="56"/>
      <c r="T57" s="339">
        <f>+R57*I57</f>
        <v>1239.6000000000001</v>
      </c>
      <c r="U57" s="25"/>
      <c r="V57" s="148"/>
      <c r="W57" s="148"/>
    </row>
    <row r="58" spans="1:23" s="80" customFormat="1" ht="12" customHeight="1" x14ac:dyDescent="0.25">
      <c r="A58" s="16" t="s">
        <v>964</v>
      </c>
      <c r="B58" s="18" t="s">
        <v>289</v>
      </c>
      <c r="C58" s="18" t="s">
        <v>478</v>
      </c>
      <c r="D58" s="19">
        <v>36861</v>
      </c>
      <c r="E58" s="19">
        <v>36631</v>
      </c>
      <c r="F58" s="16" t="s">
        <v>965</v>
      </c>
      <c r="G58" s="16" t="s">
        <v>964</v>
      </c>
      <c r="H58" s="18" t="s">
        <v>68</v>
      </c>
      <c r="I58" s="24">
        <v>0.1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1">
        <v>0</v>
      </c>
      <c r="P58" s="20">
        <f>SUM(I58:N58)</f>
        <v>0.1</v>
      </c>
      <c r="Q58" s="35">
        <v>33189</v>
      </c>
      <c r="R58" s="18">
        <v>12000</v>
      </c>
      <c r="S58" s="56"/>
      <c r="T58" s="339">
        <f>+R58*I58</f>
        <v>1200</v>
      </c>
      <c r="U58" s="25"/>
      <c r="V58" s="148"/>
      <c r="W58" s="148"/>
    </row>
    <row r="59" spans="1:23" s="80" customFormat="1" ht="12" customHeight="1" x14ac:dyDescent="0.25">
      <c r="A59" s="16" t="s">
        <v>660</v>
      </c>
      <c r="B59" s="18" t="s">
        <v>289</v>
      </c>
      <c r="C59" s="18" t="s">
        <v>661</v>
      </c>
      <c r="D59" s="19">
        <v>36526</v>
      </c>
      <c r="E59" s="19">
        <v>36556</v>
      </c>
      <c r="F59" s="16" t="s">
        <v>662</v>
      </c>
      <c r="G59" s="16" t="s">
        <v>662</v>
      </c>
      <c r="H59" s="18" t="s">
        <v>68</v>
      </c>
      <c r="I59" s="24">
        <v>0</v>
      </c>
      <c r="J59" s="20">
        <v>5.7200000000000001E-2</v>
      </c>
      <c r="K59" s="20">
        <v>2.2000000000000001E-3</v>
      </c>
      <c r="L59" s="20">
        <v>7.4999999999999997E-3</v>
      </c>
      <c r="M59" s="20">
        <v>0</v>
      </c>
      <c r="N59" s="20">
        <f t="shared" si="6"/>
        <v>1.7675E-2</v>
      </c>
      <c r="O59" s="21">
        <v>1.01E-2</v>
      </c>
      <c r="P59" s="20">
        <f t="shared" ref="P59:P75" si="8">SUM(I59:N59)</f>
        <v>8.4574999999999997E-2</v>
      </c>
      <c r="Q59" s="35"/>
      <c r="R59" s="18">
        <v>0</v>
      </c>
      <c r="S59" s="56" t="s">
        <v>47</v>
      </c>
      <c r="T59" s="339">
        <f t="shared" si="5"/>
        <v>0</v>
      </c>
      <c r="U59" s="25"/>
      <c r="V59" s="148"/>
      <c r="W59" s="148"/>
    </row>
    <row r="60" spans="1:23" s="80" customFormat="1" ht="12" customHeight="1" x14ac:dyDescent="0.25">
      <c r="A60" s="16" t="s">
        <v>541</v>
      </c>
      <c r="B60" s="18" t="s">
        <v>289</v>
      </c>
      <c r="C60" s="18" t="s">
        <v>478</v>
      </c>
      <c r="D60" s="19">
        <v>36526</v>
      </c>
      <c r="E60" s="19">
        <v>36556</v>
      </c>
      <c r="F60" s="16" t="s">
        <v>364</v>
      </c>
      <c r="G60" s="16" t="s">
        <v>363</v>
      </c>
      <c r="H60" s="18" t="s">
        <v>68</v>
      </c>
      <c r="I60" s="24">
        <v>0.1671</v>
      </c>
      <c r="J60" s="20">
        <v>7.6499999999999999E-2</v>
      </c>
      <c r="K60" s="20">
        <v>2.2000000000000001E-3</v>
      </c>
      <c r="L60" s="20">
        <v>7.4999999999999997E-3</v>
      </c>
      <c r="M60" s="20">
        <v>0</v>
      </c>
      <c r="N60" s="20">
        <f>+O60*(2.15)</f>
        <v>2.7304999999999999E-2</v>
      </c>
      <c r="O60" s="21">
        <v>1.2699999999999999E-2</v>
      </c>
      <c r="P60" s="20">
        <f t="shared" si="8"/>
        <v>0.28060499999999999</v>
      </c>
      <c r="Q60" s="35"/>
      <c r="R60" s="18">
        <v>0</v>
      </c>
      <c r="S60" s="56" t="s">
        <v>47</v>
      </c>
      <c r="T60" s="339">
        <f t="shared" si="5"/>
        <v>0</v>
      </c>
      <c r="U60" s="25"/>
      <c r="V60" s="148"/>
      <c r="W60" s="148"/>
    </row>
    <row r="61" spans="1:23" s="80" customFormat="1" x14ac:dyDescent="0.25">
      <c r="A61" s="16" t="s">
        <v>541</v>
      </c>
      <c r="B61" s="18" t="s">
        <v>289</v>
      </c>
      <c r="C61" s="18" t="s">
        <v>478</v>
      </c>
      <c r="D61" s="19">
        <v>36477</v>
      </c>
      <c r="E61" s="19">
        <v>36494</v>
      </c>
      <c r="F61" s="16" t="s">
        <v>659</v>
      </c>
      <c r="G61" s="16" t="s">
        <v>22</v>
      </c>
      <c r="H61" s="18" t="s">
        <v>70</v>
      </c>
      <c r="I61" s="24"/>
      <c r="J61" s="20">
        <v>0.02</v>
      </c>
      <c r="K61" s="20">
        <v>0</v>
      </c>
      <c r="L61" s="20">
        <v>0</v>
      </c>
      <c r="M61" s="20">
        <v>0</v>
      </c>
      <c r="N61" s="20">
        <f>+O61*2.3</f>
        <v>2.3229999999999997E-2</v>
      </c>
      <c r="O61" s="303">
        <v>1.01E-2</v>
      </c>
      <c r="P61" s="20">
        <f t="shared" si="8"/>
        <v>4.3229999999999998E-2</v>
      </c>
      <c r="Q61" s="35"/>
      <c r="R61" s="18"/>
      <c r="S61" s="48"/>
      <c r="T61" s="339">
        <f t="shared" si="5"/>
        <v>0</v>
      </c>
      <c r="U61" s="25"/>
      <c r="V61" s="148"/>
      <c r="W61" s="148"/>
    </row>
    <row r="62" spans="1:23" s="80" customFormat="1" ht="12" customHeight="1" x14ac:dyDescent="0.25">
      <c r="A62" s="16" t="s">
        <v>964</v>
      </c>
      <c r="B62" s="18" t="s">
        <v>289</v>
      </c>
      <c r="C62" s="18" t="s">
        <v>478</v>
      </c>
      <c r="D62" s="19">
        <v>36617</v>
      </c>
      <c r="E62" s="19">
        <v>36829</v>
      </c>
      <c r="F62" s="16" t="s">
        <v>965</v>
      </c>
      <c r="G62" s="16" t="s">
        <v>964</v>
      </c>
      <c r="H62" s="18" t="s">
        <v>68</v>
      </c>
      <c r="I62" s="24" t="s">
        <v>966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1">
        <v>0</v>
      </c>
      <c r="P62" s="20">
        <f t="shared" si="8"/>
        <v>0</v>
      </c>
      <c r="Q62" s="35">
        <v>33140</v>
      </c>
      <c r="R62" s="18">
        <v>250000</v>
      </c>
      <c r="S62" s="56" t="s">
        <v>967</v>
      </c>
      <c r="T62" s="339">
        <v>10000</v>
      </c>
      <c r="U62" s="25"/>
      <c r="V62" s="148"/>
      <c r="W62" s="148"/>
    </row>
    <row r="63" spans="1:23" s="80" customFormat="1" ht="12" customHeight="1" x14ac:dyDescent="0.25">
      <c r="A63" s="16" t="s">
        <v>67</v>
      </c>
      <c r="B63" s="18" t="s">
        <v>289</v>
      </c>
      <c r="C63" s="18"/>
      <c r="D63" s="19"/>
      <c r="E63" s="19"/>
      <c r="F63" s="16" t="s">
        <v>731</v>
      </c>
      <c r="G63" s="16" t="s">
        <v>730</v>
      </c>
      <c r="H63" s="18" t="s">
        <v>68</v>
      </c>
      <c r="I63" s="24">
        <v>0</v>
      </c>
      <c r="J63" s="20">
        <v>7.7600000000000002E-2</v>
      </c>
      <c r="K63" s="20">
        <v>2.2000000000000001E-3</v>
      </c>
      <c r="L63" s="20">
        <v>7.4999999999999997E-3</v>
      </c>
      <c r="M63" s="20">
        <v>0</v>
      </c>
      <c r="N63" s="20">
        <f>+O63*(1.75)</f>
        <v>7.4899999999999994E-2</v>
      </c>
      <c r="O63" s="21">
        <v>4.2799999999999998E-2</v>
      </c>
      <c r="P63" s="20">
        <f>SUM(I63:N63)</f>
        <v>0.16219999999999998</v>
      </c>
      <c r="Q63" s="35"/>
      <c r="R63" s="18"/>
      <c r="S63" s="56"/>
      <c r="T63" s="339"/>
      <c r="U63" s="25"/>
      <c r="V63" s="148"/>
      <c r="W63" s="148"/>
    </row>
    <row r="64" spans="1:23" s="80" customFormat="1" ht="12" customHeight="1" x14ac:dyDescent="0.25">
      <c r="A64" s="16" t="s">
        <v>73</v>
      </c>
      <c r="B64" s="18" t="s">
        <v>289</v>
      </c>
      <c r="C64" s="18" t="s">
        <v>658</v>
      </c>
      <c r="D64" s="19">
        <v>36526</v>
      </c>
      <c r="E64" s="19">
        <v>36556</v>
      </c>
      <c r="F64" s="16" t="s">
        <v>698</v>
      </c>
      <c r="G64" s="16">
        <v>3</v>
      </c>
      <c r="H64" s="18" t="s">
        <v>68</v>
      </c>
      <c r="I64" s="24">
        <v>0</v>
      </c>
      <c r="J64" s="20">
        <v>0.13500000000000001</v>
      </c>
      <c r="K64" s="20">
        <v>0</v>
      </c>
      <c r="L64" s="20">
        <v>0</v>
      </c>
      <c r="M64" s="20">
        <v>0</v>
      </c>
      <c r="N64" s="20">
        <f>+O64*(1.75)</f>
        <v>8.7325E-2</v>
      </c>
      <c r="O64" s="21">
        <v>4.99E-2</v>
      </c>
      <c r="P64" s="20">
        <f>SUM(I64:N64)</f>
        <v>0.22232499999999999</v>
      </c>
      <c r="Q64" s="35">
        <v>3905</v>
      </c>
      <c r="R64" s="18"/>
      <c r="S64" s="56"/>
      <c r="T64" s="339">
        <f>I64*$I$1*R64</f>
        <v>0</v>
      </c>
      <c r="U64" s="25"/>
      <c r="V64" s="148"/>
      <c r="W64" s="148"/>
    </row>
    <row r="65" spans="1:23" s="230" customFormat="1" ht="12" customHeight="1" x14ac:dyDescent="0.25">
      <c r="A65" s="190" t="s">
        <v>660</v>
      </c>
      <c r="B65" s="378" t="s">
        <v>289</v>
      </c>
      <c r="C65" s="378" t="s">
        <v>658</v>
      </c>
      <c r="D65" s="379">
        <v>36647</v>
      </c>
      <c r="E65" s="379">
        <v>36677</v>
      </c>
      <c r="F65" s="190" t="s">
        <v>362</v>
      </c>
      <c r="G65" s="190" t="s">
        <v>363</v>
      </c>
      <c r="H65" s="378" t="s">
        <v>879</v>
      </c>
      <c r="I65" s="380"/>
      <c r="J65" s="381"/>
      <c r="K65" s="381"/>
      <c r="L65" s="381"/>
      <c r="M65" s="381"/>
      <c r="N65" s="381"/>
      <c r="O65" s="382"/>
      <c r="P65" s="381"/>
      <c r="Q65" s="386">
        <v>33575</v>
      </c>
      <c r="R65" s="378">
        <v>5265</v>
      </c>
      <c r="S65" s="543" t="s">
        <v>1042</v>
      </c>
      <c r="T65" s="523">
        <v>0</v>
      </c>
      <c r="U65" s="384"/>
      <c r="V65" s="385">
        <v>256223</v>
      </c>
      <c r="W65" s="385"/>
    </row>
    <row r="66" spans="1:23" s="230" customFormat="1" ht="12" customHeight="1" x14ac:dyDescent="0.25">
      <c r="A66" s="190" t="s">
        <v>660</v>
      </c>
      <c r="B66" s="378" t="s">
        <v>289</v>
      </c>
      <c r="C66" s="378" t="s">
        <v>658</v>
      </c>
      <c r="D66" s="379">
        <v>36647</v>
      </c>
      <c r="E66" s="379">
        <v>36677</v>
      </c>
      <c r="F66" s="190" t="s">
        <v>362</v>
      </c>
      <c r="G66" s="190" t="s">
        <v>363</v>
      </c>
      <c r="H66" s="378" t="s">
        <v>879</v>
      </c>
      <c r="I66" s="380"/>
      <c r="J66" s="381"/>
      <c r="K66" s="381"/>
      <c r="L66" s="381"/>
      <c r="M66" s="381"/>
      <c r="N66" s="381"/>
      <c r="O66" s="382"/>
      <c r="P66" s="381"/>
      <c r="Q66" s="386">
        <v>33550</v>
      </c>
      <c r="R66" s="378">
        <v>5000</v>
      </c>
      <c r="S66" s="543" t="s">
        <v>1043</v>
      </c>
      <c r="T66" s="523">
        <v>0</v>
      </c>
      <c r="U66" s="384"/>
      <c r="V66" s="385">
        <v>256088</v>
      </c>
      <c r="W66" s="385"/>
    </row>
    <row r="68" spans="1:23" s="80" customFormat="1" ht="12" customHeigh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"/>
      <c r="O68" s="21"/>
      <c r="P68" s="20"/>
      <c r="Q68" s="35"/>
      <c r="R68" s="18"/>
      <c r="S68" s="56"/>
      <c r="T68" s="339"/>
      <c r="U68" s="25"/>
      <c r="V68" s="148"/>
      <c r="W68" s="148"/>
    </row>
    <row r="69" spans="1:23" s="80" customFormat="1" ht="12" customHeigh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20"/>
      <c r="O69" s="21"/>
      <c r="P69" s="20"/>
      <c r="Q69" s="35"/>
      <c r="R69" s="18"/>
      <c r="S69" s="56"/>
      <c r="T69" s="339"/>
      <c r="U69" s="25"/>
      <c r="V69" s="148"/>
      <c r="W69" s="148"/>
    </row>
    <row r="70" spans="1:23" s="80" customFormat="1" ht="12" customHeigh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0"/>
      <c r="O70" s="21"/>
      <c r="P70" s="20"/>
      <c r="Q70" s="35"/>
      <c r="R70" s="18"/>
      <c r="S70" s="56"/>
      <c r="T70" s="339"/>
      <c r="U70" s="25"/>
      <c r="V70" s="148"/>
      <c r="W70" s="148"/>
    </row>
    <row r="71" spans="1:23" s="80" customFormat="1" ht="13.5" customHeight="1" x14ac:dyDescent="0.25">
      <c r="A71" s="16" t="s">
        <v>608</v>
      </c>
      <c r="B71" s="18" t="s">
        <v>74</v>
      </c>
      <c r="C71" s="18" t="s">
        <v>700</v>
      </c>
      <c r="D71" s="19">
        <v>36526</v>
      </c>
      <c r="E71" s="19">
        <v>36556</v>
      </c>
      <c r="F71" s="16" t="s">
        <v>698</v>
      </c>
      <c r="G71" s="16" t="s">
        <v>710</v>
      </c>
      <c r="H71" s="18"/>
      <c r="I71" s="24">
        <v>0.22159999999999999</v>
      </c>
      <c r="J71" s="20">
        <v>6.6900000000000001E-2</v>
      </c>
      <c r="K71" s="20">
        <v>2.2000000000000001E-3</v>
      </c>
      <c r="L71" s="20">
        <v>0</v>
      </c>
      <c r="M71" s="20">
        <v>0</v>
      </c>
      <c r="N71" s="20">
        <f>+O71*2.2</f>
        <v>5.3680000000000005E-2</v>
      </c>
      <c r="O71" s="21">
        <v>2.4400000000000002E-2</v>
      </c>
      <c r="P71" s="20">
        <f t="shared" si="8"/>
        <v>0.34437999999999996</v>
      </c>
      <c r="Q71" s="35"/>
      <c r="R71" s="18">
        <v>4581</v>
      </c>
      <c r="S71" s="16"/>
      <c r="T71" s="418">
        <f t="shared" ref="T71:T88" si="9">I71*I$1*R71</f>
        <v>31469.637600000002</v>
      </c>
      <c r="U71" s="25"/>
      <c r="V71" s="148"/>
      <c r="W71" s="148"/>
    </row>
    <row r="72" spans="1:23" s="80" customFormat="1" x14ac:dyDescent="0.25">
      <c r="A72" s="16" t="s">
        <v>608</v>
      </c>
      <c r="B72" s="18" t="s">
        <v>74</v>
      </c>
      <c r="C72" s="18" t="s">
        <v>700</v>
      </c>
      <c r="D72" s="19">
        <v>36526</v>
      </c>
      <c r="E72" s="19">
        <v>36556</v>
      </c>
      <c r="F72" s="16" t="s">
        <v>478</v>
      </c>
      <c r="G72" s="16" t="s">
        <v>710</v>
      </c>
      <c r="H72" s="18"/>
      <c r="I72" s="24">
        <v>0.22159999999999999</v>
      </c>
      <c r="J72" s="20">
        <v>0</v>
      </c>
      <c r="K72" s="20">
        <v>0</v>
      </c>
      <c r="L72" s="20">
        <v>0</v>
      </c>
      <c r="M72" s="20">
        <v>0</v>
      </c>
      <c r="N72" s="20">
        <f t="shared" ref="N72:N89" si="10">+O72*2.2</f>
        <v>5.3680000000000005E-2</v>
      </c>
      <c r="O72" s="21">
        <v>2.4400000000000002E-2</v>
      </c>
      <c r="P72" s="20">
        <f t="shared" si="8"/>
        <v>0.27527999999999997</v>
      </c>
      <c r="Q72" s="35"/>
      <c r="R72" s="18">
        <v>2500</v>
      </c>
      <c r="S72" s="16"/>
      <c r="T72" s="418">
        <f t="shared" si="9"/>
        <v>17174</v>
      </c>
      <c r="U72" s="25"/>
      <c r="V72" s="148"/>
      <c r="W72" s="148"/>
    </row>
    <row r="73" spans="1:23" s="80" customFormat="1" x14ac:dyDescent="0.25">
      <c r="A73" s="16" t="s">
        <v>608</v>
      </c>
      <c r="B73" s="18" t="s">
        <v>74</v>
      </c>
      <c r="C73" s="18" t="s">
        <v>701</v>
      </c>
      <c r="D73" s="19">
        <v>36526</v>
      </c>
      <c r="E73" s="19">
        <v>36556</v>
      </c>
      <c r="F73" s="16" t="s">
        <v>478</v>
      </c>
      <c r="G73" s="16" t="s">
        <v>710</v>
      </c>
      <c r="H73" s="18"/>
      <c r="I73" s="24">
        <v>0.22159999999999999</v>
      </c>
      <c r="J73" s="20">
        <v>0</v>
      </c>
      <c r="K73" s="20">
        <v>0</v>
      </c>
      <c r="L73" s="20">
        <v>0</v>
      </c>
      <c r="M73" s="20">
        <v>0</v>
      </c>
      <c r="N73" s="20">
        <f t="shared" si="10"/>
        <v>5.3680000000000005E-2</v>
      </c>
      <c r="O73" s="21">
        <v>2.4400000000000002E-2</v>
      </c>
      <c r="P73" s="20">
        <f t="shared" si="8"/>
        <v>0.27527999999999997</v>
      </c>
      <c r="Q73" s="35">
        <v>2156</v>
      </c>
      <c r="R73" s="18">
        <v>3778</v>
      </c>
      <c r="S73" s="16" t="s">
        <v>712</v>
      </c>
      <c r="T73" s="418">
        <f t="shared" si="9"/>
        <v>25953.3488</v>
      </c>
      <c r="U73" s="25"/>
      <c r="V73" s="148">
        <v>142767</v>
      </c>
      <c r="W73" s="148"/>
    </row>
    <row r="74" spans="1:23" s="80" customFormat="1" x14ac:dyDescent="0.25">
      <c r="A74" s="16" t="s">
        <v>608</v>
      </c>
      <c r="B74" s="18" t="s">
        <v>74</v>
      </c>
      <c r="C74" s="18" t="s">
        <v>701</v>
      </c>
      <c r="D74" s="19">
        <v>36617</v>
      </c>
      <c r="E74" s="19">
        <v>36646</v>
      </c>
      <c r="F74" s="16" t="s">
        <v>478</v>
      </c>
      <c r="G74" s="16" t="s">
        <v>948</v>
      </c>
      <c r="H74" s="18"/>
      <c r="I74" s="24">
        <v>0.05</v>
      </c>
      <c r="J74" s="20">
        <v>0</v>
      </c>
      <c r="K74" s="20">
        <v>0</v>
      </c>
      <c r="L74" s="20">
        <v>0</v>
      </c>
      <c r="M74" s="20">
        <v>0</v>
      </c>
      <c r="N74" s="20">
        <f>+O74*2.2</f>
        <v>5.3680000000000005E-2</v>
      </c>
      <c r="O74" s="21">
        <v>2.4400000000000002E-2</v>
      </c>
      <c r="P74" s="20">
        <f>SUM(I74:N74)</f>
        <v>0.10368000000000001</v>
      </c>
      <c r="Q74" s="35">
        <v>2156</v>
      </c>
      <c r="R74" s="18">
        <v>-500</v>
      </c>
      <c r="S74" s="16" t="s">
        <v>712</v>
      </c>
      <c r="T74" s="418">
        <f t="shared" si="9"/>
        <v>-775</v>
      </c>
      <c r="U74" s="25"/>
      <c r="V74" s="148">
        <v>228526</v>
      </c>
      <c r="W74" s="148"/>
    </row>
    <row r="75" spans="1:23" s="486" customFormat="1" x14ac:dyDescent="0.25">
      <c r="A75" s="426" t="s">
        <v>608</v>
      </c>
      <c r="B75" s="427" t="s">
        <v>74</v>
      </c>
      <c r="C75" s="427" t="s">
        <v>702</v>
      </c>
      <c r="D75" s="428">
        <v>36526</v>
      </c>
      <c r="E75" s="428">
        <v>36556</v>
      </c>
      <c r="F75" s="426" t="s">
        <v>478</v>
      </c>
      <c r="G75" s="426" t="s">
        <v>710</v>
      </c>
      <c r="H75" s="427"/>
      <c r="I75" s="429">
        <v>0.22159999999999999</v>
      </c>
      <c r="J75" s="430">
        <v>0</v>
      </c>
      <c r="K75" s="430">
        <v>0</v>
      </c>
      <c r="L75" s="430">
        <v>0</v>
      </c>
      <c r="M75" s="430">
        <v>0</v>
      </c>
      <c r="N75" s="430">
        <f t="shared" si="10"/>
        <v>5.3680000000000005E-2</v>
      </c>
      <c r="O75" s="431">
        <v>2.4400000000000002E-2</v>
      </c>
      <c r="P75" s="430">
        <f t="shared" si="8"/>
        <v>0.27527999999999997</v>
      </c>
      <c r="Q75" s="484">
        <v>1943</v>
      </c>
      <c r="R75" s="427">
        <v>359</v>
      </c>
      <c r="S75" s="426" t="s">
        <v>711</v>
      </c>
      <c r="T75" s="485">
        <f t="shared" si="9"/>
        <v>2466.1864</v>
      </c>
      <c r="U75" s="432"/>
      <c r="V75" s="433">
        <v>142636</v>
      </c>
      <c r="W75" s="433"/>
    </row>
    <row r="76" spans="1:23" s="80" customFormat="1" x14ac:dyDescent="0.25">
      <c r="A76" s="16" t="s">
        <v>608</v>
      </c>
      <c r="B76" s="18" t="s">
        <v>74</v>
      </c>
      <c r="C76" s="18" t="s">
        <v>704</v>
      </c>
      <c r="D76" s="19">
        <v>36526</v>
      </c>
      <c r="E76" s="19">
        <v>36556</v>
      </c>
      <c r="F76" s="16" t="s">
        <v>478</v>
      </c>
      <c r="G76" s="16" t="s">
        <v>710</v>
      </c>
      <c r="H76" s="18"/>
      <c r="I76" s="24">
        <v>0.22159999999999999</v>
      </c>
      <c r="J76" s="20">
        <v>0</v>
      </c>
      <c r="K76" s="20">
        <v>0</v>
      </c>
      <c r="L76" s="20">
        <v>0</v>
      </c>
      <c r="M76" s="20">
        <v>0</v>
      </c>
      <c r="N76" s="20">
        <f t="shared" si="10"/>
        <v>5.3680000000000005E-2</v>
      </c>
      <c r="O76" s="21">
        <v>2.4400000000000002E-2</v>
      </c>
      <c r="P76" s="20">
        <f t="shared" ref="P76:P83" si="11">SUM(I76:N76)</f>
        <v>0.27527999999999997</v>
      </c>
      <c r="Q76" s="35">
        <v>248</v>
      </c>
      <c r="R76" s="18">
        <v>6000</v>
      </c>
      <c r="S76" s="16"/>
      <c r="T76" s="418">
        <f t="shared" si="9"/>
        <v>41217.599999999999</v>
      </c>
      <c r="U76" s="25"/>
      <c r="V76" s="148">
        <v>142568</v>
      </c>
      <c r="W76" s="148"/>
    </row>
    <row r="77" spans="1:23" s="80" customFormat="1" x14ac:dyDescent="0.25">
      <c r="A77" s="16" t="s">
        <v>608</v>
      </c>
      <c r="B77" s="18" t="s">
        <v>74</v>
      </c>
      <c r="C77" s="18" t="s">
        <v>704</v>
      </c>
      <c r="D77" s="19">
        <v>36526</v>
      </c>
      <c r="E77" s="19">
        <v>36556</v>
      </c>
      <c r="F77" s="16" t="s">
        <v>478</v>
      </c>
      <c r="G77" s="16" t="s">
        <v>710</v>
      </c>
      <c r="H77" s="18"/>
      <c r="I77" s="24">
        <v>0.22159999999999999</v>
      </c>
      <c r="J77" s="20">
        <v>0</v>
      </c>
      <c r="K77" s="20">
        <v>0</v>
      </c>
      <c r="L77" s="20">
        <v>0</v>
      </c>
      <c r="M77" s="20">
        <v>0</v>
      </c>
      <c r="N77" s="20">
        <f t="shared" si="10"/>
        <v>5.3680000000000005E-2</v>
      </c>
      <c r="O77" s="21">
        <v>2.4400000000000002E-2</v>
      </c>
      <c r="P77" s="20">
        <f t="shared" si="11"/>
        <v>0.27527999999999997</v>
      </c>
      <c r="Q77" s="35">
        <v>250</v>
      </c>
      <c r="R77" s="18">
        <v>5400</v>
      </c>
      <c r="S77" s="16"/>
      <c r="T77" s="418">
        <f t="shared" si="9"/>
        <v>37095.840000000004</v>
      </c>
      <c r="U77" s="25"/>
      <c r="V77" s="148">
        <v>142585</v>
      </c>
      <c r="W77" s="148"/>
    </row>
    <row r="78" spans="1:23" s="80" customFormat="1" x14ac:dyDescent="0.25">
      <c r="A78" s="16" t="s">
        <v>608</v>
      </c>
      <c r="B78" s="18" t="s">
        <v>74</v>
      </c>
      <c r="C78" s="18" t="s">
        <v>704</v>
      </c>
      <c r="D78" s="19">
        <v>36526</v>
      </c>
      <c r="E78" s="19">
        <v>36556</v>
      </c>
      <c r="F78" s="16" t="s">
        <v>478</v>
      </c>
      <c r="G78" s="16" t="s">
        <v>710</v>
      </c>
      <c r="H78" s="18"/>
      <c r="I78" s="24">
        <v>0.22159999999999999</v>
      </c>
      <c r="J78" s="20">
        <v>0</v>
      </c>
      <c r="K78" s="20">
        <v>0</v>
      </c>
      <c r="L78" s="20">
        <v>0</v>
      </c>
      <c r="M78" s="20">
        <v>0</v>
      </c>
      <c r="N78" s="20">
        <f t="shared" si="10"/>
        <v>5.3680000000000005E-2</v>
      </c>
      <c r="O78" s="21">
        <v>2.4400000000000002E-2</v>
      </c>
      <c r="P78" s="20">
        <f t="shared" si="11"/>
        <v>0.27527999999999997</v>
      </c>
      <c r="Q78" s="35">
        <v>495</v>
      </c>
      <c r="R78" s="18">
        <v>1371</v>
      </c>
      <c r="S78" s="16"/>
      <c r="T78" s="418">
        <f t="shared" si="9"/>
        <v>9418.2216000000008</v>
      </c>
      <c r="U78" s="25"/>
      <c r="V78" s="148">
        <v>142595</v>
      </c>
      <c r="W78" s="148"/>
    </row>
    <row r="79" spans="1:23" s="80" customFormat="1" x14ac:dyDescent="0.25">
      <c r="A79" s="16" t="s">
        <v>608</v>
      </c>
      <c r="B79" s="18" t="s">
        <v>74</v>
      </c>
      <c r="C79" s="18" t="s">
        <v>704</v>
      </c>
      <c r="D79" s="19">
        <v>36526</v>
      </c>
      <c r="E79" s="19">
        <v>36556</v>
      </c>
      <c r="F79" s="16" t="s">
        <v>478</v>
      </c>
      <c r="G79" s="16" t="s">
        <v>710</v>
      </c>
      <c r="H79" s="18"/>
      <c r="I79" s="24">
        <v>0.22159999999999999</v>
      </c>
      <c r="J79" s="20">
        <v>0</v>
      </c>
      <c r="K79" s="20">
        <v>0</v>
      </c>
      <c r="L79" s="20">
        <v>0</v>
      </c>
      <c r="M79" s="20">
        <v>0</v>
      </c>
      <c r="N79" s="20">
        <f t="shared" si="10"/>
        <v>5.3680000000000005E-2</v>
      </c>
      <c r="O79" s="21">
        <v>2.4400000000000002E-2</v>
      </c>
      <c r="P79" s="20">
        <f t="shared" si="11"/>
        <v>0.27527999999999997</v>
      </c>
      <c r="Q79" s="35">
        <v>497</v>
      </c>
      <c r="R79" s="18">
        <v>9273</v>
      </c>
      <c r="S79" s="16"/>
      <c r="T79" s="418">
        <f t="shared" si="9"/>
        <v>63701.800800000005</v>
      </c>
      <c r="U79" s="25"/>
      <c r="V79" s="148">
        <v>142601</v>
      </c>
      <c r="W79" s="148"/>
    </row>
    <row r="80" spans="1:23" s="80" customFormat="1" x14ac:dyDescent="0.25">
      <c r="A80" s="16" t="s">
        <v>608</v>
      </c>
      <c r="B80" s="18" t="s">
        <v>74</v>
      </c>
      <c r="C80" s="18" t="s">
        <v>704</v>
      </c>
      <c r="D80" s="19">
        <v>36526</v>
      </c>
      <c r="E80" s="19">
        <v>36556</v>
      </c>
      <c r="F80" s="16" t="s">
        <v>478</v>
      </c>
      <c r="G80" s="16" t="s">
        <v>710</v>
      </c>
      <c r="H80" s="18"/>
      <c r="I80" s="24">
        <v>0.22159999999999999</v>
      </c>
      <c r="J80" s="20">
        <v>0</v>
      </c>
      <c r="K80" s="20">
        <v>0</v>
      </c>
      <c r="L80" s="20">
        <v>0</v>
      </c>
      <c r="M80" s="20">
        <v>0</v>
      </c>
      <c r="N80" s="20">
        <f t="shared" si="10"/>
        <v>5.3680000000000005E-2</v>
      </c>
      <c r="O80" s="21">
        <v>2.4400000000000002E-2</v>
      </c>
      <c r="P80" s="20">
        <f t="shared" si="11"/>
        <v>0.27527999999999997</v>
      </c>
      <c r="Q80" s="35">
        <v>2042</v>
      </c>
      <c r="R80" s="18">
        <v>1690</v>
      </c>
      <c r="S80" s="16"/>
      <c r="T80" s="418">
        <f t="shared" si="9"/>
        <v>11609.624</v>
      </c>
      <c r="U80" s="25"/>
      <c r="V80" s="148">
        <v>142604</v>
      </c>
      <c r="W80" s="148"/>
    </row>
    <row r="81" spans="1:23" s="80" customFormat="1" x14ac:dyDescent="0.25">
      <c r="A81" s="16" t="s">
        <v>608</v>
      </c>
      <c r="B81" s="18" t="s">
        <v>74</v>
      </c>
      <c r="C81" s="18" t="s">
        <v>704</v>
      </c>
      <c r="D81" s="19">
        <v>36526</v>
      </c>
      <c r="E81" s="19">
        <v>36556</v>
      </c>
      <c r="F81" s="16" t="s">
        <v>478</v>
      </c>
      <c r="G81" s="16" t="s">
        <v>710</v>
      </c>
      <c r="H81" s="18"/>
      <c r="I81" s="24">
        <v>0.22159999999999999</v>
      </c>
      <c r="J81" s="20">
        <v>0</v>
      </c>
      <c r="K81" s="20">
        <v>0</v>
      </c>
      <c r="L81" s="20">
        <v>0</v>
      </c>
      <c r="M81" s="20">
        <v>0</v>
      </c>
      <c r="N81" s="20">
        <f t="shared" si="10"/>
        <v>5.3680000000000005E-2</v>
      </c>
      <c r="O81" s="21">
        <v>2.4400000000000002E-2</v>
      </c>
      <c r="P81" s="20">
        <f t="shared" si="11"/>
        <v>0.27527999999999997</v>
      </c>
      <c r="Q81" s="35">
        <v>23091</v>
      </c>
      <c r="R81" s="18">
        <v>2500</v>
      </c>
      <c r="S81" s="16"/>
      <c r="T81" s="418">
        <f t="shared" si="9"/>
        <v>17174</v>
      </c>
      <c r="U81" s="25"/>
      <c r="V81" s="148">
        <v>142606</v>
      </c>
      <c r="W81" s="148"/>
    </row>
    <row r="82" spans="1:23" s="80" customFormat="1" x14ac:dyDescent="0.25">
      <c r="A82" s="16" t="s">
        <v>608</v>
      </c>
      <c r="B82" s="18" t="s">
        <v>74</v>
      </c>
      <c r="C82" s="18" t="s">
        <v>704</v>
      </c>
      <c r="D82" s="19">
        <v>36526</v>
      </c>
      <c r="E82" s="19">
        <v>36556</v>
      </c>
      <c r="F82" s="16" t="s">
        <v>478</v>
      </c>
      <c r="G82" s="16" t="s">
        <v>710</v>
      </c>
      <c r="H82" s="18"/>
      <c r="I82" s="24">
        <v>0.22159999999999999</v>
      </c>
      <c r="J82" s="20">
        <v>0</v>
      </c>
      <c r="K82" s="20">
        <v>0</v>
      </c>
      <c r="L82" s="20">
        <v>0</v>
      </c>
      <c r="M82" s="20">
        <v>0</v>
      </c>
      <c r="N82" s="20">
        <f t="shared" si="10"/>
        <v>5.3680000000000005E-2</v>
      </c>
      <c r="O82" s="21">
        <v>2.4400000000000002E-2</v>
      </c>
      <c r="P82" s="20">
        <f t="shared" si="11"/>
        <v>0.27527999999999997</v>
      </c>
      <c r="Q82" s="35"/>
      <c r="R82" s="18">
        <v>0</v>
      </c>
      <c r="S82" s="16"/>
      <c r="T82" s="418">
        <f t="shared" si="9"/>
        <v>0</v>
      </c>
      <c r="U82" s="25"/>
      <c r="V82" s="148"/>
      <c r="W82" s="148"/>
    </row>
    <row r="83" spans="1:23" s="80" customFormat="1" x14ac:dyDescent="0.25">
      <c r="A83" s="16" t="s">
        <v>608</v>
      </c>
      <c r="B83" s="18" t="s">
        <v>74</v>
      </c>
      <c r="C83" s="18" t="s">
        <v>704</v>
      </c>
      <c r="D83" s="19">
        <v>36526</v>
      </c>
      <c r="E83" s="19">
        <v>36556</v>
      </c>
      <c r="F83" s="16" t="s">
        <v>478</v>
      </c>
      <c r="G83" s="16" t="s">
        <v>710</v>
      </c>
      <c r="H83" s="18"/>
      <c r="I83" s="24">
        <v>0.22159999999999999</v>
      </c>
      <c r="J83" s="20">
        <v>0</v>
      </c>
      <c r="K83" s="20">
        <v>0</v>
      </c>
      <c r="L83" s="20">
        <v>0</v>
      </c>
      <c r="M83" s="20">
        <v>0</v>
      </c>
      <c r="N83" s="20">
        <f t="shared" si="10"/>
        <v>5.3680000000000005E-2</v>
      </c>
      <c r="O83" s="21">
        <v>2.4400000000000002E-2</v>
      </c>
      <c r="P83" s="20">
        <f t="shared" si="11"/>
        <v>0.27527999999999997</v>
      </c>
      <c r="Q83" s="35"/>
      <c r="R83" s="18">
        <v>0</v>
      </c>
      <c r="S83" s="16"/>
      <c r="T83" s="418">
        <f t="shared" si="9"/>
        <v>0</v>
      </c>
      <c r="U83" s="25"/>
      <c r="V83" s="148"/>
      <c r="W83" s="148"/>
    </row>
    <row r="84" spans="1:23" s="80" customFormat="1" x14ac:dyDescent="0.25">
      <c r="A84" s="16" t="s">
        <v>608</v>
      </c>
      <c r="B84" s="18" t="s">
        <v>74</v>
      </c>
      <c r="C84" s="18" t="s">
        <v>703</v>
      </c>
      <c r="D84" s="19">
        <v>36526</v>
      </c>
      <c r="E84" s="19">
        <v>36556</v>
      </c>
      <c r="F84" s="16" t="s">
        <v>478</v>
      </c>
      <c r="G84" s="16" t="s">
        <v>710</v>
      </c>
      <c r="H84" s="18"/>
      <c r="I84" s="24">
        <v>0.22159999999999999</v>
      </c>
      <c r="J84" s="20">
        <v>0</v>
      </c>
      <c r="K84" s="20">
        <v>0</v>
      </c>
      <c r="L84" s="20">
        <v>0</v>
      </c>
      <c r="M84" s="20">
        <v>0</v>
      </c>
      <c r="N84" s="20">
        <f t="shared" si="10"/>
        <v>5.3680000000000005E-2</v>
      </c>
      <c r="O84" s="21">
        <v>2.4400000000000002E-2</v>
      </c>
      <c r="P84" s="20">
        <f>SUM(I84:N84)</f>
        <v>0.27527999999999997</v>
      </c>
      <c r="Q84" s="35">
        <v>504</v>
      </c>
      <c r="R84" s="18">
        <v>28970</v>
      </c>
      <c r="S84" s="16"/>
      <c r="T84" s="418">
        <f t="shared" si="9"/>
        <v>199012.31200000001</v>
      </c>
      <c r="U84" s="25"/>
      <c r="V84" s="148">
        <v>142770</v>
      </c>
      <c r="W84" s="148"/>
    </row>
    <row r="85" spans="1:23" s="80" customFormat="1" x14ac:dyDescent="0.25">
      <c r="A85" s="16" t="s">
        <v>608</v>
      </c>
      <c r="B85" s="18" t="s">
        <v>74</v>
      </c>
      <c r="C85" s="18" t="s">
        <v>703</v>
      </c>
      <c r="D85" s="19">
        <v>36526</v>
      </c>
      <c r="E85" s="19">
        <v>36556</v>
      </c>
      <c r="F85" s="16" t="s">
        <v>478</v>
      </c>
      <c r="G85" s="16" t="s">
        <v>710</v>
      </c>
      <c r="H85" s="18"/>
      <c r="I85" s="24">
        <v>0.22159999999999999</v>
      </c>
      <c r="J85" s="20">
        <v>0</v>
      </c>
      <c r="K85" s="20">
        <v>0</v>
      </c>
      <c r="L85" s="20">
        <v>0</v>
      </c>
      <c r="M85" s="20">
        <v>0</v>
      </c>
      <c r="N85" s="20">
        <f t="shared" si="10"/>
        <v>5.3680000000000005E-2</v>
      </c>
      <c r="O85" s="21">
        <v>2.4400000000000002E-2</v>
      </c>
      <c r="P85" s="20">
        <f>SUM(I85:N85)</f>
        <v>0.27527999999999997</v>
      </c>
      <c r="Q85" s="35">
        <v>507</v>
      </c>
      <c r="R85" s="18">
        <v>4284</v>
      </c>
      <c r="S85" s="16"/>
      <c r="T85" s="418">
        <f t="shared" si="9"/>
        <v>29429.366399999999</v>
      </c>
      <c r="U85" s="25"/>
      <c r="V85" s="148">
        <v>142775</v>
      </c>
      <c r="W85" s="148"/>
    </row>
    <row r="86" spans="1:23" s="80" customFormat="1" x14ac:dyDescent="0.25">
      <c r="A86" s="16" t="s">
        <v>1114</v>
      </c>
      <c r="B86" s="18" t="s">
        <v>74</v>
      </c>
      <c r="C86" s="18" t="s">
        <v>703</v>
      </c>
      <c r="D86" s="19">
        <v>36651</v>
      </c>
      <c r="E86" s="19">
        <v>36830</v>
      </c>
      <c r="F86" s="16">
        <v>500</v>
      </c>
      <c r="G86" s="16">
        <v>2037</v>
      </c>
      <c r="H86" s="18"/>
      <c r="I86" s="24">
        <f>5.37/I1</f>
        <v>0.1732258064516129</v>
      </c>
      <c r="J86" s="20"/>
      <c r="K86" s="20"/>
      <c r="L86" s="20"/>
      <c r="M86" s="20"/>
      <c r="N86" s="20"/>
      <c r="O86" s="21"/>
      <c r="P86" s="20"/>
      <c r="Q86" s="35"/>
      <c r="R86" s="18">
        <v>-1</v>
      </c>
      <c r="S86" s="16"/>
      <c r="T86" s="418">
        <f t="shared" si="9"/>
        <v>-5.37</v>
      </c>
      <c r="U86" s="25"/>
      <c r="V86" s="148">
        <v>260848</v>
      </c>
      <c r="W86" s="148"/>
    </row>
    <row r="87" spans="1:23" s="80" customFormat="1" x14ac:dyDescent="0.25">
      <c r="A87" s="16" t="s">
        <v>608</v>
      </c>
      <c r="B87" s="18" t="s">
        <v>74</v>
      </c>
      <c r="C87" s="18" t="s">
        <v>703</v>
      </c>
      <c r="D87" s="19">
        <v>36526</v>
      </c>
      <c r="E87" s="19">
        <v>36556</v>
      </c>
      <c r="F87" s="16" t="s">
        <v>478</v>
      </c>
      <c r="G87" s="16" t="s">
        <v>710</v>
      </c>
      <c r="H87" s="18"/>
      <c r="I87" s="24">
        <v>0.22159999999999999</v>
      </c>
      <c r="J87" s="20">
        <v>0</v>
      </c>
      <c r="K87" s="20">
        <v>0</v>
      </c>
      <c r="L87" s="20">
        <v>0</v>
      </c>
      <c r="M87" s="20">
        <v>0</v>
      </c>
      <c r="N87" s="20">
        <f t="shared" si="10"/>
        <v>5.3680000000000005E-2</v>
      </c>
      <c r="O87" s="21">
        <v>2.4400000000000002E-2</v>
      </c>
      <c r="P87" s="20">
        <f>SUM(I87:N87)</f>
        <v>0.27527999999999997</v>
      </c>
      <c r="Q87" s="35">
        <v>305</v>
      </c>
      <c r="R87" s="18">
        <v>5281</v>
      </c>
      <c r="S87" s="16"/>
      <c r="T87" s="418">
        <f t="shared" si="9"/>
        <v>36278.357600000003</v>
      </c>
      <c r="U87" s="25"/>
      <c r="V87" s="148">
        <v>142778</v>
      </c>
      <c r="W87" s="148"/>
    </row>
    <row r="88" spans="1:23" s="80" customFormat="1" x14ac:dyDescent="0.25">
      <c r="A88" s="16" t="s">
        <v>608</v>
      </c>
      <c r="B88" s="18" t="s">
        <v>74</v>
      </c>
      <c r="C88" s="18" t="s">
        <v>703</v>
      </c>
      <c r="D88" s="19">
        <v>36526</v>
      </c>
      <c r="E88" s="19">
        <v>36556</v>
      </c>
      <c r="F88" s="16" t="s">
        <v>478</v>
      </c>
      <c r="G88" s="16" t="s">
        <v>710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0">
        <f t="shared" si="10"/>
        <v>5.3680000000000005E-2</v>
      </c>
      <c r="O88" s="21">
        <v>2.4400000000000002E-2</v>
      </c>
      <c r="P88" s="20">
        <f>SUM(I88:N88)</f>
        <v>0.27527999999999997</v>
      </c>
      <c r="Q88" s="35"/>
      <c r="R88" s="18"/>
      <c r="S88" s="16"/>
      <c r="T88" s="418">
        <f t="shared" si="9"/>
        <v>0</v>
      </c>
      <c r="U88" s="25"/>
      <c r="V88" s="148"/>
      <c r="W88" s="148"/>
    </row>
    <row r="89" spans="1:23" s="80" customFormat="1" x14ac:dyDescent="0.25">
      <c r="A89" s="16" t="s">
        <v>608</v>
      </c>
      <c r="B89" s="18" t="s">
        <v>74</v>
      </c>
      <c r="C89" s="18" t="s">
        <v>82</v>
      </c>
      <c r="D89" s="19">
        <v>36526</v>
      </c>
      <c r="E89" s="19">
        <v>36556</v>
      </c>
      <c r="F89" s="16" t="s">
        <v>478</v>
      </c>
      <c r="G89" s="16" t="s">
        <v>710</v>
      </c>
      <c r="H89" s="18"/>
      <c r="I89" s="24">
        <v>0.22159999999999999</v>
      </c>
      <c r="J89" s="20">
        <v>0</v>
      </c>
      <c r="K89" s="20">
        <v>0</v>
      </c>
      <c r="L89" s="20">
        <v>0</v>
      </c>
      <c r="M89" s="20">
        <v>0</v>
      </c>
      <c r="N89" s="20">
        <f t="shared" si="10"/>
        <v>5.3680000000000005E-2</v>
      </c>
      <c r="O89" s="21">
        <v>2.4400000000000002E-2</v>
      </c>
      <c r="P89" s="20">
        <f>SUM(I89:N89)</f>
        <v>0.27527999999999997</v>
      </c>
      <c r="Q89" s="35"/>
      <c r="R89" s="18"/>
      <c r="S89" s="16"/>
      <c r="T89" s="339"/>
      <c r="U89" s="25"/>
      <c r="V89" s="148"/>
      <c r="W89" s="148"/>
    </row>
    <row r="90" spans="1:23" s="80" customFormat="1" ht="12" customHeight="1" x14ac:dyDescent="0.25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0"/>
      <c r="O90" s="21"/>
      <c r="P90" s="20"/>
      <c r="Q90" s="35"/>
      <c r="R90" s="18"/>
      <c r="S90" s="56"/>
      <c r="T90" s="339"/>
      <c r="U90" s="25"/>
      <c r="V90" s="148"/>
      <c r="W90" s="148"/>
    </row>
    <row r="91" spans="1:23" s="80" customFormat="1" ht="12" customHeight="1" x14ac:dyDescent="0.25">
      <c r="A91" s="16" t="s">
        <v>67</v>
      </c>
      <c r="B91" s="18" t="s">
        <v>653</v>
      </c>
      <c r="C91" s="18" t="s">
        <v>653</v>
      </c>
      <c r="D91" s="19">
        <v>36465</v>
      </c>
      <c r="E91" s="19">
        <v>36951</v>
      </c>
      <c r="F91" s="16" t="s">
        <v>654</v>
      </c>
      <c r="G91" s="16" t="s">
        <v>631</v>
      </c>
      <c r="H91" s="18" t="s">
        <v>68</v>
      </c>
      <c r="I91" s="24">
        <v>7.5300000000000006E-2</v>
      </c>
      <c r="J91" s="20">
        <v>8.9999999999999998E-4</v>
      </c>
      <c r="K91" s="20">
        <v>2.2000000000000001E-3</v>
      </c>
      <c r="L91" s="20">
        <v>7.4999999999999997E-3</v>
      </c>
      <c r="M91" s="20">
        <v>0</v>
      </c>
      <c r="N91" s="20">
        <f>+O91*(1.75)</f>
        <v>8.7500000000000008E-3</v>
      </c>
      <c r="O91" s="21">
        <v>5.0000000000000001E-3</v>
      </c>
      <c r="P91" s="20">
        <f>SUM(I91:N91)</f>
        <v>9.4650000000000012E-2</v>
      </c>
      <c r="Q91" s="35">
        <v>31468</v>
      </c>
      <c r="R91" s="18">
        <v>1600</v>
      </c>
      <c r="S91" s="56" t="s">
        <v>47</v>
      </c>
      <c r="T91" s="339">
        <f>I91*$I$1*R91</f>
        <v>3734.8800000000006</v>
      </c>
      <c r="U91" s="25"/>
      <c r="V91" s="148">
        <v>125103</v>
      </c>
      <c r="W91" s="148"/>
    </row>
    <row r="92" spans="1:23" s="80" customFormat="1" ht="12" customHeight="1" x14ac:dyDescent="0.25">
      <c r="A92" s="16"/>
      <c r="B92" s="18" t="s">
        <v>653</v>
      </c>
      <c r="C92" s="18" t="s">
        <v>653</v>
      </c>
      <c r="D92" s="19">
        <v>36526</v>
      </c>
      <c r="E92" s="19">
        <v>36556</v>
      </c>
      <c r="F92" s="16" t="s">
        <v>654</v>
      </c>
      <c r="G92" s="16" t="s">
        <v>631</v>
      </c>
      <c r="H92" s="18" t="s">
        <v>68</v>
      </c>
      <c r="I92" s="24">
        <v>7.5300000000000006E-2</v>
      </c>
      <c r="J92" s="20">
        <v>8.9999999999999998E-4</v>
      </c>
      <c r="K92" s="20">
        <v>2.2000000000000001E-3</v>
      </c>
      <c r="L92" s="20">
        <v>7.4999999999999997E-3</v>
      </c>
      <c r="M92" s="20">
        <v>0</v>
      </c>
      <c r="N92" s="20">
        <f>+O92*(1.75)</f>
        <v>8.7500000000000008E-3</v>
      </c>
      <c r="O92" s="21">
        <v>5.0000000000000001E-3</v>
      </c>
      <c r="P92" s="20">
        <f>SUM(I92:N92)</f>
        <v>9.4650000000000012E-2</v>
      </c>
      <c r="Q92" s="35"/>
      <c r="R92" s="18"/>
      <c r="S92" s="56" t="s">
        <v>47</v>
      </c>
      <c r="T92" s="339">
        <f>I92*$I$1*R92</f>
        <v>0</v>
      </c>
      <c r="U92" s="25"/>
      <c r="V92" s="148"/>
      <c r="W92" s="148"/>
    </row>
    <row r="93" spans="1:23" s="80" customFormat="1" ht="12" customHeight="1" x14ac:dyDescent="0.25">
      <c r="A93" s="16"/>
      <c r="B93" s="18" t="s">
        <v>653</v>
      </c>
      <c r="C93" s="18" t="s">
        <v>653</v>
      </c>
      <c r="D93" s="19">
        <v>36526</v>
      </c>
      <c r="E93" s="19">
        <v>36556</v>
      </c>
      <c r="F93" s="16" t="s">
        <v>697</v>
      </c>
      <c r="G93" s="16" t="s">
        <v>654</v>
      </c>
      <c r="H93" s="18" t="s">
        <v>68</v>
      </c>
      <c r="I93" s="24">
        <v>7.5300000000000006E-2</v>
      </c>
      <c r="J93" s="20">
        <v>8.9999999999999998E-4</v>
      </c>
      <c r="K93" s="20">
        <v>2.2000000000000001E-3</v>
      </c>
      <c r="L93" s="20">
        <v>7.4999999999999997E-3</v>
      </c>
      <c r="M93" s="20">
        <v>0</v>
      </c>
      <c r="N93" s="20">
        <f>+O93*(1.75)</f>
        <v>1.7500000000000002E-2</v>
      </c>
      <c r="O93" s="21">
        <v>0.01</v>
      </c>
      <c r="P93" s="20">
        <f>SUM(I93:N93)</f>
        <v>0.10340000000000001</v>
      </c>
      <c r="Q93" s="35"/>
      <c r="R93" s="18"/>
      <c r="S93" s="56" t="s">
        <v>47</v>
      </c>
      <c r="T93" s="339">
        <f>I93*$I$1*R93</f>
        <v>0</v>
      </c>
      <c r="U93" s="25"/>
      <c r="V93" s="148">
        <v>145900</v>
      </c>
      <c r="W93" s="148"/>
    </row>
    <row r="94" spans="1:23" s="80" customFormat="1" ht="12" customHeigh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"/>
      <c r="O94" s="21"/>
      <c r="P94" s="20"/>
      <c r="Q94" s="35"/>
      <c r="R94" s="18"/>
      <c r="S94" s="56"/>
      <c r="T94" s="339"/>
      <c r="U94" s="25"/>
      <c r="V94" s="148"/>
      <c r="W94" s="148"/>
    </row>
    <row r="95" spans="1:23" s="80" customFormat="1" ht="12" customHeigh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"/>
      <c r="O95" s="21"/>
      <c r="P95" s="20"/>
      <c r="Q95" s="35"/>
      <c r="R95" s="18"/>
      <c r="S95" s="56"/>
      <c r="T95" s="339"/>
      <c r="U95" s="25"/>
      <c r="V95" s="148"/>
      <c r="W95" s="148"/>
    </row>
    <row r="96" spans="1:23" s="80" customFormat="1" ht="12" customHeight="1" x14ac:dyDescent="0.25">
      <c r="A96" s="16" t="s">
        <v>67</v>
      </c>
      <c r="B96" s="18"/>
      <c r="C96" s="18"/>
      <c r="D96" s="19"/>
      <c r="E96" s="19"/>
      <c r="F96" s="16" t="s">
        <v>654</v>
      </c>
      <c r="G96" s="16"/>
      <c r="H96" s="18" t="s">
        <v>68</v>
      </c>
      <c r="I96" s="24">
        <v>0</v>
      </c>
      <c r="J96" s="20">
        <v>8.9999999999999998E-4</v>
      </c>
      <c r="K96" s="20">
        <v>2.2000000000000001E-3</v>
      </c>
      <c r="L96" s="20">
        <v>7.4999999999999997E-3</v>
      </c>
      <c r="M96" s="20">
        <v>0</v>
      </c>
      <c r="N96" s="20">
        <f>+O96*(1.75)</f>
        <v>8.7500000000000008E-3</v>
      </c>
      <c r="O96" s="21">
        <v>5.0000000000000001E-3</v>
      </c>
      <c r="P96" s="20">
        <f>SUM(I96:N96)</f>
        <v>1.9349999999999999E-2</v>
      </c>
      <c r="Q96" s="35">
        <v>31468</v>
      </c>
      <c r="R96" s="18">
        <v>1600</v>
      </c>
      <c r="S96" s="56" t="s">
        <v>47</v>
      </c>
      <c r="T96" s="339">
        <v>0</v>
      </c>
      <c r="U96" s="25"/>
      <c r="V96" s="148"/>
      <c r="W96" s="148"/>
    </row>
    <row r="97" spans="1:23" s="80" customFormat="1" x14ac:dyDescent="0.25">
      <c r="A97" s="26" t="s">
        <v>47</v>
      </c>
      <c r="B97" s="27" t="s">
        <v>47</v>
      </c>
      <c r="C97" s="27" t="s">
        <v>47</v>
      </c>
      <c r="D97" s="28" t="s">
        <v>47</v>
      </c>
      <c r="E97" s="28" t="s">
        <v>47</v>
      </c>
      <c r="F97" s="26" t="s">
        <v>47</v>
      </c>
      <c r="G97" s="26" t="s">
        <v>47</v>
      </c>
      <c r="H97" s="27" t="s">
        <v>47</v>
      </c>
      <c r="I97" s="29" t="s">
        <v>47</v>
      </c>
      <c r="J97" s="30" t="s">
        <v>47</v>
      </c>
      <c r="K97" s="30" t="s">
        <v>47</v>
      </c>
      <c r="L97" s="30" t="s">
        <v>47</v>
      </c>
      <c r="M97" s="30" t="s">
        <v>48</v>
      </c>
      <c r="N97" s="30" t="s">
        <v>47</v>
      </c>
      <c r="O97" s="31" t="s">
        <v>47</v>
      </c>
      <c r="P97" s="30" t="s">
        <v>47</v>
      </c>
      <c r="Q97" s="32" t="s">
        <v>47</v>
      </c>
      <c r="R97" s="27" t="s">
        <v>47</v>
      </c>
      <c r="S97" s="26" t="s">
        <v>47</v>
      </c>
      <c r="T97" s="419">
        <f>SUM(T40:T96)</f>
        <v>1097342.5351999998</v>
      </c>
      <c r="U97" s="33">
        <f>SUM(U40:U96)</f>
        <v>0</v>
      </c>
      <c r="V97" s="148"/>
      <c r="W97" s="148"/>
    </row>
    <row r="98" spans="1:23" s="80" customFormat="1" x14ac:dyDescent="0.25">
      <c r="A98" s="296" t="s">
        <v>49</v>
      </c>
      <c r="B98" s="297" t="s">
        <v>50</v>
      </c>
      <c r="C98" s="297" t="s">
        <v>51</v>
      </c>
      <c r="D98" s="298" t="s">
        <v>52</v>
      </c>
      <c r="E98" s="298"/>
      <c r="F98" s="296" t="s">
        <v>53</v>
      </c>
      <c r="G98" s="296" t="s">
        <v>54</v>
      </c>
      <c r="H98" s="297" t="s">
        <v>55</v>
      </c>
      <c r="I98" s="299" t="s">
        <v>56</v>
      </c>
      <c r="J98" s="297" t="s">
        <v>57</v>
      </c>
      <c r="K98" s="297" t="s">
        <v>58</v>
      </c>
      <c r="L98" s="297" t="s">
        <v>59</v>
      </c>
      <c r="M98" s="297" t="s">
        <v>60</v>
      </c>
      <c r="N98" s="297" t="s">
        <v>61</v>
      </c>
      <c r="O98" s="300" t="s">
        <v>62</v>
      </c>
      <c r="P98" s="297" t="s">
        <v>63</v>
      </c>
      <c r="Q98" s="301" t="s">
        <v>64</v>
      </c>
      <c r="R98" s="297" t="s">
        <v>65</v>
      </c>
      <c r="S98" s="296" t="s">
        <v>66</v>
      </c>
      <c r="T98" s="417" t="s">
        <v>693</v>
      </c>
      <c r="U98" s="302" t="s">
        <v>694</v>
      </c>
      <c r="V98" s="148"/>
      <c r="W98" s="148"/>
    </row>
    <row r="99" spans="1:23" s="251" customFormat="1" x14ac:dyDescent="0.25">
      <c r="A99" s="510" t="s">
        <v>541</v>
      </c>
      <c r="B99" s="511" t="s">
        <v>781</v>
      </c>
      <c r="C99" s="511" t="s">
        <v>811</v>
      </c>
      <c r="D99" s="512">
        <v>36647</v>
      </c>
      <c r="E99" s="512">
        <v>36830</v>
      </c>
      <c r="F99" s="510" t="s">
        <v>103</v>
      </c>
      <c r="G99" s="510" t="s">
        <v>126</v>
      </c>
      <c r="H99" s="511" t="s">
        <v>70</v>
      </c>
      <c r="I99" s="513">
        <f>0.9125*0.0328767</f>
        <v>2.9999988750000001E-2</v>
      </c>
      <c r="J99" s="514">
        <v>7.4999999999999997E-2</v>
      </c>
      <c r="K99" s="514">
        <v>2.2000000000000001E-3</v>
      </c>
      <c r="L99" s="514">
        <v>0</v>
      </c>
      <c r="M99" s="514">
        <v>0</v>
      </c>
      <c r="N99" s="514">
        <f>+O99*2.28</f>
        <v>0</v>
      </c>
      <c r="O99" s="515">
        <v>0</v>
      </c>
      <c r="P99" s="514">
        <f>SUM(I99:N99)</f>
        <v>0.10719998874999999</v>
      </c>
      <c r="Q99" s="516">
        <v>893145</v>
      </c>
      <c r="R99" s="511">
        <v>5000</v>
      </c>
      <c r="S99" s="517" t="s">
        <v>1013</v>
      </c>
      <c r="T99" s="518">
        <f>+I99*I$1*R99</f>
        <v>4649.9982562499999</v>
      </c>
      <c r="U99" s="519"/>
      <c r="V99" s="521" t="s">
        <v>1018</v>
      </c>
      <c r="W99" s="520"/>
    </row>
    <row r="100" spans="1:23" s="108" customFormat="1" x14ac:dyDescent="0.25">
      <c r="A100" s="413" t="s">
        <v>541</v>
      </c>
      <c r="B100" s="159" t="s">
        <v>781</v>
      </c>
      <c r="C100" s="159" t="s">
        <v>881</v>
      </c>
      <c r="D100" s="414">
        <v>36617</v>
      </c>
      <c r="E100" s="414">
        <v>36830</v>
      </c>
      <c r="F100" s="413" t="s">
        <v>103</v>
      </c>
      <c r="G100" s="413" t="s">
        <v>126</v>
      </c>
      <c r="H100" s="159" t="s">
        <v>68</v>
      </c>
      <c r="I100" s="415">
        <f>0.7604*0.0328767</f>
        <v>2.4999442680000001E-2</v>
      </c>
      <c r="J100" s="34">
        <v>7.4999999999999997E-2</v>
      </c>
      <c r="K100" s="34">
        <v>2.2000000000000001E-3</v>
      </c>
      <c r="L100" s="34">
        <v>0</v>
      </c>
      <c r="M100" s="34">
        <v>0</v>
      </c>
      <c r="N100" s="34">
        <f>+O100*2.28</f>
        <v>0</v>
      </c>
      <c r="O100" s="303">
        <v>0</v>
      </c>
      <c r="P100" s="34">
        <f>SUM(I100:N100)</f>
        <v>0.10219944267999999</v>
      </c>
      <c r="Q100" s="364">
        <v>892875</v>
      </c>
      <c r="R100" s="159">
        <v>10000</v>
      </c>
      <c r="S100" s="495" t="s">
        <v>882</v>
      </c>
      <c r="T100" s="416">
        <f>+I100*I$1*R100</f>
        <v>7749.8272308000005</v>
      </c>
      <c r="U100" s="50"/>
      <c r="V100" s="147" t="s">
        <v>883</v>
      </c>
      <c r="W100" s="147"/>
    </row>
    <row r="101" spans="1:23" s="251" customFormat="1" x14ac:dyDescent="0.25">
      <c r="A101" s="510" t="s">
        <v>791</v>
      </c>
      <c r="B101" s="511" t="s">
        <v>781</v>
      </c>
      <c r="C101" s="511" t="s">
        <v>1015</v>
      </c>
      <c r="D101" s="512">
        <v>36647</v>
      </c>
      <c r="E101" s="512">
        <v>36677</v>
      </c>
      <c r="F101" s="510" t="s">
        <v>101</v>
      </c>
      <c r="G101" s="510" t="s">
        <v>126</v>
      </c>
      <c r="H101" s="511" t="s">
        <v>70</v>
      </c>
      <c r="I101" s="513">
        <f>1.3688*0.0328767</f>
        <v>4.5001626960000006E-2</v>
      </c>
      <c r="J101" s="514">
        <v>7.4999999999999997E-2</v>
      </c>
      <c r="K101" s="514">
        <v>2.2000000000000001E-3</v>
      </c>
      <c r="L101" s="514">
        <v>0</v>
      </c>
      <c r="M101" s="514">
        <v>0</v>
      </c>
      <c r="N101" s="514">
        <f>+O101*2.28</f>
        <v>0</v>
      </c>
      <c r="O101" s="515">
        <v>0</v>
      </c>
      <c r="P101" s="514">
        <f>SUM(I101:N101)</f>
        <v>0.12220162695999999</v>
      </c>
      <c r="Q101" s="516">
        <v>892875</v>
      </c>
      <c r="R101" s="511">
        <v>-504</v>
      </c>
      <c r="S101" s="517" t="s">
        <v>1017</v>
      </c>
      <c r="T101" s="518">
        <f>+I101*I$1*R101</f>
        <v>-703.10541962304012</v>
      </c>
      <c r="U101" s="519"/>
      <c r="V101" s="520">
        <v>251607</v>
      </c>
      <c r="W101" s="520"/>
    </row>
    <row r="102" spans="1:23" s="509" customFormat="1" x14ac:dyDescent="0.25">
      <c r="A102" s="498" t="s">
        <v>791</v>
      </c>
      <c r="B102" s="499" t="s">
        <v>781</v>
      </c>
      <c r="C102" s="499" t="s">
        <v>1015</v>
      </c>
      <c r="D102" s="500">
        <v>36678</v>
      </c>
      <c r="E102" s="500">
        <v>36830</v>
      </c>
      <c r="F102" s="498" t="s">
        <v>101</v>
      </c>
      <c r="G102" s="498" t="s">
        <v>126</v>
      </c>
      <c r="H102" s="499" t="s">
        <v>70</v>
      </c>
      <c r="I102" s="501">
        <f>1.3688*0.0328767</f>
        <v>4.5001626960000006E-2</v>
      </c>
      <c r="J102" s="502">
        <v>7.4999999999999997E-2</v>
      </c>
      <c r="K102" s="502">
        <v>2.2000000000000001E-3</v>
      </c>
      <c r="L102" s="502">
        <v>0</v>
      </c>
      <c r="M102" s="502">
        <v>0</v>
      </c>
      <c r="N102" s="502">
        <f>+O102*2.28</f>
        <v>0</v>
      </c>
      <c r="O102" s="503">
        <v>0</v>
      </c>
      <c r="P102" s="502">
        <f>SUM(I102:N102)</f>
        <v>0.12220162695999999</v>
      </c>
      <c r="Q102" s="504">
        <v>892875</v>
      </c>
      <c r="R102" s="499">
        <v>-504</v>
      </c>
      <c r="S102" s="505" t="s">
        <v>1016</v>
      </c>
      <c r="T102" s="506">
        <v>0</v>
      </c>
      <c r="U102" s="507"/>
      <c r="V102" s="508">
        <v>251607</v>
      </c>
      <c r="W102" s="508"/>
    </row>
    <row r="103" spans="1:23" s="108" customFormat="1" x14ac:dyDescent="0.25">
      <c r="A103" s="413" t="s">
        <v>541</v>
      </c>
      <c r="B103" s="159" t="s">
        <v>781</v>
      </c>
      <c r="C103" s="159" t="s">
        <v>884</v>
      </c>
      <c r="D103" s="414">
        <v>36617</v>
      </c>
      <c r="E103" s="414">
        <v>36830</v>
      </c>
      <c r="F103" s="413" t="s">
        <v>103</v>
      </c>
      <c r="G103" s="413" t="s">
        <v>346</v>
      </c>
      <c r="H103" s="159" t="s">
        <v>68</v>
      </c>
      <c r="I103" s="415">
        <f>0.341*0.0328767</f>
        <v>1.1210954700000001E-2</v>
      </c>
      <c r="J103" s="34">
        <v>7.4999999999999997E-2</v>
      </c>
      <c r="K103" s="34">
        <v>2.2000000000000001E-3</v>
      </c>
      <c r="L103" s="34">
        <v>0</v>
      </c>
      <c r="M103" s="34">
        <v>0</v>
      </c>
      <c r="N103" s="34">
        <f>+O103*2.28</f>
        <v>0</v>
      </c>
      <c r="O103" s="303">
        <v>0</v>
      </c>
      <c r="P103" s="34">
        <f>SUM(I103:N103)</f>
        <v>8.8410954699999988E-2</v>
      </c>
      <c r="Q103" s="364">
        <v>892872</v>
      </c>
      <c r="R103" s="159">
        <v>19355</v>
      </c>
      <c r="S103" s="495" t="s">
        <v>885</v>
      </c>
      <c r="T103" s="416">
        <f>+I103*I$1*R103</f>
        <v>6726.6288747735007</v>
      </c>
      <c r="U103" s="50"/>
      <c r="V103" s="147" t="s">
        <v>904</v>
      </c>
      <c r="W103" s="147"/>
    </row>
    <row r="104" spans="1:23" s="108" customFormat="1" x14ac:dyDescent="0.25">
      <c r="A104" s="413"/>
      <c r="B104" s="159"/>
      <c r="C104" s="159"/>
      <c r="D104" s="414"/>
      <c r="E104" s="414"/>
      <c r="F104" s="413"/>
      <c r="G104" s="413"/>
      <c r="H104" s="159"/>
      <c r="I104" s="415"/>
      <c r="J104" s="34"/>
      <c r="K104" s="34"/>
      <c r="L104" s="34"/>
      <c r="M104" s="34"/>
      <c r="N104" s="34"/>
      <c r="O104" s="303"/>
      <c r="P104" s="34"/>
      <c r="Q104" s="364"/>
      <c r="R104" s="159"/>
      <c r="S104" s="495"/>
      <c r="T104" s="416"/>
      <c r="U104" s="50"/>
      <c r="V104" s="147"/>
      <c r="W104" s="147"/>
    </row>
    <row r="105" spans="1:23" s="80" customFormat="1" x14ac:dyDescent="0.25">
      <c r="A105" s="296" t="s">
        <v>49</v>
      </c>
      <c r="B105" s="297" t="s">
        <v>50</v>
      </c>
      <c r="C105" s="297" t="s">
        <v>51</v>
      </c>
      <c r="D105" s="298" t="s">
        <v>52</v>
      </c>
      <c r="E105" s="298"/>
      <c r="F105" s="296" t="s">
        <v>53</v>
      </c>
      <c r="G105" s="296" t="s">
        <v>54</v>
      </c>
      <c r="H105" s="297" t="s">
        <v>55</v>
      </c>
      <c r="I105" s="299" t="s">
        <v>56</v>
      </c>
      <c r="J105" s="297" t="s">
        <v>57</v>
      </c>
      <c r="K105" s="297" t="s">
        <v>58</v>
      </c>
      <c r="L105" s="297" t="s">
        <v>59</v>
      </c>
      <c r="M105" s="297" t="s">
        <v>60</v>
      </c>
      <c r="N105" s="297" t="s">
        <v>61</v>
      </c>
      <c r="O105" s="300" t="s">
        <v>62</v>
      </c>
      <c r="P105" s="297" t="s">
        <v>63</v>
      </c>
      <c r="Q105" s="301" t="s">
        <v>64</v>
      </c>
      <c r="R105" s="297" t="s">
        <v>65</v>
      </c>
      <c r="S105" s="296" t="s">
        <v>66</v>
      </c>
      <c r="T105" s="417" t="s">
        <v>693</v>
      </c>
      <c r="U105" s="302" t="s">
        <v>694</v>
      </c>
      <c r="V105" s="148"/>
      <c r="W105" s="148"/>
    </row>
    <row r="106" spans="1:23" s="251" customFormat="1" x14ac:dyDescent="0.25">
      <c r="A106" s="510" t="s">
        <v>49</v>
      </c>
      <c r="B106" s="511" t="s">
        <v>1031</v>
      </c>
      <c r="C106" s="511" t="s">
        <v>1032</v>
      </c>
      <c r="D106" s="512">
        <v>36647</v>
      </c>
      <c r="E106" s="512">
        <v>36770</v>
      </c>
      <c r="F106" s="510" t="s">
        <v>1033</v>
      </c>
      <c r="G106" s="510" t="s">
        <v>1034</v>
      </c>
      <c r="H106" s="511" t="s">
        <v>68</v>
      </c>
      <c r="I106" s="513">
        <v>0</v>
      </c>
      <c r="J106" s="514"/>
      <c r="K106" s="514"/>
      <c r="L106" s="514"/>
      <c r="M106" s="514"/>
      <c r="N106" s="514"/>
      <c r="O106" s="515"/>
      <c r="P106" s="514"/>
      <c r="Q106" s="516" t="s">
        <v>1035</v>
      </c>
      <c r="R106" s="511">
        <v>5200</v>
      </c>
      <c r="S106" s="540">
        <v>200004000073</v>
      </c>
      <c r="T106" s="518">
        <f>+R106*I106</f>
        <v>0</v>
      </c>
      <c r="U106" s="519"/>
      <c r="V106" s="520">
        <v>253159</v>
      </c>
      <c r="W106" s="520"/>
    </row>
    <row r="107" spans="1:23" s="251" customFormat="1" x14ac:dyDescent="0.25">
      <c r="A107" s="510" t="s">
        <v>541</v>
      </c>
      <c r="B107" s="511" t="s">
        <v>1031</v>
      </c>
      <c r="C107" s="511" t="s">
        <v>1048</v>
      </c>
      <c r="D107" s="512">
        <v>36647</v>
      </c>
      <c r="E107" s="512">
        <v>36677</v>
      </c>
      <c r="F107" s="510" t="s">
        <v>1033</v>
      </c>
      <c r="G107" s="510" t="s">
        <v>1049</v>
      </c>
      <c r="H107" s="511" t="s">
        <v>879</v>
      </c>
      <c r="I107" s="513">
        <v>5.0000000000000001E-3</v>
      </c>
      <c r="J107" s="514"/>
      <c r="K107" s="514"/>
      <c r="L107" s="514"/>
      <c r="M107" s="514"/>
      <c r="N107" s="514"/>
      <c r="O107" s="515"/>
      <c r="P107" s="514"/>
      <c r="Q107" s="516" t="s">
        <v>1050</v>
      </c>
      <c r="R107" s="511">
        <v>7000</v>
      </c>
      <c r="S107" s="517" t="s">
        <v>1051</v>
      </c>
      <c r="T107" s="518">
        <f>+I107*R107*I1</f>
        <v>1085</v>
      </c>
      <c r="U107" s="519"/>
      <c r="V107" s="520">
        <v>254539</v>
      </c>
      <c r="W107" s="520"/>
    </row>
    <row r="108" spans="1:23" s="251" customFormat="1" x14ac:dyDescent="0.25">
      <c r="A108" s="510" t="s">
        <v>541</v>
      </c>
      <c r="B108" s="511" t="s">
        <v>1031</v>
      </c>
      <c r="C108" s="511" t="s">
        <v>1048</v>
      </c>
      <c r="D108" s="512">
        <v>36647</v>
      </c>
      <c r="E108" s="512">
        <v>36769</v>
      </c>
      <c r="F108" s="510" t="s">
        <v>1054</v>
      </c>
      <c r="G108" s="510" t="s">
        <v>1055</v>
      </c>
      <c r="H108" s="511" t="s">
        <v>879</v>
      </c>
      <c r="I108" s="513">
        <v>5.0000000000000001E-3</v>
      </c>
      <c r="J108" s="514"/>
      <c r="K108" s="514"/>
      <c r="L108" s="514"/>
      <c r="M108" s="514"/>
      <c r="N108" s="514"/>
      <c r="O108" s="515"/>
      <c r="P108" s="514"/>
      <c r="Q108" s="516" t="s">
        <v>1056</v>
      </c>
      <c r="R108" s="511">
        <v>2300</v>
      </c>
      <c r="S108" s="517" t="s">
        <v>1057</v>
      </c>
      <c r="T108" s="518">
        <f>+I108*R108*I2</f>
        <v>0</v>
      </c>
      <c r="U108" s="519"/>
      <c r="V108" s="520">
        <v>257412</v>
      </c>
      <c r="W108" s="520"/>
    </row>
    <row r="109" spans="1:23" s="108" customFormat="1" x14ac:dyDescent="0.25">
      <c r="A109" s="413"/>
      <c r="B109" s="159"/>
      <c r="C109" s="159"/>
      <c r="D109" s="414"/>
      <c r="E109" s="414"/>
      <c r="F109" s="413"/>
      <c r="G109" s="413"/>
      <c r="H109" s="159"/>
      <c r="I109" s="415"/>
      <c r="J109" s="34"/>
      <c r="K109" s="34"/>
      <c r="L109" s="34"/>
      <c r="M109" s="34"/>
      <c r="N109" s="34"/>
      <c r="O109" s="303"/>
      <c r="P109" s="34"/>
      <c r="Q109" s="364"/>
      <c r="R109" s="159"/>
      <c r="S109" s="495"/>
      <c r="T109" s="416"/>
      <c r="U109" s="50"/>
      <c r="V109" s="147"/>
      <c r="W109" s="147"/>
    </row>
    <row r="110" spans="1:23" s="80" customFormat="1" x14ac:dyDescent="0.25">
      <c r="A110" s="26"/>
      <c r="B110" s="27"/>
      <c r="C110" s="27"/>
      <c r="D110" s="28"/>
      <c r="E110" s="28"/>
      <c r="F110" s="26"/>
      <c r="G110" s="26"/>
      <c r="H110" s="27"/>
      <c r="I110" s="29"/>
      <c r="J110" s="30"/>
      <c r="K110" s="30"/>
      <c r="L110" s="30"/>
      <c r="M110" s="30"/>
      <c r="N110" s="30"/>
      <c r="O110" s="31" t="s">
        <v>47</v>
      </c>
      <c r="P110" s="30"/>
      <c r="Q110" s="32"/>
      <c r="R110" s="27"/>
      <c r="S110" s="26" t="s">
        <v>47</v>
      </c>
      <c r="T110" s="419">
        <f>SUM(T99:T103)</f>
        <v>18423.34894220046</v>
      </c>
      <c r="U110" s="33" t="e">
        <f>SUM(#REF!)</f>
        <v>#REF!</v>
      </c>
      <c r="V110" s="148"/>
      <c r="W110" s="148"/>
    </row>
    <row r="111" spans="1:23" s="80" customFormat="1" x14ac:dyDescent="0.25">
      <c r="A111" s="296" t="s">
        <v>49</v>
      </c>
      <c r="B111" s="297" t="s">
        <v>50</v>
      </c>
      <c r="C111" s="297" t="s">
        <v>51</v>
      </c>
      <c r="D111" s="298" t="s">
        <v>52</v>
      </c>
      <c r="E111" s="298"/>
      <c r="F111" s="296" t="s">
        <v>53</v>
      </c>
      <c r="G111" s="296" t="s">
        <v>54</v>
      </c>
      <c r="H111" s="297" t="s">
        <v>55</v>
      </c>
      <c r="I111" s="299" t="s">
        <v>56</v>
      </c>
      <c r="J111" s="297" t="s">
        <v>57</v>
      </c>
      <c r="K111" s="297" t="s">
        <v>58</v>
      </c>
      <c r="L111" s="297" t="s">
        <v>59</v>
      </c>
      <c r="M111" s="297" t="s">
        <v>60</v>
      </c>
      <c r="N111" s="297" t="s">
        <v>61</v>
      </c>
      <c r="O111" s="300" t="s">
        <v>62</v>
      </c>
      <c r="P111" s="297" t="s">
        <v>63</v>
      </c>
      <c r="Q111" s="301" t="s">
        <v>64</v>
      </c>
      <c r="R111" s="297" t="s">
        <v>65</v>
      </c>
      <c r="S111" s="296" t="s">
        <v>66</v>
      </c>
      <c r="T111" s="417" t="s">
        <v>693</v>
      </c>
      <c r="U111" s="302" t="s">
        <v>694</v>
      </c>
      <c r="V111" s="148"/>
      <c r="W111" s="148"/>
    </row>
    <row r="112" spans="1:23" s="191" customFormat="1" x14ac:dyDescent="0.25">
      <c r="A112" s="190" t="s">
        <v>541</v>
      </c>
      <c r="B112" s="377" t="s">
        <v>728</v>
      </c>
      <c r="C112" s="378" t="s">
        <v>728</v>
      </c>
      <c r="D112" s="379">
        <v>36647</v>
      </c>
      <c r="E112" s="379">
        <v>36677</v>
      </c>
      <c r="F112" s="190" t="s">
        <v>466</v>
      </c>
      <c r="G112" s="190" t="s">
        <v>898</v>
      </c>
      <c r="H112" s="377" t="s">
        <v>68</v>
      </c>
      <c r="I112" s="380">
        <f>1.55/$I$1</f>
        <v>0.05</v>
      </c>
      <c r="J112" s="381">
        <v>0</v>
      </c>
      <c r="K112" s="381">
        <v>0</v>
      </c>
      <c r="L112" s="381">
        <v>0</v>
      </c>
      <c r="M112" s="381">
        <v>0</v>
      </c>
      <c r="N112" s="381">
        <v>0</v>
      </c>
      <c r="O112" s="382">
        <v>3.6900000000000002E-2</v>
      </c>
      <c r="P112" s="381">
        <v>0</v>
      </c>
      <c r="Q112" s="524">
        <v>3.4801000000000002</v>
      </c>
      <c r="R112" s="377">
        <v>20000</v>
      </c>
      <c r="S112" s="190" t="s">
        <v>1014</v>
      </c>
      <c r="T112" s="523">
        <f>I112*$I$1*R112</f>
        <v>31000</v>
      </c>
      <c r="U112" s="384">
        <v>0</v>
      </c>
      <c r="V112" s="525" t="s">
        <v>1026</v>
      </c>
      <c r="W112" s="385"/>
    </row>
    <row r="113" spans="1:23" x14ac:dyDescent="0.25">
      <c r="A113" s="16" t="s">
        <v>541</v>
      </c>
      <c r="B113" s="17" t="s">
        <v>728</v>
      </c>
      <c r="C113" s="18" t="s">
        <v>877</v>
      </c>
      <c r="D113" s="19">
        <v>36647</v>
      </c>
      <c r="E113" s="19">
        <v>36677</v>
      </c>
      <c r="F113" s="16" t="s">
        <v>893</v>
      </c>
      <c r="G113" s="16" t="s">
        <v>878</v>
      </c>
      <c r="H113" s="17" t="s">
        <v>879</v>
      </c>
      <c r="I113" s="24">
        <f>4.2583/I$1</f>
        <v>0.13736451612903228</v>
      </c>
      <c r="J113" s="20"/>
      <c r="K113" s="20"/>
      <c r="L113" s="20"/>
      <c r="M113" s="20"/>
      <c r="N113" s="20"/>
      <c r="O113" s="21"/>
      <c r="P113" s="20"/>
      <c r="Q113" s="496" t="s">
        <v>892</v>
      </c>
      <c r="R113" s="17">
        <v>5000</v>
      </c>
      <c r="S113" s="51" t="s">
        <v>897</v>
      </c>
      <c r="T113" s="339">
        <f>I113*$I$1*R113</f>
        <v>21291.5</v>
      </c>
      <c r="U113" s="25"/>
      <c r="V113" s="148">
        <v>226172</v>
      </c>
      <c r="W113" s="148"/>
    </row>
    <row r="114" spans="1:23" s="538" customFormat="1" x14ac:dyDescent="0.25">
      <c r="A114" s="526" t="s">
        <v>541</v>
      </c>
      <c r="B114" s="527" t="s">
        <v>728</v>
      </c>
      <c r="C114" s="528" t="s">
        <v>877</v>
      </c>
      <c r="D114" s="529">
        <v>36678</v>
      </c>
      <c r="E114" s="529">
        <v>36830</v>
      </c>
      <c r="F114" s="526" t="s">
        <v>893</v>
      </c>
      <c r="G114" s="526" t="s">
        <v>878</v>
      </c>
      <c r="H114" s="527" t="s">
        <v>879</v>
      </c>
      <c r="I114" s="530">
        <v>0</v>
      </c>
      <c r="J114" s="531"/>
      <c r="K114" s="531"/>
      <c r="L114" s="531"/>
      <c r="M114" s="531"/>
      <c r="N114" s="531"/>
      <c r="O114" s="532"/>
      <c r="P114" s="531"/>
      <c r="Q114" s="533"/>
      <c r="R114" s="527">
        <v>5000</v>
      </c>
      <c r="S114" s="534"/>
      <c r="T114" s="535" t="s">
        <v>1030</v>
      </c>
      <c r="U114" s="536"/>
      <c r="V114" s="537"/>
      <c r="W114" s="537"/>
    </row>
    <row r="115" spans="1:23" x14ac:dyDescent="0.25">
      <c r="A115" s="16" t="s">
        <v>541</v>
      </c>
      <c r="B115" s="17" t="s">
        <v>728</v>
      </c>
      <c r="C115" s="18" t="s">
        <v>877</v>
      </c>
      <c r="D115" s="19">
        <v>36617</v>
      </c>
      <c r="E115" s="19">
        <v>36830</v>
      </c>
      <c r="F115" s="16" t="s">
        <v>905</v>
      </c>
      <c r="G115" s="16" t="s">
        <v>878</v>
      </c>
      <c r="H115" s="17" t="s">
        <v>879</v>
      </c>
      <c r="I115" s="24">
        <f>4.2583/I$1</f>
        <v>0.13736451612903228</v>
      </c>
      <c r="J115" s="20"/>
      <c r="K115" s="20"/>
      <c r="L115" s="20"/>
      <c r="M115" s="20"/>
      <c r="N115" s="20"/>
      <c r="O115" s="21"/>
      <c r="P115" s="20"/>
      <c r="Q115" s="496" t="s">
        <v>906</v>
      </c>
      <c r="R115" s="17">
        <v>15000</v>
      </c>
      <c r="S115" s="51" t="s">
        <v>907</v>
      </c>
      <c r="T115" s="339">
        <f>I115*$I$1*R115</f>
        <v>63874.5</v>
      </c>
      <c r="U115" s="25"/>
      <c r="V115" s="148">
        <v>231538</v>
      </c>
      <c r="W115" s="148"/>
    </row>
    <row r="116" spans="1:23" s="191" customFormat="1" x14ac:dyDescent="0.25">
      <c r="A116" s="190" t="s">
        <v>541</v>
      </c>
      <c r="B116" s="377" t="s">
        <v>728</v>
      </c>
      <c r="C116" s="378" t="s">
        <v>877</v>
      </c>
      <c r="D116" s="379">
        <v>36649</v>
      </c>
      <c r="E116" s="379">
        <v>36799</v>
      </c>
      <c r="F116" s="190" t="s">
        <v>905</v>
      </c>
      <c r="G116" s="190" t="s">
        <v>878</v>
      </c>
      <c r="H116" s="377" t="s">
        <v>879</v>
      </c>
      <c r="I116" s="380">
        <f>4.5625/I$1</f>
        <v>0.14717741935483872</v>
      </c>
      <c r="J116" s="381"/>
      <c r="K116" s="381"/>
      <c r="L116" s="381"/>
      <c r="M116" s="381"/>
      <c r="N116" s="381"/>
      <c r="O116" s="382"/>
      <c r="P116" s="381"/>
      <c r="Q116" s="522" t="s">
        <v>1073</v>
      </c>
      <c r="R116" s="377">
        <v>10000</v>
      </c>
      <c r="S116" s="383" t="s">
        <v>1074</v>
      </c>
      <c r="T116" s="523">
        <f>I116*29*R116</f>
        <v>42681.451612903227</v>
      </c>
      <c r="U116" s="384"/>
      <c r="V116" s="385">
        <v>257467</v>
      </c>
      <c r="W116" s="385"/>
    </row>
    <row r="117" spans="1:23" s="191" customFormat="1" x14ac:dyDescent="0.25">
      <c r="A117" s="190" t="s">
        <v>541</v>
      </c>
      <c r="B117" s="377" t="s">
        <v>728</v>
      </c>
      <c r="C117" s="378" t="s">
        <v>1019</v>
      </c>
      <c r="D117" s="379">
        <v>36647</v>
      </c>
      <c r="E117" s="379">
        <v>36830</v>
      </c>
      <c r="F117" s="190" t="s">
        <v>1020</v>
      </c>
      <c r="G117" s="383" t="s">
        <v>1021</v>
      </c>
      <c r="H117" s="377" t="s">
        <v>879</v>
      </c>
      <c r="I117" s="380">
        <f>5.5055/I$1</f>
        <v>0.17759677419354838</v>
      </c>
      <c r="J117" s="381"/>
      <c r="K117" s="381"/>
      <c r="L117" s="381"/>
      <c r="M117" s="381"/>
      <c r="N117" s="381"/>
      <c r="O117" s="382"/>
      <c r="P117" s="381"/>
      <c r="Q117" s="522" t="s">
        <v>1022</v>
      </c>
      <c r="R117" s="377">
        <v>20000</v>
      </c>
      <c r="S117" s="383" t="s">
        <v>1023</v>
      </c>
      <c r="T117" s="523">
        <f>I117*$I$1*R117</f>
        <v>110109.99999999999</v>
      </c>
      <c r="U117" s="384"/>
      <c r="V117" s="385">
        <v>252358</v>
      </c>
      <c r="W117" s="385"/>
    </row>
    <row r="118" spans="1:23" s="191" customFormat="1" x14ac:dyDescent="0.25">
      <c r="A118" s="190" t="s">
        <v>541</v>
      </c>
      <c r="B118" s="377" t="s">
        <v>728</v>
      </c>
      <c r="C118" s="378" t="s">
        <v>1019</v>
      </c>
      <c r="D118" s="379">
        <v>36647</v>
      </c>
      <c r="E118" s="379">
        <v>36677</v>
      </c>
      <c r="F118" s="190" t="s">
        <v>1020</v>
      </c>
      <c r="G118" s="383" t="s">
        <v>1021</v>
      </c>
      <c r="H118" s="377" t="s">
        <v>879</v>
      </c>
      <c r="I118" s="380">
        <f>4.65/I$1</f>
        <v>0.15000000000000002</v>
      </c>
      <c r="J118" s="381"/>
      <c r="K118" s="381"/>
      <c r="L118" s="381"/>
      <c r="M118" s="381"/>
      <c r="N118" s="381"/>
      <c r="O118" s="382"/>
      <c r="P118" s="381"/>
      <c r="Q118" s="522" t="s">
        <v>1024</v>
      </c>
      <c r="R118" s="377">
        <v>20000</v>
      </c>
      <c r="S118" s="383" t="s">
        <v>1025</v>
      </c>
      <c r="T118" s="523">
        <f>I118*$I$1*R118</f>
        <v>93000</v>
      </c>
      <c r="U118" s="384"/>
      <c r="V118" s="385">
        <v>247886</v>
      </c>
      <c r="W118" s="385"/>
    </row>
    <row r="119" spans="1:23" x14ac:dyDescent="0.25">
      <c r="A119" s="16" t="s">
        <v>541</v>
      </c>
      <c r="B119" s="17" t="s">
        <v>728</v>
      </c>
      <c r="C119" s="18" t="s">
        <v>888</v>
      </c>
      <c r="D119" s="19">
        <v>36617</v>
      </c>
      <c r="E119" s="19">
        <v>36830</v>
      </c>
      <c r="F119" s="16" t="s">
        <v>894</v>
      </c>
      <c r="G119" s="16" t="s">
        <v>783</v>
      </c>
      <c r="H119" s="17" t="s">
        <v>879</v>
      </c>
      <c r="I119" s="24">
        <f>0.684/I$1</f>
        <v>2.206451612903226E-2</v>
      </c>
      <c r="J119" s="20"/>
      <c r="K119" s="20"/>
      <c r="L119" s="20"/>
      <c r="M119" s="20"/>
      <c r="N119" s="20"/>
      <c r="O119" s="21"/>
      <c r="P119" s="20"/>
      <c r="Q119" s="496" t="s">
        <v>895</v>
      </c>
      <c r="R119" s="17">
        <v>2174</v>
      </c>
      <c r="S119" s="51" t="s">
        <v>896</v>
      </c>
      <c r="T119" s="339">
        <f>I119*$I$1*R119</f>
        <v>1487.0160000000001</v>
      </c>
      <c r="U119" s="25"/>
      <c r="V119" s="148">
        <v>229958</v>
      </c>
      <c r="W119" s="148"/>
    </row>
    <row r="120" spans="1:23" s="191" customFormat="1" x14ac:dyDescent="0.25">
      <c r="A120" s="190" t="s">
        <v>541</v>
      </c>
      <c r="B120" s="377" t="s">
        <v>728</v>
      </c>
      <c r="C120" s="378" t="s">
        <v>941</v>
      </c>
      <c r="D120" s="379">
        <v>36647</v>
      </c>
      <c r="E120" s="379">
        <v>36830</v>
      </c>
      <c r="F120" s="383" t="s">
        <v>942</v>
      </c>
      <c r="G120" s="383" t="s">
        <v>1027</v>
      </c>
      <c r="H120" s="377" t="s">
        <v>946</v>
      </c>
      <c r="I120" s="380">
        <f>1.38/I$1</f>
        <v>4.4516129032258059E-2</v>
      </c>
      <c r="J120" s="381"/>
      <c r="K120" s="381"/>
      <c r="L120" s="381"/>
      <c r="M120" s="381"/>
      <c r="N120" s="381"/>
      <c r="O120" s="382"/>
      <c r="P120" s="381"/>
      <c r="Q120" s="522" t="s">
        <v>1028</v>
      </c>
      <c r="R120" s="377">
        <v>10000</v>
      </c>
      <c r="S120" s="190" t="s">
        <v>1029</v>
      </c>
      <c r="T120" s="523">
        <f>I120*$I$1*R120</f>
        <v>13799.999999999998</v>
      </c>
      <c r="U120" s="384"/>
      <c r="V120" s="385">
        <v>253067</v>
      </c>
      <c r="W120" s="385"/>
    </row>
    <row r="121" spans="1:23" s="191" customFormat="1" x14ac:dyDescent="0.25">
      <c r="A121" s="190" t="s">
        <v>541</v>
      </c>
      <c r="B121" s="377" t="s">
        <v>728</v>
      </c>
      <c r="C121" s="378" t="s">
        <v>1089</v>
      </c>
      <c r="D121" s="379">
        <v>36647</v>
      </c>
      <c r="E121" s="379">
        <v>36677</v>
      </c>
      <c r="F121" s="190" t="s">
        <v>1090</v>
      </c>
      <c r="G121" s="190" t="s">
        <v>1091</v>
      </c>
      <c r="H121" s="377" t="s">
        <v>946</v>
      </c>
      <c r="I121" s="380">
        <f>0.465/I$1</f>
        <v>1.5000000000000001E-2</v>
      </c>
      <c r="J121" s="381"/>
      <c r="K121" s="381"/>
      <c r="L121" s="381"/>
      <c r="M121" s="381"/>
      <c r="N121" s="381"/>
      <c r="O121" s="382"/>
      <c r="P121" s="381"/>
      <c r="Q121" s="522" t="s">
        <v>1092</v>
      </c>
      <c r="R121" s="377">
        <v>1800</v>
      </c>
      <c r="S121" s="190" t="s">
        <v>1093</v>
      </c>
      <c r="T121" s="523">
        <f>I121*$I$1*R121</f>
        <v>837</v>
      </c>
      <c r="U121" s="384"/>
      <c r="V121" s="385">
        <v>261012</v>
      </c>
      <c r="W121" s="385"/>
    </row>
    <row r="122" spans="1:23" s="191" customFormat="1" x14ac:dyDescent="0.25">
      <c r="A122" s="190" t="s">
        <v>541</v>
      </c>
      <c r="B122" s="377" t="s">
        <v>728</v>
      </c>
      <c r="C122" s="378" t="s">
        <v>1089</v>
      </c>
      <c r="D122" s="379">
        <v>36647</v>
      </c>
      <c r="E122" s="379">
        <v>36677</v>
      </c>
      <c r="F122" s="190" t="s">
        <v>1090</v>
      </c>
      <c r="G122" s="190" t="s">
        <v>1091</v>
      </c>
      <c r="H122" s="377" t="s">
        <v>946</v>
      </c>
      <c r="I122" s="380">
        <f t="shared" ref="I122:I131" si="12">0.465/I$1</f>
        <v>1.5000000000000001E-2</v>
      </c>
      <c r="J122" s="381"/>
      <c r="K122" s="381"/>
      <c r="L122" s="381"/>
      <c r="M122" s="381"/>
      <c r="N122" s="381"/>
      <c r="O122" s="382"/>
      <c r="P122" s="381"/>
      <c r="Q122" s="522" t="s">
        <v>1094</v>
      </c>
      <c r="R122" s="377">
        <v>450</v>
      </c>
      <c r="S122" s="190" t="s">
        <v>1104</v>
      </c>
      <c r="T122" s="523">
        <f t="shared" ref="T122:T131" si="13">I122*$I$1*R122</f>
        <v>209.25</v>
      </c>
      <c r="U122" s="384"/>
      <c r="V122" s="385">
        <v>261013</v>
      </c>
      <c r="W122" s="385"/>
    </row>
    <row r="123" spans="1:23" s="191" customFormat="1" x14ac:dyDescent="0.25">
      <c r="A123" s="190" t="s">
        <v>541</v>
      </c>
      <c r="B123" s="377" t="s">
        <v>728</v>
      </c>
      <c r="C123" s="378" t="s">
        <v>1089</v>
      </c>
      <c r="D123" s="379">
        <v>36647</v>
      </c>
      <c r="E123" s="379">
        <v>36677</v>
      </c>
      <c r="F123" s="190" t="s">
        <v>1090</v>
      </c>
      <c r="G123" s="190" t="s">
        <v>1091</v>
      </c>
      <c r="H123" s="377" t="s">
        <v>946</v>
      </c>
      <c r="I123" s="380">
        <f t="shared" si="12"/>
        <v>1.5000000000000001E-2</v>
      </c>
      <c r="J123" s="381"/>
      <c r="K123" s="381"/>
      <c r="L123" s="381"/>
      <c r="M123" s="381"/>
      <c r="N123" s="381"/>
      <c r="O123" s="382"/>
      <c r="P123" s="381"/>
      <c r="Q123" s="522" t="s">
        <v>1095</v>
      </c>
      <c r="R123" s="377">
        <v>400</v>
      </c>
      <c r="S123" s="190" t="s">
        <v>1105</v>
      </c>
      <c r="T123" s="523">
        <f t="shared" si="13"/>
        <v>186</v>
      </c>
      <c r="U123" s="384"/>
      <c r="V123" s="385">
        <v>261014</v>
      </c>
      <c r="W123" s="385"/>
    </row>
    <row r="124" spans="1:23" s="191" customFormat="1" x14ac:dyDescent="0.25">
      <c r="A124" s="190" t="s">
        <v>541</v>
      </c>
      <c r="B124" s="377" t="s">
        <v>728</v>
      </c>
      <c r="C124" s="378" t="s">
        <v>1089</v>
      </c>
      <c r="D124" s="379">
        <v>36647</v>
      </c>
      <c r="E124" s="379">
        <v>36677</v>
      </c>
      <c r="F124" s="190" t="s">
        <v>1090</v>
      </c>
      <c r="G124" s="190" t="s">
        <v>1091</v>
      </c>
      <c r="H124" s="377" t="s">
        <v>946</v>
      </c>
      <c r="I124" s="380">
        <f t="shared" si="12"/>
        <v>1.5000000000000001E-2</v>
      </c>
      <c r="J124" s="381"/>
      <c r="K124" s="381"/>
      <c r="L124" s="381"/>
      <c r="M124" s="381"/>
      <c r="N124" s="381"/>
      <c r="O124" s="382"/>
      <c r="P124" s="381"/>
      <c r="Q124" s="522" t="s">
        <v>1096</v>
      </c>
      <c r="R124" s="377">
        <v>950</v>
      </c>
      <c r="S124" s="190" t="s">
        <v>1106</v>
      </c>
      <c r="T124" s="523">
        <f t="shared" si="13"/>
        <v>441.75</v>
      </c>
      <c r="U124" s="384"/>
      <c r="V124" s="385">
        <v>261015</v>
      </c>
      <c r="W124" s="385"/>
    </row>
    <row r="125" spans="1:23" s="191" customFormat="1" x14ac:dyDescent="0.25">
      <c r="A125" s="190" t="s">
        <v>541</v>
      </c>
      <c r="B125" s="377" t="s">
        <v>728</v>
      </c>
      <c r="C125" s="378" t="s">
        <v>1089</v>
      </c>
      <c r="D125" s="379">
        <v>36647</v>
      </c>
      <c r="E125" s="379">
        <v>36677</v>
      </c>
      <c r="F125" s="190" t="s">
        <v>1090</v>
      </c>
      <c r="G125" s="190" t="s">
        <v>1091</v>
      </c>
      <c r="H125" s="377" t="s">
        <v>946</v>
      </c>
      <c r="I125" s="380">
        <f t="shared" si="12"/>
        <v>1.5000000000000001E-2</v>
      </c>
      <c r="J125" s="381"/>
      <c r="K125" s="381"/>
      <c r="L125" s="381"/>
      <c r="M125" s="381"/>
      <c r="N125" s="381"/>
      <c r="O125" s="382"/>
      <c r="P125" s="381"/>
      <c r="Q125" s="522" t="s">
        <v>1097</v>
      </c>
      <c r="R125" s="377">
        <v>400</v>
      </c>
      <c r="S125" s="190" t="s">
        <v>1107</v>
      </c>
      <c r="T125" s="523">
        <f t="shared" si="13"/>
        <v>186</v>
      </c>
      <c r="U125" s="384"/>
      <c r="V125" s="385">
        <v>261016</v>
      </c>
      <c r="W125" s="385"/>
    </row>
    <row r="126" spans="1:23" s="191" customFormat="1" x14ac:dyDescent="0.25">
      <c r="A126" s="190" t="s">
        <v>541</v>
      </c>
      <c r="B126" s="377" t="s">
        <v>728</v>
      </c>
      <c r="C126" s="378" t="s">
        <v>1089</v>
      </c>
      <c r="D126" s="379">
        <v>36647</v>
      </c>
      <c r="E126" s="379">
        <v>36677</v>
      </c>
      <c r="F126" s="190" t="s">
        <v>1090</v>
      </c>
      <c r="G126" s="190" t="s">
        <v>1091</v>
      </c>
      <c r="H126" s="377" t="s">
        <v>946</v>
      </c>
      <c r="I126" s="380">
        <f t="shared" si="12"/>
        <v>1.5000000000000001E-2</v>
      </c>
      <c r="J126" s="381"/>
      <c r="K126" s="381"/>
      <c r="L126" s="381"/>
      <c r="M126" s="381"/>
      <c r="N126" s="381"/>
      <c r="O126" s="382"/>
      <c r="P126" s="381"/>
      <c r="Q126" s="522" t="s">
        <v>1098</v>
      </c>
      <c r="R126" s="377">
        <v>2200</v>
      </c>
      <c r="S126" s="190" t="s">
        <v>1108</v>
      </c>
      <c r="T126" s="523">
        <f t="shared" si="13"/>
        <v>1023</v>
      </c>
      <c r="U126" s="384"/>
      <c r="V126" s="385">
        <v>261017</v>
      </c>
      <c r="W126" s="385"/>
    </row>
    <row r="127" spans="1:23" s="191" customFormat="1" x14ac:dyDescent="0.25">
      <c r="A127" s="190" t="s">
        <v>541</v>
      </c>
      <c r="B127" s="377" t="s">
        <v>728</v>
      </c>
      <c r="C127" s="378" t="s">
        <v>1089</v>
      </c>
      <c r="D127" s="379">
        <v>36647</v>
      </c>
      <c r="E127" s="379">
        <v>36677</v>
      </c>
      <c r="F127" s="190" t="s">
        <v>1090</v>
      </c>
      <c r="G127" s="190" t="s">
        <v>1091</v>
      </c>
      <c r="H127" s="377" t="s">
        <v>946</v>
      </c>
      <c r="I127" s="380">
        <f t="shared" si="12"/>
        <v>1.5000000000000001E-2</v>
      </c>
      <c r="J127" s="381"/>
      <c r="K127" s="381"/>
      <c r="L127" s="381"/>
      <c r="M127" s="381"/>
      <c r="N127" s="381"/>
      <c r="O127" s="382"/>
      <c r="P127" s="381"/>
      <c r="Q127" s="522" t="s">
        <v>1099</v>
      </c>
      <c r="R127" s="377">
        <v>2000</v>
      </c>
      <c r="S127" s="190" t="s">
        <v>1109</v>
      </c>
      <c r="T127" s="523">
        <f t="shared" si="13"/>
        <v>930</v>
      </c>
      <c r="U127" s="384"/>
      <c r="V127" s="385">
        <v>261018</v>
      </c>
      <c r="W127" s="385"/>
    </row>
    <row r="128" spans="1:23" s="191" customFormat="1" x14ac:dyDescent="0.25">
      <c r="A128" s="190" t="s">
        <v>541</v>
      </c>
      <c r="B128" s="377" t="s">
        <v>728</v>
      </c>
      <c r="C128" s="378" t="s">
        <v>1089</v>
      </c>
      <c r="D128" s="379">
        <v>36647</v>
      </c>
      <c r="E128" s="379">
        <v>36677</v>
      </c>
      <c r="F128" s="190" t="s">
        <v>1090</v>
      </c>
      <c r="G128" s="190" t="s">
        <v>1091</v>
      </c>
      <c r="H128" s="377" t="s">
        <v>946</v>
      </c>
      <c r="I128" s="380">
        <f t="shared" si="12"/>
        <v>1.5000000000000001E-2</v>
      </c>
      <c r="J128" s="381"/>
      <c r="K128" s="381"/>
      <c r="L128" s="381"/>
      <c r="M128" s="381"/>
      <c r="N128" s="381"/>
      <c r="O128" s="382"/>
      <c r="P128" s="381"/>
      <c r="Q128" s="522" t="s">
        <v>1100</v>
      </c>
      <c r="R128" s="377">
        <v>3000</v>
      </c>
      <c r="S128" s="190" t="s">
        <v>1110</v>
      </c>
      <c r="T128" s="523">
        <f t="shared" si="13"/>
        <v>1395</v>
      </c>
      <c r="U128" s="384"/>
      <c r="V128" s="385">
        <v>261019</v>
      </c>
      <c r="W128" s="385"/>
    </row>
    <row r="129" spans="1:23" s="191" customFormat="1" x14ac:dyDescent="0.25">
      <c r="A129" s="190" t="s">
        <v>541</v>
      </c>
      <c r="B129" s="377" t="s">
        <v>728</v>
      </c>
      <c r="C129" s="378" t="s">
        <v>1089</v>
      </c>
      <c r="D129" s="379">
        <v>36647</v>
      </c>
      <c r="E129" s="379">
        <v>36677</v>
      </c>
      <c r="F129" s="190" t="s">
        <v>1090</v>
      </c>
      <c r="G129" s="190" t="s">
        <v>1091</v>
      </c>
      <c r="H129" s="377" t="s">
        <v>946</v>
      </c>
      <c r="I129" s="380">
        <f t="shared" si="12"/>
        <v>1.5000000000000001E-2</v>
      </c>
      <c r="J129" s="381"/>
      <c r="K129" s="381"/>
      <c r="L129" s="381"/>
      <c r="M129" s="381"/>
      <c r="N129" s="381"/>
      <c r="O129" s="382"/>
      <c r="P129" s="381"/>
      <c r="Q129" s="522" t="s">
        <v>1101</v>
      </c>
      <c r="R129" s="377">
        <v>600</v>
      </c>
      <c r="S129" s="190" t="s">
        <v>1111</v>
      </c>
      <c r="T129" s="523">
        <f t="shared" si="13"/>
        <v>279</v>
      </c>
      <c r="U129" s="384"/>
      <c r="V129" s="385">
        <v>261021</v>
      </c>
      <c r="W129" s="385"/>
    </row>
    <row r="130" spans="1:23" s="191" customFormat="1" x14ac:dyDescent="0.25">
      <c r="A130" s="190" t="s">
        <v>541</v>
      </c>
      <c r="B130" s="377" t="s">
        <v>728</v>
      </c>
      <c r="C130" s="378" t="s">
        <v>1089</v>
      </c>
      <c r="D130" s="379">
        <v>36647</v>
      </c>
      <c r="E130" s="379">
        <v>36677</v>
      </c>
      <c r="F130" s="190" t="s">
        <v>1090</v>
      </c>
      <c r="G130" s="190" t="s">
        <v>1091</v>
      </c>
      <c r="H130" s="377" t="s">
        <v>946</v>
      </c>
      <c r="I130" s="380">
        <f t="shared" si="12"/>
        <v>1.5000000000000001E-2</v>
      </c>
      <c r="J130" s="381"/>
      <c r="K130" s="381"/>
      <c r="L130" s="381"/>
      <c r="M130" s="381"/>
      <c r="N130" s="381"/>
      <c r="O130" s="382"/>
      <c r="P130" s="381"/>
      <c r="Q130" s="522" t="s">
        <v>1102</v>
      </c>
      <c r="R130" s="377">
        <v>500</v>
      </c>
      <c r="S130" s="190" t="s">
        <v>1112</v>
      </c>
      <c r="T130" s="523">
        <f t="shared" si="13"/>
        <v>232.5</v>
      </c>
      <c r="U130" s="384"/>
      <c r="V130" s="385">
        <v>261022</v>
      </c>
      <c r="W130" s="385"/>
    </row>
    <row r="131" spans="1:23" s="191" customFormat="1" x14ac:dyDescent="0.25">
      <c r="A131" s="190" t="s">
        <v>541</v>
      </c>
      <c r="B131" s="377" t="s">
        <v>728</v>
      </c>
      <c r="C131" s="378" t="s">
        <v>1089</v>
      </c>
      <c r="D131" s="379">
        <v>36647</v>
      </c>
      <c r="E131" s="379">
        <v>36677</v>
      </c>
      <c r="F131" s="190" t="s">
        <v>1090</v>
      </c>
      <c r="G131" s="190" t="s">
        <v>1091</v>
      </c>
      <c r="H131" s="377" t="s">
        <v>946</v>
      </c>
      <c r="I131" s="380">
        <f t="shared" si="12"/>
        <v>1.5000000000000001E-2</v>
      </c>
      <c r="J131" s="381"/>
      <c r="K131" s="381"/>
      <c r="L131" s="381"/>
      <c r="M131" s="381"/>
      <c r="N131" s="381"/>
      <c r="O131" s="382"/>
      <c r="P131" s="381"/>
      <c r="Q131" s="522" t="s">
        <v>1103</v>
      </c>
      <c r="R131" s="377">
        <v>700</v>
      </c>
      <c r="S131" s="190" t="s">
        <v>1113</v>
      </c>
      <c r="T131" s="523">
        <f t="shared" si="13"/>
        <v>325.5</v>
      </c>
      <c r="U131" s="384"/>
      <c r="V131" s="385">
        <v>261024</v>
      </c>
      <c r="W131" s="385"/>
    </row>
    <row r="132" spans="1:23" x14ac:dyDescent="0.25">
      <c r="A132" s="16" t="s">
        <v>660</v>
      </c>
      <c r="B132" s="17" t="s">
        <v>728</v>
      </c>
      <c r="C132" s="18" t="s">
        <v>658</v>
      </c>
      <c r="D132" s="19">
        <v>36617</v>
      </c>
      <c r="E132" s="19">
        <v>36646</v>
      </c>
      <c r="F132" s="16" t="s">
        <v>949</v>
      </c>
      <c r="G132" s="16" t="s">
        <v>950</v>
      </c>
      <c r="H132" s="17" t="s">
        <v>946</v>
      </c>
      <c r="I132" s="24">
        <v>0</v>
      </c>
      <c r="J132" s="20"/>
      <c r="K132" s="20"/>
      <c r="L132" s="20"/>
      <c r="M132" s="20"/>
      <c r="N132" s="20"/>
      <c r="O132" s="21"/>
      <c r="P132" s="20"/>
      <c r="Q132" s="497" t="s">
        <v>951</v>
      </c>
      <c r="R132" s="17">
        <v>5000</v>
      </c>
      <c r="S132" s="16" t="s">
        <v>952</v>
      </c>
      <c r="T132" s="339"/>
      <c r="U132" s="25"/>
      <c r="V132" s="148" t="s">
        <v>953</v>
      </c>
      <c r="W132" s="148"/>
    </row>
    <row r="133" spans="1:23" x14ac:dyDescent="0.25">
      <c r="A133" s="16" t="s">
        <v>660</v>
      </c>
      <c r="B133" s="17" t="s">
        <v>728</v>
      </c>
      <c r="C133" s="18" t="s">
        <v>658</v>
      </c>
      <c r="D133" s="19">
        <v>36617</v>
      </c>
      <c r="E133" s="19">
        <v>36646</v>
      </c>
      <c r="F133" s="16" t="s">
        <v>950</v>
      </c>
      <c r="G133" s="16" t="s">
        <v>954</v>
      </c>
      <c r="H133" s="17" t="s">
        <v>946</v>
      </c>
      <c r="I133" s="24">
        <v>0</v>
      </c>
      <c r="J133" s="20"/>
      <c r="K133" s="20"/>
      <c r="L133" s="20"/>
      <c r="M133" s="20"/>
      <c r="N133" s="20"/>
      <c r="O133" s="21"/>
      <c r="P133" s="20"/>
      <c r="Q133" s="497" t="s">
        <v>955</v>
      </c>
      <c r="R133" s="17">
        <v>5000</v>
      </c>
      <c r="S133" s="16" t="s">
        <v>956</v>
      </c>
      <c r="T133" s="339"/>
      <c r="U133" s="25"/>
      <c r="V133" s="148" t="s">
        <v>953</v>
      </c>
      <c r="W133" s="148"/>
    </row>
    <row r="134" spans="1:23" x14ac:dyDescent="0.25">
      <c r="A134" s="16" t="s">
        <v>660</v>
      </c>
      <c r="B134" s="17" t="s">
        <v>728</v>
      </c>
      <c r="C134" s="18" t="s">
        <v>658</v>
      </c>
      <c r="D134" s="19">
        <v>36617</v>
      </c>
      <c r="E134" s="19">
        <v>36646</v>
      </c>
      <c r="F134" s="16" t="s">
        <v>957</v>
      </c>
      <c r="G134" s="16" t="s">
        <v>958</v>
      </c>
      <c r="H134" s="17" t="s">
        <v>946</v>
      </c>
      <c r="I134" s="24">
        <v>0</v>
      </c>
      <c r="J134" s="20"/>
      <c r="K134" s="20"/>
      <c r="L134" s="20"/>
      <c r="M134" s="20"/>
      <c r="N134" s="20"/>
      <c r="O134" s="21"/>
      <c r="P134" s="20"/>
      <c r="Q134" s="497" t="s">
        <v>959</v>
      </c>
      <c r="R134" s="17">
        <v>5000</v>
      </c>
      <c r="S134" s="16" t="s">
        <v>960</v>
      </c>
      <c r="T134" s="339"/>
      <c r="U134" s="25"/>
      <c r="V134" s="148" t="s">
        <v>953</v>
      </c>
      <c r="W134" s="148"/>
    </row>
    <row r="135" spans="1:23" x14ac:dyDescent="0.25">
      <c r="T135" s="539">
        <f>SUM(T112:T134)</f>
        <v>383289.46761290322</v>
      </c>
    </row>
    <row r="136" spans="1:23" s="80" customFormat="1" x14ac:dyDescent="0.25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34"/>
      <c r="L136" s="20"/>
      <c r="M136" s="20"/>
      <c r="N136" s="20"/>
      <c r="O136" s="21"/>
      <c r="P136" s="20"/>
      <c r="Q136" s="35"/>
      <c r="R136" s="18"/>
      <c r="S136" s="18"/>
      <c r="T136" s="339"/>
      <c r="U136" s="25"/>
      <c r="V136" s="148"/>
      <c r="W136" s="148"/>
    </row>
    <row r="137" spans="1:23" s="80" customFormat="1" x14ac:dyDescent="0.25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34"/>
      <c r="L137" s="20"/>
      <c r="M137" s="20"/>
      <c r="N137" s="20"/>
      <c r="O137" s="21"/>
      <c r="P137" s="20"/>
      <c r="Q137" s="35"/>
      <c r="R137" s="18"/>
      <c r="S137" s="18"/>
      <c r="T137" s="339"/>
      <c r="U137" s="25"/>
      <c r="V137" s="148"/>
      <c r="W137" s="148"/>
    </row>
    <row r="138" spans="1:23" s="80" customFormat="1" x14ac:dyDescent="0.25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34"/>
      <c r="L138" s="20"/>
      <c r="M138" s="20"/>
      <c r="N138" s="20"/>
      <c r="O138" s="21"/>
      <c r="P138" s="20"/>
      <c r="Q138" s="35"/>
      <c r="R138" s="18"/>
      <c r="S138" s="25"/>
      <c r="T138" s="339"/>
      <c r="U138" s="25"/>
      <c r="V138" s="18"/>
      <c r="W138" s="148"/>
    </row>
    <row r="139" spans="1:23" s="80" customFormat="1" x14ac:dyDescent="0.25">
      <c r="A139" s="16"/>
      <c r="B139" s="18"/>
      <c r="C139" s="18"/>
      <c r="D139" s="19"/>
      <c r="E139" s="19"/>
      <c r="F139" s="16"/>
      <c r="G139" s="16"/>
      <c r="H139" s="18"/>
      <c r="I139" s="24"/>
      <c r="J139" s="20"/>
      <c r="K139" s="34"/>
      <c r="L139" s="20"/>
      <c r="M139" s="20"/>
      <c r="N139" s="20"/>
      <c r="O139" s="21"/>
      <c r="P139" s="20"/>
      <c r="Q139" s="35"/>
      <c r="R139" s="18"/>
      <c r="S139" s="25"/>
      <c r="T139" s="339"/>
      <c r="U139" s="25"/>
      <c r="V139" s="18"/>
      <c r="W139" s="148"/>
    </row>
    <row r="140" spans="1:23" s="80" customFormat="1" x14ac:dyDescent="0.25">
      <c r="A140" s="16"/>
      <c r="B140" s="18"/>
      <c r="C140" s="18"/>
      <c r="D140" s="19"/>
      <c r="E140" s="19"/>
      <c r="F140" s="16"/>
      <c r="G140" s="16"/>
      <c r="H140" s="18"/>
      <c r="I140" s="24"/>
      <c r="J140" s="20"/>
      <c r="K140" s="34"/>
      <c r="L140" s="20"/>
      <c r="M140" s="20"/>
      <c r="N140" s="20"/>
      <c r="O140" s="21"/>
      <c r="P140" s="20"/>
      <c r="Q140" s="35"/>
      <c r="R140" s="18"/>
      <c r="S140" s="25"/>
      <c r="T140" s="339"/>
      <c r="U140" s="25"/>
      <c r="V140" s="18"/>
      <c r="W140" s="148"/>
    </row>
    <row r="141" spans="1:23" s="80" customFormat="1" ht="13.8" thickBot="1" x14ac:dyDescent="0.3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34"/>
      <c r="L141" s="20"/>
      <c r="M141" s="20"/>
      <c r="N141" s="20"/>
      <c r="O141" s="21"/>
      <c r="P141" s="20"/>
      <c r="Q141" s="35"/>
      <c r="S141" s="25" t="s">
        <v>1118</v>
      </c>
      <c r="T141" s="601">
        <f>SUM(T5:T140)/2</f>
        <v>2215104.9314551037</v>
      </c>
      <c r="U141" s="25"/>
      <c r="V141" s="18"/>
      <c r="W141" s="148"/>
    </row>
    <row r="142" spans="1:23" s="80" customFormat="1" ht="13.8" thickTop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34"/>
      <c r="L142" s="20"/>
      <c r="M142" s="20"/>
      <c r="N142" s="20"/>
      <c r="O142" s="21"/>
      <c r="P142" s="20"/>
      <c r="Q142" s="35"/>
      <c r="R142" s="18"/>
      <c r="S142" s="25"/>
      <c r="T142" s="339"/>
      <c r="U142" s="25"/>
      <c r="V142" s="18"/>
      <c r="W142" s="148"/>
    </row>
    <row r="143" spans="1:23" s="80" customFormat="1" x14ac:dyDescent="0.25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34"/>
      <c r="L143" s="20"/>
      <c r="M143" s="20"/>
      <c r="N143" s="20"/>
      <c r="O143" s="51"/>
      <c r="P143" s="20"/>
      <c r="Q143" s="35"/>
      <c r="R143" s="18"/>
      <c r="S143" s="18"/>
      <c r="T143" s="98"/>
      <c r="V143" s="147"/>
      <c r="W143" s="147"/>
    </row>
    <row r="144" spans="1:23" s="80" customFormat="1" x14ac:dyDescent="0.25">
      <c r="A144" s="16"/>
      <c r="B144" s="18"/>
      <c r="C144" s="18"/>
      <c r="D144" s="19" t="s">
        <v>47</v>
      </c>
      <c r="E144" s="19"/>
      <c r="F144" s="16"/>
      <c r="G144" s="16"/>
      <c r="H144" s="18"/>
      <c r="I144" s="24"/>
      <c r="J144" s="20"/>
      <c r="K144" s="34"/>
      <c r="L144" s="20"/>
      <c r="M144" s="20"/>
      <c r="N144" s="20"/>
      <c r="O144" s="21"/>
      <c r="P144" s="20"/>
      <c r="Q144" s="35"/>
      <c r="R144" s="16" t="s">
        <v>81</v>
      </c>
      <c r="T144" s="421">
        <v>0</v>
      </c>
      <c r="U144" s="367"/>
      <c r="V144" s="147"/>
      <c r="W144" s="147"/>
    </row>
    <row r="145" spans="1:23" s="80" customFormat="1" x14ac:dyDescent="0.25">
      <c r="A145" s="82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20"/>
      <c r="O145" s="21"/>
      <c r="P145" s="20"/>
      <c r="Q145" s="35"/>
      <c r="S145" s="25" t="s">
        <v>709</v>
      </c>
      <c r="T145" s="339">
        <f>+SUM(T14:T30)+SUM(T71:T89)</f>
        <v>821077.03520000004</v>
      </c>
      <c r="U145" s="50"/>
      <c r="V145" s="147"/>
      <c r="W145" s="147"/>
    </row>
    <row r="146" spans="1:23" s="80" customFormat="1" x14ac:dyDescent="0.25">
      <c r="A146" s="82"/>
      <c r="B146" s="18"/>
      <c r="C146" s="18"/>
      <c r="D146" s="19"/>
      <c r="E146" s="19"/>
      <c r="F146" s="16"/>
      <c r="G146" s="16"/>
      <c r="H146" s="18"/>
      <c r="I146" s="20"/>
      <c r="J146" s="20"/>
      <c r="K146" s="20"/>
      <c r="L146" s="20"/>
      <c r="M146" s="20"/>
      <c r="N146" s="20"/>
      <c r="O146" s="21"/>
      <c r="P146" s="20"/>
      <c r="Q146" s="35"/>
      <c r="S146" s="25" t="s">
        <v>89</v>
      </c>
      <c r="T146" s="339">
        <f>SUM('IT &amp; Pooling'!V39)</f>
        <v>0</v>
      </c>
      <c r="U146" s="50"/>
      <c r="V146" s="147"/>
      <c r="W146" s="147"/>
    </row>
    <row r="147" spans="1:23" s="80" customFormat="1" x14ac:dyDescent="0.25">
      <c r="A147" s="82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20"/>
      <c r="O147" s="21"/>
      <c r="P147" s="20"/>
      <c r="Q147" s="35"/>
      <c r="S147" s="25" t="s">
        <v>90</v>
      </c>
      <c r="T147" s="339">
        <f>SUM('IT &amp; Pooling'!U39)</f>
        <v>0</v>
      </c>
      <c r="U147" s="50"/>
      <c r="V147" s="147"/>
      <c r="W147" s="147"/>
    </row>
    <row r="148" spans="1:23" s="80" customFormat="1" x14ac:dyDescent="0.25">
      <c r="A148" s="82"/>
      <c r="B148" s="18"/>
      <c r="C148" s="18"/>
      <c r="D148" s="19"/>
      <c r="E148" s="19"/>
      <c r="F148" s="16"/>
      <c r="G148" s="16"/>
      <c r="H148" s="18"/>
      <c r="I148" s="24"/>
      <c r="J148" s="20"/>
      <c r="K148" s="20"/>
      <c r="L148" s="20"/>
      <c r="M148" s="20"/>
      <c r="N148" s="20"/>
      <c r="O148" s="21"/>
      <c r="P148" s="20"/>
      <c r="Q148" s="35"/>
      <c r="S148" s="25" t="s">
        <v>708</v>
      </c>
      <c r="T148" s="339">
        <f>SUM(T41:T42)</f>
        <v>145189.91</v>
      </c>
      <c r="U148" s="50"/>
      <c r="V148" s="147"/>
      <c r="W148" s="147"/>
    </row>
    <row r="149" spans="1:23" s="80" customFormat="1" x14ac:dyDescent="0.25">
      <c r="A149" s="82"/>
      <c r="B149" s="18"/>
      <c r="C149" s="18"/>
      <c r="D149" s="19"/>
      <c r="E149" s="19"/>
      <c r="F149" s="16"/>
      <c r="G149" s="16"/>
      <c r="H149" s="18"/>
      <c r="I149" s="24"/>
      <c r="J149" s="20"/>
      <c r="K149" s="20"/>
      <c r="L149" s="20"/>
      <c r="M149" s="20"/>
      <c r="N149" s="20"/>
      <c r="O149" s="21"/>
      <c r="P149" s="20"/>
      <c r="Q149" s="35"/>
      <c r="S149" s="25" t="s">
        <v>735</v>
      </c>
      <c r="T149" s="339">
        <f>SUM(T43:T44)</f>
        <v>2489.73</v>
      </c>
      <c r="U149" s="50"/>
      <c r="V149" s="147"/>
      <c r="W149" s="147"/>
    </row>
    <row r="150" spans="1:23" s="80" customFormat="1" x14ac:dyDescent="0.25">
      <c r="A150" s="82"/>
      <c r="B150" s="18"/>
      <c r="C150" s="18"/>
      <c r="D150" s="19"/>
      <c r="E150" s="19"/>
      <c r="F150" s="16"/>
      <c r="G150" s="16"/>
      <c r="H150" s="18"/>
      <c r="I150" s="20"/>
      <c r="J150" s="20"/>
      <c r="K150" s="20"/>
      <c r="L150" s="20"/>
      <c r="M150" s="20"/>
      <c r="N150" s="20"/>
      <c r="O150" s="21"/>
      <c r="P150" s="20"/>
      <c r="Q150" s="35"/>
      <c r="S150" s="25" t="s">
        <v>91</v>
      </c>
      <c r="T150" s="339">
        <f>(T10)*0.103</f>
        <v>31070.794291000002</v>
      </c>
      <c r="U150" s="50"/>
      <c r="V150" s="147"/>
      <c r="W150" s="147"/>
    </row>
    <row r="151" spans="1:23" s="80" customFormat="1" x14ac:dyDescent="0.25">
      <c r="A151" s="82"/>
      <c r="B151" s="18"/>
      <c r="C151" s="18"/>
      <c r="D151" s="19"/>
      <c r="E151" s="19"/>
      <c r="F151" s="16"/>
      <c r="G151" s="16"/>
      <c r="H151" s="18"/>
      <c r="I151" s="20"/>
      <c r="J151" s="20"/>
      <c r="K151" s="20"/>
      <c r="L151" s="20"/>
      <c r="M151" s="20"/>
      <c r="N151" s="20"/>
      <c r="O151" s="21"/>
      <c r="P151" s="20"/>
      <c r="Q151" s="35"/>
      <c r="S151" s="25" t="s">
        <v>92</v>
      </c>
      <c r="T151" s="339">
        <f>(T10)*0.897</f>
        <v>270587.40270900005</v>
      </c>
      <c r="U151" s="50"/>
      <c r="V151" s="159"/>
      <c r="W151" s="147"/>
    </row>
    <row r="152" spans="1:23" s="80" customFormat="1" x14ac:dyDescent="0.25">
      <c r="A152" s="82"/>
      <c r="B152" s="18"/>
      <c r="C152" s="18"/>
      <c r="D152" s="19"/>
      <c r="E152" s="19"/>
      <c r="F152" s="16"/>
      <c r="G152" s="16"/>
      <c r="H152" s="18"/>
      <c r="I152" s="20"/>
      <c r="J152" s="20"/>
      <c r="K152" s="20"/>
      <c r="L152" s="20"/>
      <c r="M152" s="20"/>
      <c r="N152" s="20"/>
      <c r="O152" s="21"/>
      <c r="P152" s="20"/>
      <c r="Q152" s="35"/>
      <c r="S152" s="25" t="s">
        <v>93</v>
      </c>
      <c r="T152" s="339">
        <f>(+T48)*0.103</f>
        <v>40808.6</v>
      </c>
      <c r="U152" s="50"/>
      <c r="V152" s="147"/>
      <c r="W152" s="147"/>
    </row>
    <row r="153" spans="1:23" s="80" customFormat="1" x14ac:dyDescent="0.25">
      <c r="A153" s="82"/>
      <c r="B153" s="18"/>
      <c r="C153" s="18"/>
      <c r="D153" s="19"/>
      <c r="E153" s="19"/>
      <c r="F153" s="16"/>
      <c r="G153" s="16"/>
      <c r="H153" s="18"/>
      <c r="I153" s="20"/>
      <c r="J153" s="20"/>
      <c r="K153" s="20"/>
      <c r="L153" s="20"/>
      <c r="M153" s="20"/>
      <c r="N153" s="20"/>
      <c r="O153" s="21"/>
      <c r="P153" s="20"/>
      <c r="Q153" s="35"/>
      <c r="S153" s="25" t="s">
        <v>94</v>
      </c>
      <c r="T153" s="339">
        <f>(+T48)*0.897</f>
        <v>355391.4</v>
      </c>
      <c r="U153" s="50"/>
      <c r="V153" s="147"/>
      <c r="W153" s="147"/>
    </row>
    <row r="154" spans="1:23" s="80" customFormat="1" x14ac:dyDescent="0.25">
      <c r="A154" s="82"/>
      <c r="B154" s="18"/>
      <c r="C154" s="18"/>
      <c r="D154" s="19"/>
      <c r="E154" s="19"/>
      <c r="F154" s="16"/>
      <c r="G154" s="16"/>
      <c r="H154" s="18"/>
      <c r="I154" s="24"/>
      <c r="J154" s="20"/>
      <c r="K154" s="20"/>
      <c r="L154" s="20"/>
      <c r="M154" s="20"/>
      <c r="N154" s="20"/>
      <c r="O154" s="21"/>
      <c r="P154" s="20"/>
      <c r="Q154" s="35"/>
      <c r="R154" s="16"/>
      <c r="S154" s="603" t="s">
        <v>1119</v>
      </c>
      <c r="T154" s="602">
        <f>SUM(T145:T153)</f>
        <v>1666614.8722000001</v>
      </c>
      <c r="U154" s="50"/>
      <c r="V154" s="147"/>
      <c r="W154" s="147"/>
    </row>
    <row r="155" spans="1:23" s="80" customFormat="1" x14ac:dyDescent="0.25">
      <c r="A155" s="82"/>
      <c r="B155" s="18"/>
      <c r="C155" s="18"/>
      <c r="D155" s="19"/>
      <c r="E155" s="19"/>
      <c r="F155" s="16"/>
      <c r="G155" s="16"/>
      <c r="H155" s="18"/>
      <c r="I155" s="24"/>
      <c r="J155" s="20"/>
      <c r="K155" s="20"/>
      <c r="L155" s="20"/>
      <c r="M155" s="20"/>
      <c r="N155" s="20"/>
      <c r="O155" s="21"/>
      <c r="P155" s="20"/>
      <c r="Q155" s="35"/>
      <c r="R155" s="16"/>
      <c r="S155" s="113"/>
      <c r="T155" s="339"/>
      <c r="U155" s="50"/>
      <c r="V155" s="147"/>
      <c r="W155" s="147"/>
    </row>
    <row r="156" spans="1:23" s="80" customFormat="1" ht="13.8" thickBot="1" x14ac:dyDescent="0.3">
      <c r="A156" s="82" t="s">
        <v>47</v>
      </c>
      <c r="B156" s="18"/>
      <c r="C156" s="18"/>
      <c r="D156" s="19"/>
      <c r="E156" s="19"/>
      <c r="F156" s="16"/>
      <c r="G156" s="16"/>
      <c r="H156" s="18"/>
      <c r="I156" s="24"/>
      <c r="J156" s="20"/>
      <c r="K156" s="20"/>
      <c r="L156" s="20"/>
      <c r="M156" s="20"/>
      <c r="N156" s="20"/>
      <c r="O156" s="21"/>
      <c r="P156" s="20"/>
      <c r="Q156" s="35"/>
      <c r="R156" s="18"/>
      <c r="S156" s="18" t="s">
        <v>1120</v>
      </c>
      <c r="T156" s="422">
        <f>+T141-T154</f>
        <v>548490.05925510358</v>
      </c>
      <c r="U156" s="50"/>
      <c r="V156" s="147"/>
      <c r="W156" s="147"/>
    </row>
    <row r="157" spans="1:23" s="80" customFormat="1" ht="13.8" thickTop="1" x14ac:dyDescent="0.25">
      <c r="F157" s="82"/>
      <c r="G157" s="82"/>
      <c r="T157" s="98"/>
      <c r="V157" s="81"/>
      <c r="W157" s="81"/>
    </row>
  </sheetData>
  <pageMargins left="0.28000000000000003" right="0.24" top="1" bottom="1" header="0.5" footer="0.5"/>
  <pageSetup paperSize="5" scale="95" fitToHeight="5" orientation="landscape" verticalDpi="300" r:id="rId1"/>
  <headerFooter alignWithMargins="0">
    <oddHeader>&amp;L&amp;D&amp;C&amp;A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1"/>
  <sheetViews>
    <sheetView workbookViewId="0">
      <selection activeCell="H11" sqref="H11"/>
    </sheetView>
  </sheetViews>
  <sheetFormatPr defaultColWidth="9.109375" defaultRowHeight="13.2" x14ac:dyDescent="0.25"/>
  <cols>
    <col min="1" max="1" width="8.5546875" style="80" customWidth="1"/>
    <col min="2" max="3" width="9.109375" style="80"/>
    <col min="4" max="5" width="9.88671875" style="80" customWidth="1"/>
    <col min="6" max="6" width="12.44140625" style="80" customWidth="1"/>
    <col min="7" max="7" width="9.109375" style="80"/>
    <col min="8" max="8" width="10.33203125" style="80" customWidth="1"/>
    <col min="9" max="9" width="7.6640625" style="80" customWidth="1"/>
    <col min="10" max="10" width="14" style="80" customWidth="1"/>
    <col min="11" max="11" width="8.109375" style="80" customWidth="1"/>
    <col min="12" max="12" width="10" style="80" customWidth="1"/>
    <col min="13" max="16384" width="9.109375" style="80"/>
  </cols>
  <sheetData>
    <row r="1" spans="1:29" x14ac:dyDescent="0.25">
      <c r="A1" s="98" t="s">
        <v>47</v>
      </c>
      <c r="B1" s="98"/>
    </row>
    <row r="2" spans="1:29" x14ac:dyDescent="0.25">
      <c r="B2" s="98"/>
    </row>
    <row r="3" spans="1:29" x14ac:dyDescent="0.25">
      <c r="A3" s="444" t="s">
        <v>495</v>
      </c>
      <c r="B3" s="437"/>
      <c r="C3" s="437"/>
      <c r="D3" s="437"/>
      <c r="E3" s="437"/>
      <c r="F3" s="437"/>
      <c r="G3" s="437"/>
      <c r="H3" s="438"/>
      <c r="J3" s="451" t="s">
        <v>498</v>
      </c>
      <c r="K3" s="105">
        <f>+Rates!W17</f>
        <v>0.10107000081786183</v>
      </c>
      <c r="Z3" s="80">
        <v>2.8</v>
      </c>
      <c r="AC3" s="80">
        <v>3.03</v>
      </c>
    </row>
    <row r="4" spans="1:29" x14ac:dyDescent="0.25">
      <c r="A4" s="439"/>
      <c r="B4" s="463">
        <v>1</v>
      </c>
      <c r="C4" s="463">
        <v>2</v>
      </c>
      <c r="D4" s="463">
        <v>3</v>
      </c>
      <c r="E4" s="463">
        <v>4</v>
      </c>
      <c r="F4" s="463" t="s">
        <v>337</v>
      </c>
      <c r="G4" s="463">
        <v>5</v>
      </c>
      <c r="H4" s="575">
        <v>6</v>
      </c>
      <c r="J4" s="452" t="s">
        <v>981</v>
      </c>
      <c r="K4" s="479">
        <f>(E62/(1-0.02184))-Rates!W3</f>
        <v>7.8370000817861829E-2</v>
      </c>
    </row>
    <row r="5" spans="1:29" x14ac:dyDescent="0.25">
      <c r="A5" s="462">
        <v>1</v>
      </c>
      <c r="B5" s="109">
        <f>+Rates!B17</f>
        <v>3.7228148519819225E-2</v>
      </c>
      <c r="C5" s="109">
        <f>+Rates!B22</f>
        <v>5.616317169069443E-2</v>
      </c>
      <c r="D5" s="109">
        <f>+Rates!B27</f>
        <v>7.479035851731794E-2</v>
      </c>
      <c r="E5" s="109"/>
      <c r="F5" s="109"/>
      <c r="G5" s="109">
        <f>+Rates!B37</f>
        <v>0.22261954674220957</v>
      </c>
      <c r="H5" s="574">
        <f>+Rates!B42</f>
        <v>0.25996522705620828</v>
      </c>
      <c r="J5" s="99"/>
    </row>
    <row r="6" spans="1:29" x14ac:dyDescent="0.25">
      <c r="A6" s="462">
        <v>2</v>
      </c>
      <c r="B6" s="109"/>
      <c r="C6" s="109"/>
      <c r="D6" s="109">
        <f>+Rates!B52</f>
        <v>4.0301675244726901E-2</v>
      </c>
      <c r="E6" s="109"/>
      <c r="F6" s="109"/>
      <c r="G6" s="109">
        <f>+Rates!B62</f>
        <v>0.20896000418147603</v>
      </c>
      <c r="H6" s="574">
        <f>+Rates!B67</f>
        <v>0.24643587850664406</v>
      </c>
      <c r="J6" s="451" t="s">
        <v>499</v>
      </c>
      <c r="K6" s="480">
        <f>+Rates!Z17</f>
        <v>0.12511178878428181</v>
      </c>
    </row>
    <row r="7" spans="1:29" x14ac:dyDescent="0.25">
      <c r="A7" s="462">
        <v>3</v>
      </c>
      <c r="B7" s="109"/>
      <c r="C7" s="109"/>
      <c r="D7" s="109">
        <f>+Rates!B72</f>
        <v>4.1492415871421294E-2</v>
      </c>
      <c r="E7" s="109">
        <f>+Rates!B77</f>
        <v>0.12217332309267784</v>
      </c>
      <c r="F7" s="109"/>
      <c r="G7" s="109">
        <f>+Rates!B82</f>
        <v>0.18900370370370367</v>
      </c>
      <c r="H7" s="574">
        <f>+Rates!B87</f>
        <v>0.22625600335852253</v>
      </c>
      <c r="J7" s="452" t="s">
        <v>969</v>
      </c>
      <c r="K7" s="479">
        <f>(E61/(1-0.0228))-Rates!Z3</f>
        <v>8.3411788784281793E-2</v>
      </c>
    </row>
    <row r="8" spans="1:29" x14ac:dyDescent="0.25">
      <c r="A8" s="462">
        <v>4</v>
      </c>
      <c r="B8" s="109"/>
      <c r="C8" s="109"/>
      <c r="D8" s="109"/>
      <c r="E8" s="109">
        <f>+Rates!B92</f>
        <v>0.10295005096839979</v>
      </c>
      <c r="F8" s="109"/>
      <c r="G8" s="109"/>
      <c r="H8" s="574">
        <f>+Rates!B102</f>
        <v>0.20619243706257151</v>
      </c>
      <c r="J8" s="98"/>
      <c r="K8" s="101"/>
    </row>
    <row r="9" spans="1:29" x14ac:dyDescent="0.25">
      <c r="A9" s="465" t="s">
        <v>337</v>
      </c>
      <c r="B9" s="109"/>
      <c r="C9" s="109"/>
      <c r="D9" s="109"/>
      <c r="E9" s="109"/>
      <c r="F9" s="109">
        <f>+Rates!B107</f>
        <v>2.3994507594809297E-2</v>
      </c>
      <c r="G9" s="109"/>
      <c r="H9" s="574"/>
      <c r="K9" s="153"/>
    </row>
    <row r="10" spans="1:29" x14ac:dyDescent="0.25">
      <c r="A10" s="462">
        <v>5</v>
      </c>
      <c r="B10" s="109"/>
      <c r="C10" s="109"/>
      <c r="D10" s="109"/>
      <c r="E10" s="109"/>
      <c r="F10" s="109"/>
      <c r="G10" s="109">
        <f>+Rates!B112</f>
        <v>6.7436772621102647E-2</v>
      </c>
      <c r="H10" s="574"/>
      <c r="K10" s="101"/>
    </row>
    <row r="11" spans="1:29" x14ac:dyDescent="0.25">
      <c r="A11" s="462">
        <v>6</v>
      </c>
      <c r="B11" s="108"/>
      <c r="C11" s="108"/>
      <c r="D11" s="108"/>
      <c r="E11" s="108"/>
      <c r="F11" s="108"/>
      <c r="G11" s="108"/>
      <c r="H11" s="574">
        <f>+Rates!B122</f>
        <v>5.7149052037111542E-2</v>
      </c>
      <c r="J11" s="444" t="s">
        <v>817</v>
      </c>
      <c r="K11" s="454"/>
    </row>
    <row r="12" spans="1:29" x14ac:dyDescent="0.25">
      <c r="A12" s="592"/>
      <c r="B12" s="570" t="s">
        <v>968</v>
      </c>
      <c r="C12" s="570"/>
      <c r="D12" s="570"/>
      <c r="E12" s="570"/>
      <c r="F12" s="570"/>
      <c r="G12" s="570"/>
      <c r="H12" s="593"/>
      <c r="J12" s="455" t="s">
        <v>819</v>
      </c>
      <c r="K12" s="456">
        <f>SUM(Rates!AI17)-0.0072</f>
        <v>5.9000000000000007E-3</v>
      </c>
    </row>
    <row r="13" spans="1:29" x14ac:dyDescent="0.25">
      <c r="A13" s="597" t="s">
        <v>1084</v>
      </c>
      <c r="B13" s="596" t="s">
        <v>1083</v>
      </c>
      <c r="C13" s="571" t="s">
        <v>342</v>
      </c>
      <c r="D13" s="571" t="s">
        <v>343</v>
      </c>
      <c r="E13" s="571" t="s">
        <v>344</v>
      </c>
      <c r="F13" s="569"/>
      <c r="G13" s="569"/>
      <c r="H13" s="594"/>
      <c r="J13" s="455" t="s">
        <v>818</v>
      </c>
      <c r="K13" s="457">
        <f>SUM(Rates!H122)</f>
        <v>5.8564342891883781E-2</v>
      </c>
    </row>
    <row r="14" spans="1:29" ht="13.8" thickBot="1" x14ac:dyDescent="0.3">
      <c r="A14" s="106" t="s">
        <v>1082</v>
      </c>
      <c r="B14" s="477">
        <f>SUM(Rates!B69+Rates!B71)</f>
        <v>1.8992415871421295E-2</v>
      </c>
      <c r="C14" s="477">
        <f>SUM(Rates!K22+Rates!B69+Rates!B71)</f>
        <v>0.12601629968544165</v>
      </c>
      <c r="D14" s="477">
        <f>SUM(Rates!B69+Rates!B71+Rates!K47)</f>
        <v>0.1001497305824008</v>
      </c>
      <c r="E14" s="477">
        <f>0.0522+B14</f>
        <v>7.1192415871421305E-2</v>
      </c>
      <c r="F14" s="171" t="s">
        <v>1085</v>
      </c>
      <c r="G14" s="171"/>
      <c r="H14" s="595"/>
      <c r="J14" s="439" t="s">
        <v>30</v>
      </c>
      <c r="K14" s="458">
        <f>SUM(K12:K13)</f>
        <v>6.4464342891883783E-2</v>
      </c>
    </row>
    <row r="15" spans="1:29" ht="13.8" thickTop="1" x14ac:dyDescent="0.25">
      <c r="A15" s="103"/>
      <c r="J15" s="439"/>
      <c r="K15" s="456"/>
    </row>
    <row r="16" spans="1:29" x14ac:dyDescent="0.25">
      <c r="A16" s="459" t="s">
        <v>496</v>
      </c>
      <c r="B16" s="437"/>
      <c r="C16" s="437"/>
      <c r="D16" s="437"/>
      <c r="E16" s="437"/>
      <c r="F16" s="437"/>
      <c r="G16" s="437"/>
      <c r="H16" s="437"/>
      <c r="I16" s="437"/>
      <c r="J16" s="437"/>
      <c r="K16" s="578"/>
    </row>
    <row r="17" spans="1:12" x14ac:dyDescent="0.25">
      <c r="A17" s="579"/>
      <c r="B17" s="108"/>
      <c r="C17" s="463" t="s">
        <v>352</v>
      </c>
      <c r="D17" s="108"/>
      <c r="E17" s="108"/>
      <c r="F17" s="108"/>
      <c r="G17" s="108"/>
      <c r="H17" s="108"/>
      <c r="I17" s="108"/>
      <c r="J17" s="108"/>
      <c r="K17" s="580"/>
    </row>
    <row r="18" spans="1:12" x14ac:dyDescent="0.25">
      <c r="A18" s="579"/>
      <c r="B18" s="108"/>
      <c r="C18" s="463" t="s">
        <v>353</v>
      </c>
      <c r="D18" s="108" t="s">
        <v>354</v>
      </c>
      <c r="E18" s="108"/>
      <c r="F18" s="108"/>
      <c r="G18" s="108"/>
      <c r="H18" s="108"/>
      <c r="I18" s="108"/>
      <c r="J18" s="108"/>
      <c r="K18" s="580"/>
    </row>
    <row r="19" spans="1:12" x14ac:dyDescent="0.25">
      <c r="A19" s="462"/>
      <c r="B19" s="463" t="s">
        <v>355</v>
      </c>
      <c r="C19" s="463" t="s">
        <v>356</v>
      </c>
      <c r="D19" s="463" t="s">
        <v>357</v>
      </c>
      <c r="E19" s="463" t="s">
        <v>358</v>
      </c>
      <c r="F19" s="463" t="s">
        <v>359</v>
      </c>
      <c r="G19" s="108" t="s">
        <v>360</v>
      </c>
      <c r="H19" s="463" t="s">
        <v>361</v>
      </c>
      <c r="I19" s="463" t="s">
        <v>362</v>
      </c>
      <c r="J19" s="567" t="s">
        <v>363</v>
      </c>
      <c r="K19" s="581" t="s">
        <v>364</v>
      </c>
    </row>
    <row r="20" spans="1:12" x14ac:dyDescent="0.25">
      <c r="A20" s="582" t="s">
        <v>338</v>
      </c>
      <c r="B20" s="109">
        <f>+Rates!H22-0.0225+B28+B29</f>
        <v>0.20283605968893065</v>
      </c>
      <c r="C20" s="109">
        <f>+Rates!H22-0.0072</f>
        <v>0.1730083640836407</v>
      </c>
      <c r="D20" s="109">
        <f>+C20-0.0072</f>
        <v>0.16580836408364069</v>
      </c>
      <c r="E20" s="109">
        <f>+D20-0.0225</f>
        <v>0.1433083640836407</v>
      </c>
      <c r="F20" s="109">
        <f>+D20+0.0072</f>
        <v>0.1730083640836407</v>
      </c>
      <c r="G20" s="109">
        <f>+Rates!H27</f>
        <v>0.24828050643507377</v>
      </c>
      <c r="H20" s="109">
        <f>+Rates!H32</f>
        <v>0.27275905644481868</v>
      </c>
      <c r="I20" s="109">
        <f>+Rates!H37</f>
        <v>0.32161401273885382</v>
      </c>
      <c r="J20" s="583">
        <f>+Rates!H42</f>
        <v>0.36699399656946835</v>
      </c>
      <c r="K20" s="574">
        <f>+Rates!H47</f>
        <v>0.43107815942968275</v>
      </c>
    </row>
    <row r="21" spans="1:12" x14ac:dyDescent="0.25">
      <c r="A21" s="465" t="s">
        <v>339</v>
      </c>
      <c r="B21" s="109"/>
      <c r="C21" s="109">
        <f>+Rates!H52-0.0072</f>
        <v>8.4902725896012096E-2</v>
      </c>
      <c r="D21" s="109"/>
      <c r="E21" s="109"/>
      <c r="F21" s="109">
        <f>+C21+0.0072</f>
        <v>9.2102725896012094E-2</v>
      </c>
      <c r="G21" s="109"/>
      <c r="H21" s="109"/>
      <c r="I21" s="109"/>
      <c r="J21" s="568"/>
      <c r="K21" s="581"/>
    </row>
    <row r="22" spans="1:12" x14ac:dyDescent="0.25">
      <c r="A22" s="462">
        <v>1</v>
      </c>
      <c r="B22" s="109">
        <f>+Rates!H57-0.0225+B28+B29</f>
        <v>0.16871141890132257</v>
      </c>
      <c r="C22" s="109"/>
      <c r="D22" s="109">
        <f>+Rates!H57-0.0072</f>
        <v>0.13888372329603263</v>
      </c>
      <c r="E22" s="109">
        <f>+D22-0.0225</f>
        <v>0.11638372329603264</v>
      </c>
      <c r="F22" s="109"/>
      <c r="G22" s="109">
        <f>+Rates!H62</f>
        <v>0.21324389990655207</v>
      </c>
      <c r="H22" s="109">
        <f>+Rates!H67</f>
        <v>0.2372914637968867</v>
      </c>
      <c r="I22" s="109">
        <f>+Rates!H72</f>
        <v>0.2864130187486833</v>
      </c>
      <c r="J22" s="109">
        <f>+Rates!H77</f>
        <v>0.33120078698287758</v>
      </c>
      <c r="K22" s="574">
        <f>+Rates!H82</f>
        <v>0.39518323154398338</v>
      </c>
    </row>
    <row r="23" spans="1:12" x14ac:dyDescent="0.25">
      <c r="A23" s="462">
        <v>2</v>
      </c>
      <c r="B23" s="109"/>
      <c r="C23" s="109"/>
      <c r="D23" s="109"/>
      <c r="E23" s="109"/>
      <c r="F23" s="109"/>
      <c r="G23" s="109"/>
      <c r="H23" s="109"/>
      <c r="I23" s="109"/>
      <c r="J23" s="109">
        <f>SUM(Rates!H87)</f>
        <v>0.21004080066376274</v>
      </c>
      <c r="K23" s="574"/>
    </row>
    <row r="24" spans="1:12" x14ac:dyDescent="0.25">
      <c r="A24" s="462">
        <v>4</v>
      </c>
      <c r="B24" s="109"/>
      <c r="C24" s="109"/>
      <c r="D24" s="109"/>
      <c r="E24" s="109"/>
      <c r="F24" s="109"/>
      <c r="G24" s="109"/>
      <c r="H24" s="109"/>
      <c r="I24" s="109"/>
      <c r="J24" s="109"/>
      <c r="K24" s="574">
        <f>+Rates!H97</f>
        <v>0.16151337683523639</v>
      </c>
    </row>
    <row r="25" spans="1:12" x14ac:dyDescent="0.25">
      <c r="A25" s="462">
        <v>5</v>
      </c>
      <c r="B25" s="109"/>
      <c r="C25" s="109"/>
      <c r="D25" s="109"/>
      <c r="E25" s="109"/>
      <c r="F25" s="109"/>
      <c r="G25" s="109"/>
      <c r="H25" s="109"/>
      <c r="I25" s="109">
        <f>+Rates!H127</f>
        <v>9.3209127666026612E-2</v>
      </c>
      <c r="J25" s="109">
        <f>+Rates!H102</f>
        <v>9.3593979560862212E-2</v>
      </c>
      <c r="K25" s="574">
        <f>+Rates!H112</f>
        <v>0.15232857142857129</v>
      </c>
    </row>
    <row r="26" spans="1:12" x14ac:dyDescent="0.25">
      <c r="A26" s="584">
        <v>6</v>
      </c>
      <c r="B26" s="473"/>
      <c r="C26" s="473"/>
      <c r="D26" s="473"/>
      <c r="E26" s="473"/>
      <c r="F26" s="109"/>
      <c r="G26" s="109"/>
      <c r="H26" s="109"/>
      <c r="I26" s="109"/>
      <c r="J26" s="109"/>
      <c r="K26" s="574">
        <f>+Rates!H117</f>
        <v>0.13604854289790069</v>
      </c>
    </row>
    <row r="27" spans="1:12" x14ac:dyDescent="0.25">
      <c r="A27" s="101"/>
      <c r="B27" s="100"/>
      <c r="C27" s="100"/>
      <c r="D27" s="100"/>
      <c r="E27" s="100"/>
      <c r="F27" s="591"/>
      <c r="G27" s="109"/>
      <c r="H27" s="109"/>
      <c r="I27" s="109"/>
      <c r="J27" s="109"/>
      <c r="K27" s="574"/>
    </row>
    <row r="28" spans="1:12" x14ac:dyDescent="0.25">
      <c r="A28" s="104" t="s">
        <v>370</v>
      </c>
      <c r="B28" s="105">
        <f>0.0009+0.0022+0.0075</f>
        <v>1.06E-2</v>
      </c>
      <c r="F28" s="585" t="s">
        <v>393</v>
      </c>
      <c r="G28" s="108"/>
      <c r="H28" s="108"/>
      <c r="I28" s="108"/>
      <c r="J28" s="108"/>
      <c r="K28" s="581"/>
    </row>
    <row r="29" spans="1:12" x14ac:dyDescent="0.25">
      <c r="A29" s="106" t="s">
        <v>303</v>
      </c>
      <c r="B29" s="107">
        <f>0.0101*(+Rates!H4+Rates!H57-0.0225)</f>
        <v>3.4527695605289926E-2</v>
      </c>
      <c r="F29" s="585" t="s">
        <v>462</v>
      </c>
      <c r="G29" s="108"/>
      <c r="H29" s="108"/>
      <c r="I29" s="586">
        <f>+I20-I25</f>
        <v>0.22840488507282719</v>
      </c>
      <c r="J29" s="586">
        <f>+J20-J25</f>
        <v>0.27340001700860617</v>
      </c>
      <c r="K29" s="587">
        <f>+K20-K25</f>
        <v>0.27874958800111149</v>
      </c>
    </row>
    <row r="30" spans="1:12" x14ac:dyDescent="0.25">
      <c r="A30" s="108"/>
      <c r="B30" s="109"/>
      <c r="F30" s="588" t="s">
        <v>463</v>
      </c>
      <c r="G30" s="171"/>
      <c r="H30" s="171"/>
      <c r="I30" s="589">
        <f>+I22-I25</f>
        <v>0.19320389108265668</v>
      </c>
      <c r="J30" s="589">
        <f>+J22-J25</f>
        <v>0.23760680742201537</v>
      </c>
      <c r="K30" s="590">
        <f>+K22-K25</f>
        <v>0.2428546601154121</v>
      </c>
    </row>
    <row r="31" spans="1:12" x14ac:dyDescent="0.25">
      <c r="A31" s="108"/>
      <c r="B31" s="109"/>
    </row>
    <row r="32" spans="1:12" x14ac:dyDescent="0.25">
      <c r="A32" s="459" t="s">
        <v>657</v>
      </c>
      <c r="B32" s="437"/>
      <c r="C32" s="437"/>
      <c r="D32" s="437"/>
      <c r="E32" s="437"/>
      <c r="F32" s="437"/>
      <c r="G32" s="437"/>
      <c r="H32" s="437"/>
      <c r="I32" s="437"/>
      <c r="J32" s="460"/>
      <c r="K32" s="461"/>
      <c r="L32" s="108"/>
    </row>
    <row r="33" spans="1:13" x14ac:dyDescent="0.25">
      <c r="A33" s="462"/>
      <c r="B33" s="463" t="s">
        <v>342</v>
      </c>
      <c r="C33" s="463" t="s">
        <v>336</v>
      </c>
      <c r="D33" s="463" t="s">
        <v>365</v>
      </c>
      <c r="E33" s="463" t="s">
        <v>366</v>
      </c>
      <c r="F33" s="463" t="s">
        <v>367</v>
      </c>
      <c r="G33" s="463" t="s">
        <v>368</v>
      </c>
      <c r="H33" s="294" t="s">
        <v>1088</v>
      </c>
      <c r="I33" s="108"/>
      <c r="J33" s="294" t="s">
        <v>688</v>
      </c>
      <c r="K33" s="464" t="s">
        <v>689</v>
      </c>
      <c r="L33" s="108"/>
    </row>
    <row r="34" spans="1:13" x14ac:dyDescent="0.25">
      <c r="A34" s="465" t="s">
        <v>342</v>
      </c>
      <c r="B34" s="109">
        <f>+Rates!K17</f>
        <v>0.10817253535560567</v>
      </c>
      <c r="C34" s="109">
        <f>+Rates!K27</f>
        <v>0.14512039718659517</v>
      </c>
      <c r="D34" s="109">
        <f>+Rates!K22</f>
        <v>0.10702388381402037</v>
      </c>
      <c r="E34" s="109">
        <f>+Rates!K32</f>
        <v>0.27535260703688008</v>
      </c>
      <c r="F34" s="109">
        <f>+Rates!K37</f>
        <v>0.34886333907056788</v>
      </c>
      <c r="G34" s="109">
        <f>+Rates!K42</f>
        <v>0.39925616646745626</v>
      </c>
      <c r="H34" s="466">
        <f t="shared" ref="H34:H39" si="0">ROUND(+F34*0.6+G34*0.4,3)</f>
        <v>0.36899999999999999</v>
      </c>
      <c r="I34" s="108"/>
      <c r="J34" s="293">
        <f>+Rates!N17</f>
        <v>0.81696333907056784</v>
      </c>
      <c r="K34" s="467">
        <f>SUM(Rates!N22)</f>
        <v>13.493043842364537</v>
      </c>
      <c r="L34" s="108"/>
    </row>
    <row r="35" spans="1:13" x14ac:dyDescent="0.25">
      <c r="A35" s="465" t="s">
        <v>347</v>
      </c>
      <c r="B35" s="109"/>
      <c r="C35" s="109">
        <f>+Rates!K87</f>
        <v>0.10824754098360644</v>
      </c>
      <c r="D35" s="468">
        <f>+D37</f>
        <v>0.10284754098360643</v>
      </c>
      <c r="E35" s="109">
        <f>+E37</f>
        <v>0.23777607052896729</v>
      </c>
      <c r="F35" s="109">
        <f>+F37</f>
        <v>0.31082569237324276</v>
      </c>
      <c r="G35" s="109">
        <f>+G37</f>
        <v>0.36089585798816581</v>
      </c>
      <c r="H35" s="466">
        <f t="shared" si="0"/>
        <v>0.33100000000000002</v>
      </c>
      <c r="I35" s="108"/>
      <c r="J35" s="293">
        <f>SUM(Rates!N37)</f>
        <v>0.59479416276097141</v>
      </c>
      <c r="K35" s="467">
        <f>SUM(Rates!N42)</f>
        <v>0.72998154922001057</v>
      </c>
      <c r="L35" s="108"/>
    </row>
    <row r="36" spans="1:13" x14ac:dyDescent="0.25">
      <c r="A36" s="465" t="s">
        <v>343</v>
      </c>
      <c r="B36" s="109"/>
      <c r="C36" s="109">
        <f>+Rates!K52</f>
        <v>0.11977546239210865</v>
      </c>
      <c r="D36" s="109">
        <f>+Rates!K47</f>
        <v>8.1157314710979506E-2</v>
      </c>
      <c r="E36" s="109">
        <f>+Rates!K57</f>
        <v>0.24978421052631611</v>
      </c>
      <c r="F36" s="109">
        <f>+Rates!K62</f>
        <v>0.32314102564102576</v>
      </c>
      <c r="G36" s="109">
        <f>+Rates!K67</f>
        <v>0.37342298478472008</v>
      </c>
      <c r="H36" s="466">
        <f t="shared" si="0"/>
        <v>0.34300000000000003</v>
      </c>
      <c r="I36" s="108"/>
      <c r="J36" s="293">
        <f>SUM(Rates!N27)</f>
        <v>0.65144102564102568</v>
      </c>
      <c r="K36" s="467">
        <f>SUM(Rates!N32)</f>
        <v>0.79142298478472006</v>
      </c>
      <c r="L36" s="108"/>
    </row>
    <row r="37" spans="1:13" x14ac:dyDescent="0.25">
      <c r="A37" s="465" t="s">
        <v>344</v>
      </c>
      <c r="B37" s="109"/>
      <c r="C37" s="109">
        <f>+Rates!K87</f>
        <v>0.10824754098360644</v>
      </c>
      <c r="D37" s="109">
        <f>+Rates!K77</f>
        <v>0.10284754098360643</v>
      </c>
      <c r="E37" s="109">
        <f>+Rates!K97</f>
        <v>0.23777607052896729</v>
      </c>
      <c r="F37" s="109">
        <f>+Rates!K102</f>
        <v>0.31082569237324276</v>
      </c>
      <c r="G37" s="109">
        <f>+Rates!K107</f>
        <v>0.36089585798816581</v>
      </c>
      <c r="H37" s="466">
        <f t="shared" si="0"/>
        <v>0.33100000000000002</v>
      </c>
      <c r="I37" s="108"/>
      <c r="J37" s="293">
        <f>SUM(Rates!N37)</f>
        <v>0.59479416276097141</v>
      </c>
      <c r="K37" s="467">
        <f>SUM(Rates!N42)</f>
        <v>0.72998154922001057</v>
      </c>
      <c r="L37" s="108"/>
    </row>
    <row r="38" spans="1:13" x14ac:dyDescent="0.25">
      <c r="A38" s="469" t="s">
        <v>345</v>
      </c>
      <c r="B38" s="108"/>
      <c r="C38" s="108"/>
      <c r="D38" s="108"/>
      <c r="E38" s="290">
        <f>+Rates!K112</f>
        <v>0.1372347256347255</v>
      </c>
      <c r="F38" s="109">
        <f>+Rates!K117</f>
        <v>0.20917366015787281</v>
      </c>
      <c r="G38" s="109">
        <f>+Rates!K122</f>
        <v>0.2584663345568956</v>
      </c>
      <c r="H38" s="470">
        <f t="shared" si="0"/>
        <v>0.22900000000000001</v>
      </c>
      <c r="I38" s="108"/>
      <c r="J38" s="293">
        <f>SUM(Rates!N47)</f>
        <v>0.45437366015787284</v>
      </c>
      <c r="K38" s="467">
        <f>SUM(Rates!N52)</f>
        <v>0.59336633455689558</v>
      </c>
    </row>
    <row r="39" spans="1:13" x14ac:dyDescent="0.25">
      <c r="A39" s="469" t="s">
        <v>346</v>
      </c>
      <c r="B39" s="108"/>
      <c r="C39" s="108"/>
      <c r="D39" s="108"/>
      <c r="E39" s="290"/>
      <c r="F39" s="109">
        <f>+Rates!K127</f>
        <v>0.16694389438943902</v>
      </c>
      <c r="G39" s="109">
        <f>+Rates!K132</f>
        <v>0.22358999062597684</v>
      </c>
      <c r="H39" s="466">
        <f t="shared" si="0"/>
        <v>0.19</v>
      </c>
      <c r="I39" s="108"/>
      <c r="J39" s="293"/>
      <c r="K39" s="467">
        <f>SUM(Rates!N57)</f>
        <v>0.49438999062597683</v>
      </c>
    </row>
    <row r="40" spans="1:13" x14ac:dyDescent="0.25">
      <c r="A40" s="471" t="s">
        <v>126</v>
      </c>
      <c r="B40" s="171"/>
      <c r="C40" s="171"/>
      <c r="D40" s="171"/>
      <c r="E40" s="472"/>
      <c r="F40" s="171"/>
      <c r="G40" s="473">
        <f>+Rates!K137</f>
        <v>0.12096160164271046</v>
      </c>
      <c r="H40" s="474"/>
      <c r="I40" s="171"/>
      <c r="J40" s="475"/>
      <c r="K40" s="453">
        <f>SUM(Rates!N62)</f>
        <v>0.29776673511293633</v>
      </c>
    </row>
    <row r="41" spans="1:13" x14ac:dyDescent="0.25">
      <c r="A41" s="111"/>
      <c r="E41" s="112"/>
      <c r="G41" s="100"/>
      <c r="H41" s="154"/>
      <c r="J41" s="293"/>
      <c r="K41" s="293"/>
    </row>
    <row r="42" spans="1:13" x14ac:dyDescent="0.25">
      <c r="F42" s="444" t="s">
        <v>980</v>
      </c>
      <c r="G42" s="437"/>
      <c r="H42" s="437"/>
      <c r="I42" s="437"/>
      <c r="J42" s="438"/>
    </row>
    <row r="43" spans="1:13" x14ac:dyDescent="0.25">
      <c r="A43" s="444" t="s">
        <v>713</v>
      </c>
      <c r="B43" s="476" t="s">
        <v>723</v>
      </c>
      <c r="C43" s="476" t="s">
        <v>724</v>
      </c>
      <c r="D43" s="476" t="s">
        <v>725</v>
      </c>
      <c r="E43" s="476" t="s">
        <v>726</v>
      </c>
      <c r="F43" s="439"/>
      <c r="G43" s="108" t="s">
        <v>394</v>
      </c>
      <c r="H43" s="108" t="s">
        <v>395</v>
      </c>
      <c r="I43" s="572" t="s">
        <v>340</v>
      </c>
      <c r="J43" s="573" t="s">
        <v>341</v>
      </c>
    </row>
    <row r="44" spans="1:13" x14ac:dyDescent="0.25">
      <c r="A44" s="106"/>
      <c r="B44" s="477">
        <f>+Rates!Q17</f>
        <v>6.6795939086294359E-2</v>
      </c>
      <c r="C44" s="477">
        <f>SUM(Rates!Q22)</f>
        <v>6.8795939086294361E-2</v>
      </c>
      <c r="D44" s="477">
        <f>SUM(Rates!Q27)</f>
        <v>0.10185240532241549</v>
      </c>
      <c r="E44" s="477">
        <f>SUM(Rates!Q32)</f>
        <v>0.12049240246406592</v>
      </c>
      <c r="F44" s="455" t="s">
        <v>351</v>
      </c>
      <c r="G44" s="466">
        <f>+Rates!AF17</f>
        <v>2.3786249749448572E-2</v>
      </c>
      <c r="H44" s="598">
        <f>0.0075+G49</f>
        <v>7.4999999999999997E-3</v>
      </c>
      <c r="I44" s="599">
        <f>+Rates!AF35</f>
        <v>8.6188241277591213E-2</v>
      </c>
      <c r="J44" s="600">
        <f>+Rates!AF23</f>
        <v>0.13395236333744348</v>
      </c>
    </row>
    <row r="45" spans="1:13" x14ac:dyDescent="0.25">
      <c r="F45" s="106">
        <v>1</v>
      </c>
      <c r="G45" s="171"/>
      <c r="H45" s="171"/>
      <c r="I45" s="171"/>
      <c r="J45" s="478">
        <f>SUM(Rates!AF29)</f>
        <v>0.13115236333744346</v>
      </c>
    </row>
    <row r="46" spans="1:13" x14ac:dyDescent="0.25">
      <c r="I46" s="445"/>
      <c r="J46" s="108"/>
      <c r="K46" s="108"/>
      <c r="L46" s="108"/>
      <c r="M46" s="108"/>
    </row>
    <row r="47" spans="1:13" x14ac:dyDescent="0.25">
      <c r="A47" s="444" t="s">
        <v>442</v>
      </c>
      <c r="B47" s="437"/>
      <c r="C47" s="437"/>
      <c r="D47" s="437"/>
      <c r="E47" s="438"/>
      <c r="F47" s="98"/>
      <c r="I47" s="444" t="s">
        <v>1037</v>
      </c>
      <c r="J47" s="437"/>
      <c r="K47" s="437"/>
      <c r="L47" s="438"/>
      <c r="M47" s="108"/>
    </row>
    <row r="48" spans="1:13" ht="13.8" thickBot="1" x14ac:dyDescent="0.3">
      <c r="A48" s="462"/>
      <c r="B48" s="463" t="s">
        <v>348</v>
      </c>
      <c r="C48" s="463" t="s">
        <v>349</v>
      </c>
      <c r="D48" s="463" t="s">
        <v>369</v>
      </c>
      <c r="E48" s="575"/>
      <c r="I48" s="439"/>
      <c r="J48" s="445" t="s">
        <v>970</v>
      </c>
      <c r="K48" s="108"/>
      <c r="L48" s="450" t="s">
        <v>971</v>
      </c>
      <c r="M48" s="108"/>
    </row>
    <row r="49" spans="1:13" ht="13.8" thickTop="1" x14ac:dyDescent="0.25">
      <c r="A49" s="465" t="s">
        <v>348</v>
      </c>
      <c r="B49" s="109">
        <f>+Rates!T32</f>
        <v>0.10613128397865539</v>
      </c>
      <c r="C49" s="109">
        <f>+C50+B49</f>
        <v>0.16525433195797046</v>
      </c>
      <c r="D49" s="109">
        <f>SUM(Rates!T27,Rates!T37,Rates!T32)</f>
        <v>0.28340679131174695</v>
      </c>
      <c r="E49" s="574"/>
      <c r="F49" s="113"/>
      <c r="G49" s="100"/>
      <c r="H49" s="110"/>
      <c r="I49" s="446">
        <v>41101</v>
      </c>
      <c r="J49" s="447" t="s">
        <v>972</v>
      </c>
      <c r="K49" s="448">
        <v>20500</v>
      </c>
      <c r="L49" s="542" t="s">
        <v>973</v>
      </c>
      <c r="M49" s="108"/>
    </row>
    <row r="50" spans="1:13" x14ac:dyDescent="0.25">
      <c r="A50" s="465" t="s">
        <v>349</v>
      </c>
      <c r="B50" s="109"/>
      <c r="C50" s="576">
        <f>+Rates!T37</f>
        <v>5.9123047979315058E-2</v>
      </c>
      <c r="D50" s="576">
        <f>+Rates!T37+Rates!T27</f>
        <v>0.17727550733309155</v>
      </c>
      <c r="E50" s="574"/>
      <c r="I50" s="440">
        <v>40120</v>
      </c>
      <c r="J50" s="441" t="s">
        <v>1038</v>
      </c>
      <c r="K50" s="449">
        <v>20550</v>
      </c>
      <c r="L50" s="481" t="s">
        <v>974</v>
      </c>
      <c r="M50" s="108"/>
    </row>
    <row r="51" spans="1:13" x14ac:dyDescent="0.25">
      <c r="A51" s="465" t="s">
        <v>350</v>
      </c>
      <c r="B51" s="109"/>
      <c r="C51" s="109"/>
      <c r="D51" s="109">
        <f>+Rates!T27</f>
        <v>0.1181524593537765</v>
      </c>
      <c r="E51" s="574"/>
      <c r="F51" s="100"/>
      <c r="G51" s="100"/>
      <c r="I51" s="440">
        <v>40114</v>
      </c>
      <c r="J51" s="441" t="s">
        <v>1039</v>
      </c>
      <c r="K51" s="449">
        <v>20600</v>
      </c>
      <c r="L51" s="481" t="s">
        <v>975</v>
      </c>
      <c r="M51" s="108"/>
    </row>
    <row r="52" spans="1:13" x14ac:dyDescent="0.25">
      <c r="A52" s="577"/>
      <c r="B52" s="473" t="s">
        <v>543</v>
      </c>
      <c r="C52" s="473"/>
      <c r="D52" s="473"/>
      <c r="E52" s="107"/>
      <c r="F52" s="100"/>
      <c r="G52" s="100"/>
      <c r="I52" s="440">
        <v>40206</v>
      </c>
      <c r="J52" s="441" t="s">
        <v>1040</v>
      </c>
      <c r="K52" s="449">
        <v>20700</v>
      </c>
      <c r="L52" s="481" t="s">
        <v>976</v>
      </c>
      <c r="M52" s="108"/>
    </row>
    <row r="53" spans="1:13" x14ac:dyDescent="0.25">
      <c r="I53" s="440">
        <v>40301</v>
      </c>
      <c r="J53" s="441" t="s">
        <v>1041</v>
      </c>
      <c r="K53" s="449">
        <v>21100</v>
      </c>
      <c r="L53" s="481" t="s">
        <v>977</v>
      </c>
      <c r="M53" s="108"/>
    </row>
    <row r="54" spans="1:13" ht="13.8" thickBot="1" x14ac:dyDescent="0.3">
      <c r="F54" s="490"/>
      <c r="I54" s="440"/>
      <c r="J54" s="441"/>
      <c r="K54" s="449">
        <v>20100</v>
      </c>
      <c r="L54" s="481" t="s">
        <v>978</v>
      </c>
      <c r="M54" s="108"/>
    </row>
    <row r="55" spans="1:13" ht="13.8" thickBot="1" x14ac:dyDescent="0.3">
      <c r="A55" s="157" t="s">
        <v>632</v>
      </c>
      <c r="B55" s="158"/>
      <c r="C55" s="158"/>
      <c r="D55" s="158"/>
      <c r="E55" s="158"/>
      <c r="F55" s="619">
        <f>Rates!A1</f>
        <v>36658</v>
      </c>
      <c r="G55" s="434"/>
      <c r="H55" s="108"/>
      <c r="I55" s="442"/>
      <c r="J55" s="443"/>
      <c r="K55" s="541">
        <v>20200</v>
      </c>
      <c r="L55" s="482" t="s">
        <v>979</v>
      </c>
      <c r="M55" s="108"/>
    </row>
    <row r="56" spans="1:13" x14ac:dyDescent="0.25">
      <c r="A56" s="154" t="s">
        <v>612</v>
      </c>
      <c r="B56" s="112">
        <f>+Rates!B6</f>
        <v>3.51</v>
      </c>
      <c r="D56" s="113" t="s">
        <v>619</v>
      </c>
      <c r="E56" s="112">
        <f>Rates!T3</f>
        <v>3.35</v>
      </c>
      <c r="F56" s="617" t="str">
        <f>Rates!A2</f>
        <v xml:space="preserve">Gas Daily </v>
      </c>
      <c r="I56" s="441"/>
      <c r="J56" s="441"/>
      <c r="K56" s="441"/>
      <c r="L56" s="441"/>
      <c r="M56" s="108"/>
    </row>
    <row r="57" spans="1:13" ht="13.8" thickBot="1" x14ac:dyDescent="0.3">
      <c r="A57" s="99" t="s">
        <v>613</v>
      </c>
      <c r="B57" s="155">
        <f>+Rates!B5</f>
        <v>3.55</v>
      </c>
      <c r="C57" s="99"/>
      <c r="D57" s="102" t="s">
        <v>29</v>
      </c>
      <c r="E57" s="112">
        <f>Rates!T4</f>
        <v>3.41</v>
      </c>
      <c r="F57" s="618" t="str">
        <f>Rates!B2</f>
        <v>Even</v>
      </c>
      <c r="I57" s="441"/>
      <c r="J57" s="441"/>
      <c r="K57" s="441"/>
      <c r="L57" s="441"/>
      <c r="M57" s="108"/>
    </row>
    <row r="58" spans="1:13" ht="14.4" thickTop="1" thickBot="1" x14ac:dyDescent="0.3">
      <c r="A58" s="99" t="s">
        <v>614</v>
      </c>
      <c r="B58" s="112">
        <f>Rates!B4</f>
        <v>3.56</v>
      </c>
      <c r="C58" s="100"/>
      <c r="D58" s="153" t="s">
        <v>616</v>
      </c>
      <c r="E58" s="290">
        <f>+Rates!AF3</f>
        <v>3.35</v>
      </c>
      <c r="I58" s="562" t="s">
        <v>1060</v>
      </c>
      <c r="J58" s="563" t="s">
        <v>1071</v>
      </c>
      <c r="K58" s="566">
        <f>+Rates!AR35</f>
        <v>8.1230612244897984E-2</v>
      </c>
      <c r="L58" s="564" t="s">
        <v>809</v>
      </c>
      <c r="M58" s="108"/>
    </row>
    <row r="59" spans="1:13" ht="13.8" thickTop="1" x14ac:dyDescent="0.25">
      <c r="A59" s="154" t="s">
        <v>615</v>
      </c>
      <c r="B59" s="112">
        <f>Rates!B3</f>
        <v>3.56</v>
      </c>
      <c r="C59" s="100"/>
      <c r="D59" s="80" t="s">
        <v>625</v>
      </c>
      <c r="E59" s="112">
        <f>+Rates!H4</f>
        <v>3.2949999999999999</v>
      </c>
      <c r="I59" s="441"/>
      <c r="J59" s="441"/>
      <c r="K59" s="441"/>
      <c r="L59" s="441"/>
      <c r="M59" s="108"/>
    </row>
    <row r="60" spans="1:13" x14ac:dyDescent="0.25">
      <c r="A60" s="154" t="s">
        <v>618</v>
      </c>
      <c r="B60" s="112">
        <f>Rates!B7</f>
        <v>3.5</v>
      </c>
      <c r="C60" s="100"/>
      <c r="D60" s="113" t="s">
        <v>1072</v>
      </c>
      <c r="E60" s="112">
        <f>+Rates!H5</f>
        <v>3.5049999999999999</v>
      </c>
      <c r="I60" s="441"/>
      <c r="J60" s="441"/>
      <c r="K60" s="441"/>
      <c r="L60" s="441"/>
      <c r="M60" s="108"/>
    </row>
    <row r="61" spans="1:13" x14ac:dyDescent="0.25">
      <c r="A61" s="99" t="s">
        <v>103</v>
      </c>
      <c r="B61" s="112">
        <f>Rates!K5</f>
        <v>3.2650000000000001</v>
      </c>
      <c r="D61" s="153" t="s">
        <v>617</v>
      </c>
      <c r="E61" s="112">
        <f>Rates!Z3</f>
        <v>3.5750000000000002</v>
      </c>
      <c r="I61" s="441"/>
      <c r="J61" s="441"/>
      <c r="K61" s="441"/>
      <c r="L61" s="441"/>
      <c r="M61" s="108"/>
    </row>
    <row r="62" spans="1:13" x14ac:dyDescent="0.25">
      <c r="A62" s="99" t="s">
        <v>104</v>
      </c>
      <c r="B62" s="112">
        <f>Rates!K4</f>
        <v>3.3</v>
      </c>
      <c r="D62" s="153" t="s">
        <v>461</v>
      </c>
      <c r="E62" s="112">
        <f>Rates!W3</f>
        <v>3.51</v>
      </c>
      <c r="I62" s="441"/>
      <c r="J62" s="441"/>
      <c r="K62" s="441"/>
      <c r="L62" s="441"/>
      <c r="M62" s="108"/>
    </row>
    <row r="63" spans="1:13" x14ac:dyDescent="0.25">
      <c r="A63" s="154" t="s">
        <v>101</v>
      </c>
      <c r="B63" s="112">
        <f>Rates!K3</f>
        <v>3.3</v>
      </c>
      <c r="D63" s="113" t="s">
        <v>664</v>
      </c>
      <c r="E63" s="112">
        <f>Rates!AI3</f>
        <v>3.5249999999999999</v>
      </c>
      <c r="I63" s="441"/>
      <c r="J63" s="441"/>
      <c r="K63" s="441"/>
      <c r="L63" s="441"/>
      <c r="M63" s="108"/>
    </row>
    <row r="64" spans="1:13" x14ac:dyDescent="0.25">
      <c r="A64" s="154" t="s">
        <v>345</v>
      </c>
      <c r="B64" s="112">
        <f>Rates!K6</f>
        <v>3.395</v>
      </c>
      <c r="E64" s="112"/>
      <c r="I64" s="441"/>
      <c r="J64" s="441"/>
      <c r="K64" s="441"/>
      <c r="L64" s="441"/>
      <c r="M64" s="108"/>
    </row>
    <row r="65" spans="1:13" x14ac:dyDescent="0.25">
      <c r="A65" s="154" t="s">
        <v>126</v>
      </c>
      <c r="B65" s="112">
        <f>Rates!K7</f>
        <v>3.6549999999999998</v>
      </c>
      <c r="E65" s="112"/>
      <c r="I65" s="441"/>
      <c r="J65" s="441"/>
      <c r="K65" s="441"/>
      <c r="L65" s="441"/>
      <c r="M65" s="108"/>
    </row>
    <row r="66" spans="1:13" x14ac:dyDescent="0.25">
      <c r="I66" s="441"/>
      <c r="J66" s="441"/>
      <c r="K66" s="441"/>
      <c r="L66" s="441"/>
      <c r="M66" s="108"/>
    </row>
    <row r="67" spans="1:13" x14ac:dyDescent="0.25">
      <c r="I67" s="441"/>
      <c r="J67" s="441"/>
      <c r="K67" s="441"/>
      <c r="L67" s="441"/>
      <c r="M67" s="108"/>
    </row>
    <row r="68" spans="1:13" x14ac:dyDescent="0.25">
      <c r="I68" s="445"/>
      <c r="J68" s="108"/>
      <c r="K68" s="108"/>
      <c r="L68" s="108"/>
      <c r="M68" s="108"/>
    </row>
    <row r="69" spans="1:13" x14ac:dyDescent="0.25">
      <c r="I69" s="108"/>
      <c r="J69" s="445"/>
      <c r="K69" s="108"/>
      <c r="L69" s="445"/>
      <c r="M69" s="108"/>
    </row>
    <row r="70" spans="1:13" x14ac:dyDescent="0.25">
      <c r="I70" s="441"/>
      <c r="J70" s="441"/>
      <c r="K70" s="441"/>
      <c r="L70" s="441"/>
      <c r="M70" s="108"/>
    </row>
    <row r="71" spans="1:13" x14ac:dyDescent="0.25">
      <c r="I71" s="441"/>
      <c r="J71" s="441"/>
      <c r="K71" s="441"/>
      <c r="L71" s="441"/>
      <c r="M71" s="108"/>
    </row>
    <row r="72" spans="1:13" x14ac:dyDescent="0.25">
      <c r="I72" s="441"/>
      <c r="J72" s="441"/>
      <c r="K72" s="441"/>
      <c r="L72" s="441"/>
      <c r="M72" s="108"/>
    </row>
    <row r="73" spans="1:13" x14ac:dyDescent="0.25">
      <c r="I73" s="441"/>
      <c r="J73" s="441"/>
      <c r="K73" s="441"/>
      <c r="L73" s="441"/>
      <c r="M73" s="108"/>
    </row>
    <row r="74" spans="1:13" x14ac:dyDescent="0.25">
      <c r="I74" s="441"/>
      <c r="J74" s="441"/>
      <c r="K74" s="441"/>
      <c r="L74" s="441"/>
      <c r="M74" s="108"/>
    </row>
    <row r="75" spans="1:13" x14ac:dyDescent="0.25">
      <c r="I75" s="441"/>
      <c r="J75" s="441"/>
      <c r="K75" s="441"/>
      <c r="L75" s="441"/>
      <c r="M75" s="108"/>
    </row>
    <row r="76" spans="1:13" x14ac:dyDescent="0.25">
      <c r="I76" s="441"/>
      <c r="J76" s="441"/>
      <c r="K76" s="441"/>
      <c r="L76" s="441"/>
      <c r="M76" s="108"/>
    </row>
    <row r="77" spans="1:13" x14ac:dyDescent="0.25">
      <c r="I77" s="436"/>
      <c r="J77" s="436"/>
      <c r="K77" s="436"/>
      <c r="L77" s="436"/>
    </row>
    <row r="78" spans="1:13" x14ac:dyDescent="0.25">
      <c r="I78" s="436"/>
      <c r="J78" s="436"/>
      <c r="K78" s="436"/>
      <c r="L78" s="436"/>
    </row>
    <row r="79" spans="1:13" x14ac:dyDescent="0.25">
      <c r="I79" s="436"/>
      <c r="J79" s="436"/>
      <c r="K79" s="436"/>
      <c r="L79" s="436"/>
    </row>
    <row r="80" spans="1:13" x14ac:dyDescent="0.25">
      <c r="I80" s="436"/>
      <c r="J80" s="436"/>
      <c r="K80" s="436"/>
      <c r="L80" s="436"/>
    </row>
    <row r="81" spans="9:12" x14ac:dyDescent="0.25">
      <c r="I81" s="436"/>
      <c r="J81" s="436"/>
      <c r="K81" s="436"/>
      <c r="L81" s="436"/>
    </row>
  </sheetData>
  <pageMargins left="0.75" right="0.75" top="1" bottom="1" header="0.5" footer="0.5"/>
  <pageSetup scale="75" orientation="portrait" r:id="rId1"/>
  <headerFooter alignWithMargins="0">
    <oddHeader xml:space="preserve">&amp;C&amp;14May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73"/>
  <sheetViews>
    <sheetView workbookViewId="0">
      <pane ySplit="7" topLeftCell="A104" activePane="bottomLeft" state="frozen"/>
      <selection activeCell="G38" sqref="G38"/>
      <selection pane="bottomLeft" activeCell="B122" sqref="B122"/>
    </sheetView>
  </sheetViews>
  <sheetFormatPr defaultColWidth="9.109375" defaultRowHeight="13.2" x14ac:dyDescent="0.25"/>
  <cols>
    <col min="1" max="1" width="11.88671875" style="36" customWidth="1"/>
    <col min="2" max="2" width="10.88671875" style="36" customWidth="1"/>
    <col min="3" max="3" width="4" style="36" customWidth="1"/>
    <col min="4" max="4" width="11.88671875" style="36" customWidth="1"/>
    <col min="5" max="5" width="12" style="36" customWidth="1"/>
    <col min="6" max="6" width="2.88671875" style="36" customWidth="1"/>
    <col min="7" max="8" width="10.88671875" style="191" customWidth="1"/>
    <col min="9" max="9" width="2.88671875" style="36" customWidth="1"/>
    <col min="10" max="11" width="10.88671875" style="191" customWidth="1"/>
    <col min="12" max="12" width="2.88671875" style="36" customWidth="1"/>
    <col min="13" max="14" width="10.88671875" style="191" customWidth="1"/>
    <col min="15" max="15" width="2.88671875" style="36" customWidth="1"/>
    <col min="16" max="17" width="10.88671875" style="306" customWidth="1"/>
    <col min="18" max="18" width="2.88671875" style="306" customWidth="1"/>
    <col min="19" max="20" width="10.88671875" style="36" customWidth="1"/>
    <col min="21" max="21" width="2.88671875" style="36" customWidth="1"/>
    <col min="22" max="23" width="10.88671875" style="36" customWidth="1"/>
    <col min="24" max="24" width="2.88671875" style="36" customWidth="1"/>
    <col min="25" max="26" width="10.88671875" style="36" customWidth="1"/>
    <col min="27" max="27" width="3.44140625" style="36" customWidth="1"/>
    <col min="28" max="29" width="9.109375" style="191"/>
    <col min="30" max="30" width="3.44140625" style="36" customWidth="1"/>
    <col min="31" max="32" width="9.109375" style="199"/>
    <col min="33" max="33" width="3.44140625" style="36" customWidth="1"/>
    <col min="34" max="35" width="9.109375" style="36"/>
    <col min="36" max="36" width="3.44140625" style="36" customWidth="1"/>
    <col min="37" max="38" width="9.109375" style="36"/>
    <col min="39" max="39" width="3.44140625" style="36" customWidth="1"/>
    <col min="40" max="41" width="9.109375" style="36"/>
    <col min="42" max="42" width="3.44140625" style="36" customWidth="1"/>
    <col min="43" max="16384" width="9.109375" style="36"/>
  </cols>
  <sheetData>
    <row r="1" spans="1:47" ht="13.8" thickBot="1" x14ac:dyDescent="0.3">
      <c r="A1" s="407">
        <v>36658</v>
      </c>
      <c r="AK1" s="36" t="s">
        <v>611</v>
      </c>
    </row>
    <row r="2" spans="1:47" ht="13.8" thickTop="1" x14ac:dyDescent="0.25">
      <c r="A2" s="115" t="s">
        <v>120</v>
      </c>
      <c r="B2" s="387" t="s">
        <v>1075</v>
      </c>
      <c r="C2" s="115"/>
      <c r="D2" s="162"/>
      <c r="E2" s="283" t="s">
        <v>121</v>
      </c>
      <c r="F2" s="115"/>
      <c r="G2" s="224" t="s">
        <v>47</v>
      </c>
      <c r="H2" s="248"/>
      <c r="I2" s="115"/>
      <c r="J2" s="224"/>
      <c r="K2" s="291"/>
      <c r="L2" s="115"/>
      <c r="M2" s="224"/>
      <c r="N2" s="283" t="s">
        <v>121</v>
      </c>
      <c r="O2" s="115"/>
      <c r="P2" s="307"/>
      <c r="Q2" s="308"/>
      <c r="R2" s="307"/>
      <c r="S2" s="115"/>
      <c r="T2" s="163"/>
      <c r="U2" s="115"/>
      <c r="V2" s="115"/>
      <c r="W2" s="163"/>
      <c r="X2" s="115" t="s">
        <v>47</v>
      </c>
      <c r="Y2" s="115" t="s">
        <v>47</v>
      </c>
      <c r="Z2" s="115" t="s">
        <v>47</v>
      </c>
      <c r="AL2" s="281" t="s">
        <v>493</v>
      </c>
      <c r="AO2" s="281" t="s">
        <v>493</v>
      </c>
    </row>
    <row r="3" spans="1:47" x14ac:dyDescent="0.25">
      <c r="A3" s="116" t="s">
        <v>122</v>
      </c>
      <c r="B3" s="193">
        <v>3.56</v>
      </c>
      <c r="C3" s="115"/>
      <c r="D3" s="116" t="s">
        <v>122</v>
      </c>
      <c r="E3" s="284">
        <f>+B3</f>
        <v>3.56</v>
      </c>
      <c r="F3" s="115"/>
      <c r="G3" s="227" t="s">
        <v>123</v>
      </c>
      <c r="H3" s="435">
        <v>3.2549999999999999</v>
      </c>
      <c r="I3" s="115"/>
      <c r="J3" s="225" t="s">
        <v>78</v>
      </c>
      <c r="K3" s="226">
        <v>3.3</v>
      </c>
      <c r="L3" s="115"/>
      <c r="M3" s="225" t="s">
        <v>78</v>
      </c>
      <c r="N3" s="284">
        <v>2.87</v>
      </c>
      <c r="O3" s="115"/>
      <c r="P3" s="309" t="s">
        <v>714</v>
      </c>
      <c r="Q3" s="310">
        <v>3.375</v>
      </c>
      <c r="R3" s="307" t="s">
        <v>47</v>
      </c>
      <c r="S3" s="116" t="s">
        <v>124</v>
      </c>
      <c r="T3" s="164">
        <v>3.35</v>
      </c>
      <c r="U3" s="115" t="s">
        <v>47</v>
      </c>
      <c r="V3" s="116" t="s">
        <v>461</v>
      </c>
      <c r="W3" s="164">
        <v>3.51</v>
      </c>
      <c r="X3" s="115"/>
      <c r="Y3" s="116" t="s">
        <v>125</v>
      </c>
      <c r="Z3" s="165">
        <v>3.5750000000000002</v>
      </c>
      <c r="AB3" s="225" t="s">
        <v>126</v>
      </c>
      <c r="AC3" s="483">
        <f>K7</f>
        <v>3.6549999999999998</v>
      </c>
      <c r="AE3" s="277" t="s">
        <v>405</v>
      </c>
      <c r="AF3" s="412">
        <v>3.35</v>
      </c>
      <c r="AH3" s="116" t="s">
        <v>403</v>
      </c>
      <c r="AI3" s="164">
        <v>3.5249999999999999</v>
      </c>
      <c r="AK3" s="116" t="s">
        <v>147</v>
      </c>
      <c r="AL3" s="289">
        <f>+Z3</f>
        <v>3.5750000000000002</v>
      </c>
      <c r="AN3" s="116" t="s">
        <v>491</v>
      </c>
      <c r="AO3" s="289">
        <f>+H3</f>
        <v>3.2549999999999999</v>
      </c>
      <c r="AQ3" s="116" t="s">
        <v>1060</v>
      </c>
      <c r="AR3" s="310">
        <f>H5</f>
        <v>3.5049999999999999</v>
      </c>
    </row>
    <row r="4" spans="1:47" x14ac:dyDescent="0.25">
      <c r="A4" s="116" t="s">
        <v>127</v>
      </c>
      <c r="B4" s="194">
        <v>3.56</v>
      </c>
      <c r="C4" s="99"/>
      <c r="D4" s="116" t="s">
        <v>127</v>
      </c>
      <c r="E4" s="284">
        <f>+B4</f>
        <v>3.56</v>
      </c>
      <c r="F4" s="99"/>
      <c r="G4" s="227" t="s">
        <v>128</v>
      </c>
      <c r="H4" s="249">
        <v>3.2949999999999999</v>
      </c>
      <c r="I4" s="115"/>
      <c r="J4" s="225" t="s">
        <v>79</v>
      </c>
      <c r="K4" s="226">
        <v>3.3</v>
      </c>
      <c r="L4" s="115"/>
      <c r="M4" s="225" t="s">
        <v>79</v>
      </c>
      <c r="N4" s="284">
        <f>+K4</f>
        <v>3.3</v>
      </c>
      <c r="O4" s="115"/>
      <c r="P4" s="309"/>
      <c r="Q4" s="310"/>
      <c r="R4" s="307"/>
      <c r="S4" s="116" t="s">
        <v>129</v>
      </c>
      <c r="T4" s="164">
        <v>3.41</v>
      </c>
      <c r="U4" s="115"/>
      <c r="V4" s="116"/>
      <c r="W4" s="164">
        <f>+W17+W3</f>
        <v>3.6110700008178616</v>
      </c>
      <c r="X4" s="115"/>
      <c r="Y4" s="115"/>
      <c r="Z4" s="115"/>
      <c r="AB4" s="279" t="s">
        <v>407</v>
      </c>
      <c r="AE4" s="277" t="s">
        <v>406</v>
      </c>
      <c r="AQ4" s="36" t="s">
        <v>77</v>
      </c>
    </row>
    <row r="5" spans="1:47" x14ac:dyDescent="0.25">
      <c r="A5" s="116" t="s">
        <v>130</v>
      </c>
      <c r="B5" s="195">
        <v>3.55</v>
      </c>
      <c r="C5" s="100"/>
      <c r="D5" s="116" t="s">
        <v>130</v>
      </c>
      <c r="E5" s="284">
        <f>+B5</f>
        <v>3.55</v>
      </c>
      <c r="F5" s="100"/>
      <c r="G5" s="227" t="s">
        <v>77</v>
      </c>
      <c r="H5" s="250">
        <v>3.5049999999999999</v>
      </c>
      <c r="I5" s="115"/>
      <c r="J5" s="225" t="s">
        <v>131</v>
      </c>
      <c r="K5" s="226">
        <v>3.2650000000000001</v>
      </c>
      <c r="L5" s="115"/>
      <c r="M5" s="225" t="s">
        <v>131</v>
      </c>
      <c r="N5" s="284">
        <f>+K5</f>
        <v>3.2650000000000001</v>
      </c>
      <c r="O5" s="115"/>
      <c r="P5" s="309"/>
      <c r="Q5" s="308"/>
      <c r="R5" s="307"/>
      <c r="S5" s="116"/>
      <c r="T5" s="163"/>
      <c r="U5" s="115"/>
      <c r="V5" s="116"/>
      <c r="W5" s="163"/>
      <c r="X5" s="115"/>
      <c r="Y5" s="115"/>
      <c r="Z5" s="166"/>
    </row>
    <row r="6" spans="1:47" s="108" customFormat="1" x14ac:dyDescent="0.25">
      <c r="A6" s="134" t="s">
        <v>132</v>
      </c>
      <c r="B6" s="195">
        <v>3.51</v>
      </c>
      <c r="C6" s="100"/>
      <c r="D6" s="134" t="s">
        <v>132</v>
      </c>
      <c r="E6" s="284">
        <f>+B6</f>
        <v>3.51</v>
      </c>
      <c r="F6" s="100"/>
      <c r="G6" s="251"/>
      <c r="H6" s="251"/>
      <c r="I6" s="150"/>
      <c r="J6" s="227" t="s">
        <v>133</v>
      </c>
      <c r="K6" s="228">
        <v>3.395</v>
      </c>
      <c r="L6" s="150"/>
      <c r="M6" s="227" t="s">
        <v>133</v>
      </c>
      <c r="N6" s="284">
        <f>+K6</f>
        <v>3.395</v>
      </c>
      <c r="O6" s="150"/>
      <c r="P6" s="311"/>
      <c r="Q6" s="312"/>
      <c r="R6" s="313"/>
      <c r="S6" s="134"/>
      <c r="T6" s="167">
        <f>+T4-T3</f>
        <v>6.0000000000000053E-2</v>
      </c>
      <c r="U6" s="150"/>
      <c r="V6" s="134"/>
      <c r="W6" s="167"/>
      <c r="X6" s="150"/>
      <c r="Y6" s="150"/>
      <c r="Z6" s="168"/>
      <c r="AB6" s="251"/>
      <c r="AC6" s="251"/>
      <c r="AE6" s="263"/>
      <c r="AF6" s="263"/>
    </row>
    <row r="7" spans="1:47" s="171" customFormat="1" x14ac:dyDescent="0.25">
      <c r="A7" s="151" t="s">
        <v>573</v>
      </c>
      <c r="B7" s="195">
        <v>3.5</v>
      </c>
      <c r="C7" s="100"/>
      <c r="D7" s="151" t="s">
        <v>573</v>
      </c>
      <c r="E7" s="284">
        <f>+B7</f>
        <v>3.5</v>
      </c>
      <c r="F7" s="100"/>
      <c r="G7" s="252"/>
      <c r="H7" s="252"/>
      <c r="I7" s="152"/>
      <c r="J7" s="229" t="s">
        <v>126</v>
      </c>
      <c r="K7" s="292">
        <v>3.6549999999999998</v>
      </c>
      <c r="L7" s="152"/>
      <c r="M7" s="229" t="s">
        <v>126</v>
      </c>
      <c r="N7" s="284">
        <f>+K7</f>
        <v>3.6549999999999998</v>
      </c>
      <c r="O7" s="152"/>
      <c r="P7" s="314"/>
      <c r="Q7" s="315"/>
      <c r="R7" s="316"/>
      <c r="S7" s="151"/>
      <c r="T7" s="169"/>
      <c r="U7" s="152"/>
      <c r="V7" s="151"/>
      <c r="W7" s="169"/>
      <c r="X7" s="152"/>
      <c r="Y7" s="152"/>
      <c r="Z7" s="170"/>
      <c r="AB7" s="280"/>
      <c r="AC7" s="280"/>
      <c r="AE7" s="278"/>
      <c r="AF7" s="278"/>
    </row>
    <row r="8" spans="1:47" x14ac:dyDescent="0.25">
      <c r="A8" s="116" t="s">
        <v>134</v>
      </c>
      <c r="B8" s="114"/>
      <c r="C8" s="100"/>
      <c r="D8" s="100"/>
      <c r="E8" s="100"/>
      <c r="F8" s="100"/>
      <c r="G8" s="275" t="s">
        <v>641</v>
      </c>
      <c r="H8" s="264"/>
      <c r="I8" s="172"/>
      <c r="J8" s="204" t="s">
        <v>622</v>
      </c>
      <c r="K8" s="205"/>
      <c r="L8" s="115"/>
      <c r="M8" s="227" t="s">
        <v>640</v>
      </c>
      <c r="N8" s="228"/>
      <c r="O8" s="115"/>
      <c r="P8" s="309"/>
      <c r="Q8" s="308"/>
      <c r="R8" s="307"/>
      <c r="S8" s="172" t="s">
        <v>1009</v>
      </c>
      <c r="T8" s="163"/>
      <c r="U8" s="115"/>
      <c r="V8" s="116" t="s">
        <v>386</v>
      </c>
      <c r="W8" s="163"/>
      <c r="X8" s="115"/>
      <c r="Y8" s="116" t="s">
        <v>396</v>
      </c>
      <c r="Z8" s="115"/>
      <c r="AB8" s="191" t="s">
        <v>318</v>
      </c>
      <c r="AE8" s="199" t="s">
        <v>404</v>
      </c>
      <c r="AH8" s="36" t="s">
        <v>136</v>
      </c>
      <c r="AK8" s="36" t="s">
        <v>371</v>
      </c>
      <c r="AQ8" s="36" t="s">
        <v>1061</v>
      </c>
    </row>
    <row r="9" spans="1:47" x14ac:dyDescent="0.25">
      <c r="A9" s="134" t="s">
        <v>137</v>
      </c>
      <c r="B9" s="100"/>
      <c r="C9" s="100"/>
      <c r="D9" s="100"/>
      <c r="E9" s="100"/>
      <c r="F9" s="100"/>
      <c r="G9" s="264" t="s">
        <v>135</v>
      </c>
      <c r="H9" s="264"/>
      <c r="I9" s="173"/>
      <c r="J9" s="208" t="s">
        <v>380</v>
      </c>
      <c r="K9" s="205"/>
      <c r="L9" s="115"/>
      <c r="M9" s="230" t="s">
        <v>690</v>
      </c>
      <c r="N9" s="228"/>
      <c r="O9" s="115"/>
      <c r="P9" s="489" t="s">
        <v>1002</v>
      </c>
      <c r="Q9" s="312"/>
      <c r="R9" s="313"/>
      <c r="S9" s="134" t="s">
        <v>439</v>
      </c>
      <c r="T9" s="167"/>
      <c r="U9" s="150"/>
      <c r="V9" s="134" t="s">
        <v>303</v>
      </c>
      <c r="W9" s="167"/>
      <c r="X9" s="115"/>
      <c r="Y9" s="116" t="s">
        <v>303</v>
      </c>
      <c r="Z9" s="115"/>
      <c r="AB9" s="191" t="s">
        <v>646</v>
      </c>
      <c r="AE9" s="199" t="s">
        <v>408</v>
      </c>
      <c r="AH9" s="36" t="s">
        <v>138</v>
      </c>
      <c r="AK9" s="36" t="s">
        <v>372</v>
      </c>
      <c r="AQ9" s="36" t="s">
        <v>1069</v>
      </c>
    </row>
    <row r="10" spans="1:47" x14ac:dyDescent="0.25">
      <c r="A10" s="134"/>
      <c r="B10" s="100"/>
      <c r="C10" s="100"/>
      <c r="D10" s="100"/>
      <c r="E10" s="100"/>
      <c r="F10" s="100"/>
      <c r="G10" s="264" t="s">
        <v>410</v>
      </c>
      <c r="H10" s="264"/>
      <c r="I10" s="173"/>
      <c r="J10" s="209" t="s">
        <v>409</v>
      </c>
      <c r="K10" s="205"/>
      <c r="L10" s="115"/>
      <c r="M10" s="231" t="s">
        <v>409</v>
      </c>
      <c r="N10" s="228"/>
      <c r="O10" s="115"/>
      <c r="P10" s="489" t="s">
        <v>1004</v>
      </c>
      <c r="Q10" s="312"/>
      <c r="R10" s="313"/>
      <c r="S10" s="134" t="s">
        <v>438</v>
      </c>
      <c r="T10" s="167"/>
      <c r="U10" s="150"/>
      <c r="V10" s="134" t="s">
        <v>440</v>
      </c>
      <c r="W10" s="167"/>
      <c r="X10" s="115"/>
      <c r="Y10" s="225" t="s">
        <v>810</v>
      </c>
      <c r="Z10" s="116"/>
      <c r="AB10" s="191" t="s">
        <v>651</v>
      </c>
      <c r="AE10" s="199" t="s">
        <v>401</v>
      </c>
      <c r="AH10" s="36" t="s">
        <v>961</v>
      </c>
      <c r="AK10" s="174">
        <v>36526</v>
      </c>
      <c r="AN10" s="174"/>
      <c r="AQ10" s="36" t="s">
        <v>1062</v>
      </c>
    </row>
    <row r="11" spans="1:47" x14ac:dyDescent="0.25">
      <c r="A11" s="134"/>
      <c r="B11" s="80"/>
      <c r="C11" s="80"/>
      <c r="D11" s="80"/>
      <c r="E11" s="80"/>
      <c r="F11" s="80"/>
      <c r="G11" s="208" t="s">
        <v>643</v>
      </c>
      <c r="H11" s="264"/>
      <c r="I11" s="173"/>
      <c r="J11" s="231" t="s">
        <v>820</v>
      </c>
      <c r="K11" s="228"/>
      <c r="L11" s="115"/>
      <c r="M11" s="231" t="s">
        <v>814</v>
      </c>
      <c r="N11" s="228"/>
      <c r="O11" s="115"/>
      <c r="P11" s="489" t="s">
        <v>1003</v>
      </c>
      <c r="Q11" s="312"/>
      <c r="R11" s="313"/>
      <c r="S11" s="134"/>
      <c r="T11" s="167"/>
      <c r="U11" s="150"/>
      <c r="V11" s="227" t="s">
        <v>441</v>
      </c>
      <c r="W11" s="167"/>
      <c r="X11" s="115"/>
      <c r="Y11" s="116"/>
      <c r="Z11" s="116"/>
      <c r="AB11" s="191" t="s">
        <v>650</v>
      </c>
      <c r="AE11" s="199" t="s">
        <v>402</v>
      </c>
      <c r="AK11" s="174"/>
      <c r="AN11" s="174"/>
      <c r="AQ11" s="36" t="s">
        <v>1070</v>
      </c>
    </row>
    <row r="12" spans="1:47" x14ac:dyDescent="0.25">
      <c r="A12" s="227" t="s">
        <v>852</v>
      </c>
      <c r="B12" s="395"/>
      <c r="C12" s="115"/>
      <c r="D12" s="225" t="s">
        <v>852</v>
      </c>
      <c r="E12" s="396"/>
      <c r="F12" s="132"/>
      <c r="G12" s="487" t="s">
        <v>1001</v>
      </c>
      <c r="H12" s="265"/>
      <c r="I12" s="115"/>
      <c r="J12" s="231" t="s">
        <v>836</v>
      </c>
      <c r="K12" s="226"/>
      <c r="L12" s="115"/>
      <c r="M12" s="225" t="s">
        <v>456</v>
      </c>
      <c r="N12" s="226"/>
      <c r="O12" s="115"/>
      <c r="P12" s="311" t="s">
        <v>722</v>
      </c>
      <c r="Q12" s="308"/>
      <c r="R12" s="307"/>
      <c r="S12" s="116"/>
      <c r="T12" s="163"/>
      <c r="U12" s="115"/>
      <c r="V12" s="116"/>
      <c r="W12" s="163"/>
      <c r="X12" s="115"/>
      <c r="Y12" s="116"/>
      <c r="Z12" s="116"/>
      <c r="AE12" s="191" t="s">
        <v>848</v>
      </c>
      <c r="AK12" s="174" t="s">
        <v>609</v>
      </c>
      <c r="AN12" s="174"/>
      <c r="AQ12" s="174">
        <v>36526</v>
      </c>
      <c r="AT12" s="36" t="s">
        <v>287</v>
      </c>
      <c r="AU12" s="175">
        <v>2.0249999999999999</v>
      </c>
    </row>
    <row r="13" spans="1:47" x14ac:dyDescent="0.25">
      <c r="A13" s="117" t="s">
        <v>22</v>
      </c>
      <c r="B13" s="118" t="s">
        <v>139</v>
      </c>
      <c r="C13" s="119"/>
      <c r="D13" s="36" t="s">
        <v>22</v>
      </c>
      <c r="E13" s="36" t="s">
        <v>140</v>
      </c>
      <c r="F13" s="122"/>
      <c r="G13" s="266" t="s">
        <v>36</v>
      </c>
      <c r="H13" s="267" t="s">
        <v>982</v>
      </c>
      <c r="I13" s="132"/>
      <c r="J13" s="210" t="s">
        <v>142</v>
      </c>
      <c r="K13" s="211" t="s">
        <v>143</v>
      </c>
      <c r="L13" s="132"/>
      <c r="M13" s="232" t="s">
        <v>142</v>
      </c>
      <c r="N13" s="233" t="s">
        <v>182</v>
      </c>
      <c r="O13" s="132"/>
      <c r="P13" s="317" t="s">
        <v>713</v>
      </c>
      <c r="Q13" s="318" t="s">
        <v>715</v>
      </c>
      <c r="R13" s="319"/>
      <c r="S13" s="117" t="s">
        <v>144</v>
      </c>
      <c r="T13" s="176" t="s">
        <v>430</v>
      </c>
      <c r="U13" s="119"/>
      <c r="V13" s="117" t="s">
        <v>145</v>
      </c>
      <c r="W13" s="176" t="s">
        <v>146</v>
      </c>
      <c r="X13" s="119"/>
      <c r="Y13" s="117" t="s">
        <v>147</v>
      </c>
      <c r="Z13" s="176" t="s">
        <v>397</v>
      </c>
      <c r="AB13" s="254" t="s">
        <v>151</v>
      </c>
      <c r="AC13" s="255" t="s">
        <v>152</v>
      </c>
      <c r="AE13" s="199" t="s">
        <v>148</v>
      </c>
      <c r="AH13" s="117" t="s">
        <v>149</v>
      </c>
      <c r="AI13" s="176" t="s">
        <v>150</v>
      </c>
      <c r="AK13" s="117" t="s">
        <v>373</v>
      </c>
      <c r="AL13" s="176" t="s">
        <v>374</v>
      </c>
      <c r="AN13" s="117" t="s">
        <v>492</v>
      </c>
      <c r="AO13" s="176" t="s">
        <v>456</v>
      </c>
      <c r="AQ13" s="117" t="s">
        <v>1063</v>
      </c>
      <c r="AR13" s="176" t="s">
        <v>1064</v>
      </c>
      <c r="AT13" s="98" t="s">
        <v>484</v>
      </c>
      <c r="AU13" s="175"/>
    </row>
    <row r="14" spans="1:47" x14ac:dyDescent="0.25">
      <c r="A14" s="120" t="s">
        <v>153</v>
      </c>
      <c r="B14" s="121">
        <v>2.3999999999999998E-3</v>
      </c>
      <c r="C14" s="122"/>
      <c r="D14" s="120" t="s">
        <v>384</v>
      </c>
      <c r="E14" s="131">
        <v>6.5299999999999997E-2</v>
      </c>
      <c r="F14" s="122"/>
      <c r="G14" s="268" t="s">
        <v>153</v>
      </c>
      <c r="H14" s="213">
        <v>4.3900000000000002E-2</v>
      </c>
      <c r="I14" s="122"/>
      <c r="J14" s="212" t="s">
        <v>153</v>
      </c>
      <c r="K14" s="213">
        <v>1.78E-2</v>
      </c>
      <c r="L14" s="122"/>
      <c r="M14" s="234" t="s">
        <v>153</v>
      </c>
      <c r="N14" s="235">
        <v>0.56030000000000002</v>
      </c>
      <c r="O14" s="122"/>
      <c r="P14" s="320" t="s">
        <v>153</v>
      </c>
      <c r="Q14" s="321">
        <v>6.0000000000000001E-3</v>
      </c>
      <c r="R14" s="322"/>
      <c r="S14" s="120" t="s">
        <v>153</v>
      </c>
      <c r="T14" s="491">
        <v>2.0000000000000001E-4</v>
      </c>
      <c r="U14" s="122"/>
      <c r="V14" s="120" t="s">
        <v>153</v>
      </c>
      <c r="W14" s="491">
        <v>1.3299999999999999E-2</v>
      </c>
      <c r="X14" s="122"/>
      <c r="Y14" s="120" t="s">
        <v>153</v>
      </c>
      <c r="Z14" s="491">
        <v>3.95E-2</v>
      </c>
      <c r="AB14" s="256" t="s">
        <v>153</v>
      </c>
      <c r="AC14" s="235">
        <v>1.12E-2</v>
      </c>
      <c r="AE14" s="268" t="s">
        <v>153</v>
      </c>
      <c r="AF14" s="213">
        <f>0.005+0.002</f>
        <v>7.0000000000000001E-3</v>
      </c>
      <c r="AH14" s="120" t="s">
        <v>153</v>
      </c>
      <c r="AI14" s="121">
        <v>3.0000000000000001E-3</v>
      </c>
      <c r="AK14" s="120" t="s">
        <v>153</v>
      </c>
      <c r="AL14" s="121">
        <v>0.2127</v>
      </c>
      <c r="AN14" s="120" t="s">
        <v>153</v>
      </c>
      <c r="AO14" s="121">
        <v>1.7000000000000001E-2</v>
      </c>
      <c r="AQ14" s="120" t="s">
        <v>153</v>
      </c>
      <c r="AR14" s="121">
        <v>6.4000000000000003E-3</v>
      </c>
      <c r="AT14" s="36" t="s">
        <v>384</v>
      </c>
      <c r="AU14" s="175">
        <v>0.01</v>
      </c>
    </row>
    <row r="15" spans="1:47" x14ac:dyDescent="0.25">
      <c r="A15" s="120" t="s">
        <v>60</v>
      </c>
      <c r="B15" s="121">
        <f>0.0022+0.0072+0.0131</f>
        <v>2.2499999999999999E-2</v>
      </c>
      <c r="C15" s="122"/>
      <c r="D15" s="120" t="s">
        <v>60</v>
      </c>
      <c r="E15" s="131">
        <f>0.0072+0.0022+0.0131</f>
        <v>2.2499999999999999E-2</v>
      </c>
      <c r="F15" s="124"/>
      <c r="G15" s="268" t="s">
        <v>60</v>
      </c>
      <c r="H15" s="213">
        <f>0.0022+0.0072+0.0225</f>
        <v>3.1899999999999998E-2</v>
      </c>
      <c r="I15" s="122"/>
      <c r="J15" s="212" t="s">
        <v>60</v>
      </c>
      <c r="K15" s="213">
        <f>0.0022+0.0072</f>
        <v>9.4000000000000004E-3</v>
      </c>
      <c r="L15" s="122"/>
      <c r="M15" s="234" t="s">
        <v>60</v>
      </c>
      <c r="N15" s="235">
        <f>0.0022+0.0072</f>
        <v>9.4000000000000004E-3</v>
      </c>
      <c r="O15" s="122"/>
      <c r="P15" s="320" t="s">
        <v>60</v>
      </c>
      <c r="Q15" s="321">
        <f>0.0022+0.0072</f>
        <v>9.4000000000000004E-3</v>
      </c>
      <c r="R15" s="322"/>
      <c r="S15" s="120" t="s">
        <v>60</v>
      </c>
      <c r="T15" s="491">
        <v>2.2000000000000001E-3</v>
      </c>
      <c r="U15" s="122"/>
      <c r="V15" s="120" t="s">
        <v>60</v>
      </c>
      <c r="W15" s="491">
        <f>0.0022+0.0072</f>
        <v>9.4000000000000004E-3</v>
      </c>
      <c r="X15" s="122"/>
      <c r="Y15" s="120" t="s">
        <v>60</v>
      </c>
      <c r="Z15" s="121">
        <v>2.2000000000000001E-3</v>
      </c>
      <c r="AB15" s="256" t="s">
        <v>60</v>
      </c>
      <c r="AC15" s="235">
        <f>0.0022+0.0072</f>
        <v>9.4000000000000004E-3</v>
      </c>
      <c r="AE15" s="268" t="s">
        <v>60</v>
      </c>
      <c r="AF15" s="213">
        <f>0.0022+0.0072</f>
        <v>9.4000000000000004E-3</v>
      </c>
      <c r="AH15" s="120" t="s">
        <v>60</v>
      </c>
      <c r="AI15" s="121">
        <f>0.0022+0.0072+0.0007</f>
        <v>1.01E-2</v>
      </c>
      <c r="AK15" s="120" t="s">
        <v>60</v>
      </c>
      <c r="AL15" s="121">
        <f>0.0022+0.0072</f>
        <v>9.4000000000000004E-3</v>
      </c>
      <c r="AN15" s="120" t="s">
        <v>60</v>
      </c>
      <c r="AO15" s="121">
        <v>0</v>
      </c>
      <c r="AQ15" s="120" t="s">
        <v>60</v>
      </c>
      <c r="AR15" s="121">
        <f>0.0072+0.0022</f>
        <v>9.4000000000000004E-3</v>
      </c>
      <c r="AT15" s="36" t="s">
        <v>485</v>
      </c>
      <c r="AU15" s="175">
        <v>2.2000000000000001E-3</v>
      </c>
    </row>
    <row r="16" spans="1:47" x14ac:dyDescent="0.25">
      <c r="A16" s="120" t="s">
        <v>435</v>
      </c>
      <c r="B16" s="123">
        <f>B6/(1-0.0035)-B6</f>
        <v>1.2328148519819226E-2</v>
      </c>
      <c r="C16" s="124"/>
      <c r="D16" s="120" t="s">
        <v>435</v>
      </c>
      <c r="E16" s="123">
        <f>(E6)/(1-0.0035)-E6</f>
        <v>1.2328148519819226E-2</v>
      </c>
      <c r="F16" s="127"/>
      <c r="G16" s="268" t="s">
        <v>411</v>
      </c>
      <c r="H16" s="269">
        <f>(H3)/(1-0.0084)-H3</f>
        <v>2.7573618394513666E-2</v>
      </c>
      <c r="I16" s="124"/>
      <c r="J16" s="212" t="s">
        <v>821</v>
      </c>
      <c r="K16" s="214">
        <f>(K5)/(1-0.0242)-K5</f>
        <v>8.0972535355605668E-2</v>
      </c>
      <c r="L16" s="124"/>
      <c r="M16" s="234" t="s">
        <v>824</v>
      </c>
      <c r="N16" s="236">
        <f>(N5)/(1-0.0704)-N5</f>
        <v>0.24726333907056786</v>
      </c>
      <c r="O16" s="124"/>
      <c r="P16" s="320" t="s">
        <v>719</v>
      </c>
      <c r="Q16" s="323">
        <f>+Q$3/(1-0.015)-Q$3</f>
        <v>5.1395939086294362E-2</v>
      </c>
      <c r="R16" s="324"/>
      <c r="S16" s="120" t="s">
        <v>1117</v>
      </c>
      <c r="T16" s="123">
        <f>(+T3-0.108)/(1-0.00489)-(T3-0.108)</f>
        <v>1.5931283978655397E-2</v>
      </c>
      <c r="U16" s="124"/>
      <c r="V16" s="492">
        <v>2.1839999999999998E-2</v>
      </c>
      <c r="W16" s="123">
        <f>+W3/(1-0.02184)-W3</f>
        <v>7.8370000817861829E-2</v>
      </c>
      <c r="X16" s="124"/>
      <c r="Y16" s="493" t="s">
        <v>154</v>
      </c>
      <c r="Z16" s="123">
        <f>Z3/(1-0.0228)-Z3</f>
        <v>8.3411788784281793E-2</v>
      </c>
      <c r="AB16" s="256" t="s">
        <v>695</v>
      </c>
      <c r="AC16" s="236">
        <f>+AC3/(1-0.0111)-AC3</f>
        <v>4.1025887349580348E-2</v>
      </c>
      <c r="AE16" s="268" t="s">
        <v>647</v>
      </c>
      <c r="AF16" s="214">
        <f>+AF3/(1-0.0022)-AF3</f>
        <v>7.3862497494485702E-3</v>
      </c>
      <c r="AH16" s="120" t="s">
        <v>1076</v>
      </c>
      <c r="AI16" s="123">
        <f>+AI3/(1-0)-AI3</f>
        <v>0</v>
      </c>
      <c r="AK16" s="120" t="s">
        <v>610</v>
      </c>
      <c r="AL16" s="123">
        <f>+AL3/(1-0.03)-AL3</f>
        <v>0.1105670103092784</v>
      </c>
      <c r="AN16" s="120" t="s">
        <v>217</v>
      </c>
      <c r="AO16" s="123">
        <f>+AO3/(1-0)-AO3</f>
        <v>0</v>
      </c>
      <c r="AQ16" s="120" t="s">
        <v>1068</v>
      </c>
      <c r="AR16" s="123">
        <f>+AR3/(1-0.02)-AR3</f>
        <v>7.1530612244897984E-2</v>
      </c>
      <c r="AT16" s="36" t="s">
        <v>486</v>
      </c>
      <c r="AU16" s="175">
        <v>0</v>
      </c>
    </row>
    <row r="17" spans="1:49" x14ac:dyDescent="0.25">
      <c r="A17" s="125"/>
      <c r="B17" s="126">
        <f>SUM(B14:B16)</f>
        <v>3.7228148519819225E-2</v>
      </c>
      <c r="C17" s="127"/>
      <c r="D17" s="120"/>
      <c r="E17" s="126">
        <f>SUM(E14:E16)</f>
        <v>0.10012814851981922</v>
      </c>
      <c r="F17" s="132"/>
      <c r="G17" s="270"/>
      <c r="H17" s="215">
        <f>SUM(H14:H16)</f>
        <v>0.10337361839451367</v>
      </c>
      <c r="I17" s="127"/>
      <c r="J17" s="212"/>
      <c r="K17" s="215">
        <f>SUM(K14:K16)</f>
        <v>0.10817253535560567</v>
      </c>
      <c r="L17" s="127"/>
      <c r="M17" s="234"/>
      <c r="N17" s="237">
        <f>SUM(N14:N16)</f>
        <v>0.81696333907056784</v>
      </c>
      <c r="O17" s="127"/>
      <c r="P17" s="325"/>
      <c r="Q17" s="326">
        <f>SUM(Q14:Q16)</f>
        <v>6.6795939086294359E-2</v>
      </c>
      <c r="R17" s="327"/>
      <c r="S17" s="125"/>
      <c r="T17" s="126">
        <f>SUM(T14:T16)</f>
        <v>1.8331283978655397E-2</v>
      </c>
      <c r="U17" s="127"/>
      <c r="V17" s="125"/>
      <c r="W17" s="126">
        <f>SUM(W14:W16)</f>
        <v>0.10107000081786183</v>
      </c>
      <c r="X17" s="127">
        <v>0</v>
      </c>
      <c r="Y17" s="125"/>
      <c r="Z17" s="126">
        <f>SUM(Z14:Z16)</f>
        <v>0.12511178878428181</v>
      </c>
      <c r="AB17" s="258"/>
      <c r="AC17" s="237">
        <f>SUM(AC14:AC16)</f>
        <v>6.1625887349580348E-2</v>
      </c>
      <c r="AE17" s="270"/>
      <c r="AF17" s="215">
        <f>SUM(AF14:AF16)</f>
        <v>2.3786249749448572E-2</v>
      </c>
      <c r="AH17" s="125"/>
      <c r="AI17" s="126">
        <f>SUM(AI14:AI16)</f>
        <v>1.3100000000000001E-2</v>
      </c>
      <c r="AK17" s="125"/>
      <c r="AL17" s="126">
        <f>SUM(AL14:AL16)</f>
        <v>0.33266701030927837</v>
      </c>
      <c r="AN17" s="125"/>
      <c r="AO17" s="126">
        <f>SUM(AO14:AO16)</f>
        <v>1.7000000000000001E-2</v>
      </c>
      <c r="AQ17" s="125"/>
      <c r="AR17" s="126">
        <f>SUM(AR14:AR16)</f>
        <v>8.7330612244897993E-2</v>
      </c>
      <c r="AT17" s="36" t="s">
        <v>487</v>
      </c>
      <c r="AU17" s="36">
        <v>1.6E-2</v>
      </c>
    </row>
    <row r="18" spans="1:49" x14ac:dyDescent="0.25">
      <c r="A18" s="128" t="s">
        <v>22</v>
      </c>
      <c r="B18" s="118" t="s">
        <v>155</v>
      </c>
      <c r="C18" s="119"/>
      <c r="D18" s="36" t="s">
        <v>22</v>
      </c>
      <c r="E18" s="36" t="s">
        <v>156</v>
      </c>
      <c r="F18" s="122"/>
      <c r="G18" s="271" t="s">
        <v>36</v>
      </c>
      <c r="H18" s="272" t="s">
        <v>983</v>
      </c>
      <c r="I18" s="132"/>
      <c r="J18" s="210" t="s">
        <v>142</v>
      </c>
      <c r="K18" s="211" t="s">
        <v>158</v>
      </c>
      <c r="L18" s="132"/>
      <c r="M18" s="232" t="s">
        <v>142</v>
      </c>
      <c r="N18" s="233" t="s">
        <v>188</v>
      </c>
      <c r="O18" s="132"/>
      <c r="P18" s="328" t="s">
        <v>713</v>
      </c>
      <c r="Q18" s="329" t="s">
        <v>716</v>
      </c>
      <c r="R18" s="319"/>
      <c r="S18" s="128" t="s">
        <v>144</v>
      </c>
      <c r="T18" s="178" t="s">
        <v>159</v>
      </c>
      <c r="U18" s="119"/>
      <c r="V18" s="128" t="s">
        <v>145</v>
      </c>
      <c r="W18" s="178" t="s">
        <v>160</v>
      </c>
      <c r="X18" s="119"/>
      <c r="Y18" s="117" t="s">
        <v>147</v>
      </c>
      <c r="Z18" s="176" t="s">
        <v>398</v>
      </c>
      <c r="AN18" s="78"/>
      <c r="AO18" s="78"/>
      <c r="AT18" s="36" t="s">
        <v>488</v>
      </c>
      <c r="AU18" s="175">
        <f>+AU12/(1-AU17)-AU12</f>
        <v>3.292682926829249E-2</v>
      </c>
    </row>
    <row r="19" spans="1:49" x14ac:dyDescent="0.25">
      <c r="A19" s="120" t="s">
        <v>153</v>
      </c>
      <c r="B19" s="121">
        <v>5.0000000000000001E-3</v>
      </c>
      <c r="C19" s="122"/>
      <c r="D19" s="120" t="s">
        <v>153</v>
      </c>
      <c r="E19" s="131">
        <v>8.9899999999999994E-2</v>
      </c>
      <c r="F19" s="122"/>
      <c r="G19" s="268" t="s">
        <v>153</v>
      </c>
      <c r="H19" s="213">
        <v>6.6900000000000001E-2</v>
      </c>
      <c r="I19" s="122"/>
      <c r="J19" s="212" t="s">
        <v>153</v>
      </c>
      <c r="K19" s="213">
        <v>1.8700000000000001E-2</v>
      </c>
      <c r="L19" s="122"/>
      <c r="M19" s="234" t="s">
        <v>153</v>
      </c>
      <c r="N19" s="235">
        <v>0.66490000000000005</v>
      </c>
      <c r="O19" s="122"/>
      <c r="P19" s="320" t="s">
        <v>153</v>
      </c>
      <c r="Q19" s="321">
        <v>8.0000000000000002E-3</v>
      </c>
      <c r="R19" s="322"/>
      <c r="S19" s="120" t="s">
        <v>153</v>
      </c>
      <c r="T19" s="491">
        <v>1.6999999999999999E-3</v>
      </c>
      <c r="U19" s="122"/>
      <c r="V19" s="120" t="s">
        <v>153</v>
      </c>
      <c r="W19" s="491">
        <v>0.15409999999999999</v>
      </c>
      <c r="X19" s="122"/>
      <c r="Y19" s="120" t="s">
        <v>153</v>
      </c>
      <c r="Z19" s="491">
        <v>0.1943</v>
      </c>
      <c r="AB19" s="254" t="s">
        <v>151</v>
      </c>
      <c r="AC19" s="255" t="s">
        <v>162</v>
      </c>
      <c r="AE19" s="199" t="s">
        <v>163</v>
      </c>
      <c r="AH19" s="117" t="s">
        <v>149</v>
      </c>
      <c r="AI19" s="176" t="s">
        <v>161</v>
      </c>
      <c r="AK19" s="117" t="s">
        <v>373</v>
      </c>
      <c r="AL19" s="176" t="s">
        <v>779</v>
      </c>
      <c r="AN19" s="179"/>
      <c r="AO19" s="119"/>
      <c r="AQ19" s="117" t="s">
        <v>1063</v>
      </c>
      <c r="AR19" s="176" t="s">
        <v>1065</v>
      </c>
      <c r="AT19" s="36" t="s">
        <v>489</v>
      </c>
      <c r="AU19" s="180">
        <f>+AU18+AU16+AU15+AU14</f>
        <v>4.5126829268292493E-2</v>
      </c>
    </row>
    <row r="20" spans="1:49" ht="13.8" thickBot="1" x14ac:dyDescent="0.3">
      <c r="A20" s="120" t="s">
        <v>60</v>
      </c>
      <c r="B20" s="121">
        <f>0.0022+0.0072+0.0131</f>
        <v>2.2499999999999999E-2</v>
      </c>
      <c r="C20" s="122"/>
      <c r="D20" s="120" t="s">
        <v>60</v>
      </c>
      <c r="E20" s="131">
        <f>0.0072+0.0022+0.0131</f>
        <v>2.2499999999999999E-2</v>
      </c>
      <c r="F20" s="124"/>
      <c r="G20" s="268" t="s">
        <v>60</v>
      </c>
      <c r="H20" s="213">
        <f>0.0022+0.0072+0.0225</f>
        <v>3.1899999999999998E-2</v>
      </c>
      <c r="I20" s="122"/>
      <c r="J20" s="212" t="s">
        <v>60</v>
      </c>
      <c r="K20" s="213">
        <f>0.0022</f>
        <v>2.2000000000000001E-3</v>
      </c>
      <c r="L20" s="122"/>
      <c r="M20" s="234" t="s">
        <v>60</v>
      </c>
      <c r="N20" s="235">
        <f>0.0022+0.0072</f>
        <v>9.4000000000000004E-3</v>
      </c>
      <c r="O20" s="122"/>
      <c r="P20" s="320" t="s">
        <v>60</v>
      </c>
      <c r="Q20" s="321">
        <f>0.0022+0.0072</f>
        <v>9.4000000000000004E-3</v>
      </c>
      <c r="R20" s="322"/>
      <c r="S20" s="120" t="s">
        <v>60</v>
      </c>
      <c r="T20" s="491">
        <v>2.2000000000000001E-3</v>
      </c>
      <c r="U20" s="122"/>
      <c r="V20" s="120" t="s">
        <v>60</v>
      </c>
      <c r="W20" s="491">
        <f>0.0022+0.0072</f>
        <v>9.4000000000000004E-3</v>
      </c>
      <c r="X20" s="122"/>
      <c r="Y20" s="120" t="s">
        <v>60</v>
      </c>
      <c r="Z20" s="121">
        <v>2.2000000000000001E-3</v>
      </c>
      <c r="AB20" s="256" t="s">
        <v>153</v>
      </c>
      <c r="AC20" s="235">
        <v>0</v>
      </c>
      <c r="AE20" s="268" t="s">
        <v>153</v>
      </c>
      <c r="AF20" s="213">
        <f>0.0303+0.002</f>
        <v>3.2300000000000002E-2</v>
      </c>
      <c r="AH20" s="120" t="s">
        <v>153</v>
      </c>
      <c r="AI20" s="121">
        <v>5.4000000000000003E-3</v>
      </c>
      <c r="AK20" s="120" t="s">
        <v>153</v>
      </c>
      <c r="AL20" s="121">
        <v>9.1999999999999998E-3</v>
      </c>
      <c r="AN20" s="181"/>
      <c r="AO20" s="122"/>
      <c r="AQ20" s="120" t="s">
        <v>153</v>
      </c>
      <c r="AR20" s="121">
        <f>0.0001</f>
        <v>1E-4</v>
      </c>
      <c r="AT20" s="36" t="s">
        <v>490</v>
      </c>
      <c r="AU20" s="182"/>
      <c r="AW20" s="36" t="s">
        <v>232</v>
      </c>
    </row>
    <row r="21" spans="1:49" ht="13.8" thickTop="1" x14ac:dyDescent="0.25">
      <c r="A21" s="120" t="s">
        <v>853</v>
      </c>
      <c r="B21" s="123">
        <f>B6/(1-0.0081)-B6</f>
        <v>2.8663171690694433E-2</v>
      </c>
      <c r="C21" s="124"/>
      <c r="D21" s="120" t="s">
        <v>853</v>
      </c>
      <c r="E21" s="123">
        <f>(E6)/(1-0.0081)-E6</f>
        <v>2.8663171690694433E-2</v>
      </c>
      <c r="F21" s="127"/>
      <c r="G21" s="268" t="s">
        <v>412</v>
      </c>
      <c r="H21" s="269">
        <f>(H3)/(1-0.0244)-H3</f>
        <v>8.1408364083640716E-2</v>
      </c>
      <c r="I21" s="124"/>
      <c r="J21" s="212" t="s">
        <v>822</v>
      </c>
      <c r="K21" s="214">
        <f>(K5)/(1-0.0257)-K5</f>
        <v>8.6123883814020363E-2</v>
      </c>
      <c r="L21" s="124"/>
      <c r="M21" s="234" t="s">
        <v>825</v>
      </c>
      <c r="N21" s="236">
        <f>(N5)/(1-0.797)-N5</f>
        <v>12.818743842364537</v>
      </c>
      <c r="O21" s="124"/>
      <c r="P21" s="320" t="s">
        <v>719</v>
      </c>
      <c r="Q21" s="323">
        <f>+Q$3/(1-0.015)-Q$3</f>
        <v>5.1395939086294362E-2</v>
      </c>
      <c r="R21" s="324"/>
      <c r="S21" s="120" t="s">
        <v>1115</v>
      </c>
      <c r="T21" s="123">
        <f>+T3/(1-0.00603)-T3</f>
        <v>2.0323047979315056E-2</v>
      </c>
      <c r="U21" s="124"/>
      <c r="V21" s="120" t="s">
        <v>880</v>
      </c>
      <c r="W21" s="123">
        <f>+W3/(1-0.02184)-W3</f>
        <v>7.8370000817861829E-2</v>
      </c>
      <c r="X21" s="124"/>
      <c r="Y21" s="120" t="s">
        <v>154</v>
      </c>
      <c r="Z21" s="123">
        <f>(Z3)/(1-0.0228)-Z3</f>
        <v>8.3411788784281793E-2</v>
      </c>
      <c r="AB21" s="256" t="s">
        <v>60</v>
      </c>
      <c r="AC21" s="235">
        <f>0.0022+0.0072</f>
        <v>9.4000000000000004E-3</v>
      </c>
      <c r="AE21" s="268" t="s">
        <v>60</v>
      </c>
      <c r="AF21" s="213">
        <f>0.0072+0.0022</f>
        <v>9.4000000000000004E-3</v>
      </c>
      <c r="AH21" s="120" t="s">
        <v>60</v>
      </c>
      <c r="AI21" s="121">
        <f>0.0022+0.0072+0.0012</f>
        <v>1.06E-2</v>
      </c>
      <c r="AK21" s="120" t="s">
        <v>60</v>
      </c>
      <c r="AL21" s="121">
        <f>0.0022+0.0072</f>
        <v>9.4000000000000004E-3</v>
      </c>
      <c r="AN21" s="181"/>
      <c r="AO21" s="122"/>
      <c r="AQ21" s="120" t="s">
        <v>60</v>
      </c>
      <c r="AR21" s="121">
        <f>0.0072+0.0022</f>
        <v>9.4000000000000004E-3</v>
      </c>
    </row>
    <row r="22" spans="1:49" x14ac:dyDescent="0.25">
      <c r="A22" s="125" t="s">
        <v>47</v>
      </c>
      <c r="B22" s="126">
        <f>SUM(B19:B21)</f>
        <v>5.616317169069443E-2</v>
      </c>
      <c r="C22" s="127"/>
      <c r="D22" s="120"/>
      <c r="E22" s="126">
        <f>SUM(E19:E21)</f>
        <v>0.14106317169069443</v>
      </c>
      <c r="F22" s="127"/>
      <c r="G22" s="270"/>
      <c r="H22" s="215">
        <f>SUM(H19:H21)</f>
        <v>0.18020836408364072</v>
      </c>
      <c r="I22" s="127"/>
      <c r="J22" s="212"/>
      <c r="K22" s="215">
        <f>SUM(K19:K21)</f>
        <v>0.10702388381402037</v>
      </c>
      <c r="L22" s="127"/>
      <c r="M22" s="234"/>
      <c r="N22" s="237">
        <f>SUM(N19:N21)</f>
        <v>13.493043842364537</v>
      </c>
      <c r="O22" s="127"/>
      <c r="P22" s="325"/>
      <c r="Q22" s="326">
        <f>SUM(Q19:Q21)</f>
        <v>6.8795939086294361E-2</v>
      </c>
      <c r="R22" s="327"/>
      <c r="S22" s="125"/>
      <c r="T22" s="126">
        <f>SUM(T19:T21)</f>
        <v>2.4223047979315057E-2</v>
      </c>
      <c r="U22" s="127"/>
      <c r="V22" s="125"/>
      <c r="W22" s="126">
        <f>SUM(W19:W21)</f>
        <v>0.24187000081786181</v>
      </c>
      <c r="X22" s="127"/>
      <c r="Y22" s="125"/>
      <c r="Z22" s="126">
        <f>SUM(Z19:Z21)</f>
        <v>0.2799117887842818</v>
      </c>
      <c r="AB22" s="256" t="s">
        <v>695</v>
      </c>
      <c r="AC22" s="236">
        <f>+AC3/(1-0.0111)-AC3</f>
        <v>4.1025887349580348E-2</v>
      </c>
      <c r="AE22" s="268" t="s">
        <v>648</v>
      </c>
      <c r="AF22" s="214">
        <f>+AF3/(1-0.0268)-AF3</f>
        <v>9.2252363337443466E-2</v>
      </c>
      <c r="AH22" s="120" t="s">
        <v>1077</v>
      </c>
      <c r="AI22" s="123">
        <f>+AI3/(1-0)-AI3</f>
        <v>0</v>
      </c>
      <c r="AK22" s="120" t="s">
        <v>610</v>
      </c>
      <c r="AL22" s="123">
        <f>+AL3/(1-0.03)-AL3</f>
        <v>0.1105670103092784</v>
      </c>
      <c r="AN22" s="181"/>
      <c r="AO22" s="124"/>
      <c r="AQ22" s="120" t="s">
        <v>1068</v>
      </c>
      <c r="AR22" s="123">
        <f>+AR3/(1-0.02)-AR3</f>
        <v>7.1530612244897984E-2</v>
      </c>
    </row>
    <row r="23" spans="1:49" x14ac:dyDescent="0.25">
      <c r="A23" s="128" t="s">
        <v>22</v>
      </c>
      <c r="B23" s="118" t="s">
        <v>164</v>
      </c>
      <c r="C23" s="119"/>
      <c r="D23" s="177" t="s">
        <v>22</v>
      </c>
      <c r="E23" s="126" t="s">
        <v>165</v>
      </c>
      <c r="F23" s="129"/>
      <c r="G23" s="271" t="s">
        <v>36</v>
      </c>
      <c r="H23" s="272" t="s">
        <v>984</v>
      </c>
      <c r="I23" s="127"/>
      <c r="J23" s="216" t="s">
        <v>142</v>
      </c>
      <c r="K23" s="217" t="s">
        <v>167</v>
      </c>
      <c r="L23" s="127"/>
      <c r="M23" s="232" t="s">
        <v>142</v>
      </c>
      <c r="N23" s="233" t="s">
        <v>203</v>
      </c>
      <c r="O23" s="127"/>
      <c r="P23" s="328" t="s">
        <v>713</v>
      </c>
      <c r="Q23" s="329" t="s">
        <v>717</v>
      </c>
      <c r="R23" s="319"/>
      <c r="S23" s="128" t="s">
        <v>144</v>
      </c>
      <c r="T23" s="178" t="s">
        <v>431</v>
      </c>
      <c r="U23" s="119"/>
      <c r="V23" s="128" t="s">
        <v>145</v>
      </c>
      <c r="W23" s="178" t="s">
        <v>168</v>
      </c>
      <c r="X23" s="119"/>
      <c r="Y23" s="119"/>
      <c r="Z23" s="119"/>
      <c r="AB23" s="258"/>
      <c r="AC23" s="237">
        <f>SUM(AC20:AC22)</f>
        <v>5.0425887349580346E-2</v>
      </c>
      <c r="AE23" s="270"/>
      <c r="AF23" s="215">
        <f>SUM(AF20:AF22)</f>
        <v>0.13395236333744348</v>
      </c>
      <c r="AH23" s="125"/>
      <c r="AI23" s="126">
        <f>SUM(AI20:AI22)</f>
        <v>1.6E-2</v>
      </c>
      <c r="AK23" s="125"/>
      <c r="AL23" s="126">
        <f>SUM(AL20:AL22)</f>
        <v>0.12916701030927841</v>
      </c>
      <c r="AN23" s="78"/>
      <c r="AO23" s="127"/>
      <c r="AQ23" s="125"/>
      <c r="AR23" s="126">
        <f>SUM(AR20:AR22)</f>
        <v>8.1030612244897979E-2</v>
      </c>
    </row>
    <row r="24" spans="1:49" x14ac:dyDescent="0.25">
      <c r="A24" s="120" t="s">
        <v>153</v>
      </c>
      <c r="B24" s="121">
        <v>7.4999999999999997E-3</v>
      </c>
      <c r="C24" s="122"/>
      <c r="D24" s="120" t="s">
        <v>153</v>
      </c>
      <c r="E24" s="131">
        <v>0.12429999999999999</v>
      </c>
      <c r="F24" s="129"/>
      <c r="G24" s="268" t="s">
        <v>153</v>
      </c>
      <c r="H24" s="213">
        <v>8.7999999999999995E-2</v>
      </c>
      <c r="I24" s="129"/>
      <c r="J24" s="212" t="s">
        <v>153</v>
      </c>
      <c r="K24" s="213">
        <v>2.3599999999999999E-2</v>
      </c>
      <c r="L24" s="129"/>
      <c r="M24" s="234" t="s">
        <v>153</v>
      </c>
      <c r="N24" s="235">
        <v>0.41639999999999999</v>
      </c>
      <c r="O24" s="129"/>
      <c r="P24" s="320" t="s">
        <v>153</v>
      </c>
      <c r="Q24" s="321">
        <v>1.2999999999999999E-2</v>
      </c>
      <c r="R24" s="322"/>
      <c r="S24" s="120" t="s">
        <v>153</v>
      </c>
      <c r="T24" s="491">
        <v>1.7000000000000001E-2</v>
      </c>
      <c r="U24" s="122"/>
      <c r="V24" s="120" t="s">
        <v>153</v>
      </c>
      <c r="W24" s="491">
        <v>0.21970000000000001</v>
      </c>
      <c r="X24" s="122"/>
      <c r="Y24" s="117" t="s">
        <v>147</v>
      </c>
      <c r="Z24" s="176" t="s">
        <v>663</v>
      </c>
      <c r="AN24" s="78"/>
      <c r="AO24" s="78"/>
    </row>
    <row r="25" spans="1:49" x14ac:dyDescent="0.25">
      <c r="A25" s="120" t="s">
        <v>60</v>
      </c>
      <c r="B25" s="121">
        <f>0.0022+0.0072+0.0131</f>
        <v>2.2499999999999999E-2</v>
      </c>
      <c r="C25" s="122"/>
      <c r="D25" s="120" t="s">
        <v>60</v>
      </c>
      <c r="E25" s="131">
        <f>0.0072+0.0022+0.0131</f>
        <v>2.2499999999999999E-2</v>
      </c>
      <c r="F25" s="124"/>
      <c r="G25" s="268" t="s">
        <v>60</v>
      </c>
      <c r="H25" s="213">
        <f>0.0022+0.0072</f>
        <v>9.4000000000000004E-3</v>
      </c>
      <c r="I25" s="129"/>
      <c r="J25" s="212" t="s">
        <v>60</v>
      </c>
      <c r="K25" s="213">
        <f>0.0022+0.0072</f>
        <v>9.4000000000000004E-3</v>
      </c>
      <c r="L25" s="129"/>
      <c r="M25" s="234" t="s">
        <v>60</v>
      </c>
      <c r="N25" s="235">
        <f>0.0022+0.0072</f>
        <v>9.4000000000000004E-3</v>
      </c>
      <c r="O25" s="129"/>
      <c r="P25" s="320" t="s">
        <v>60</v>
      </c>
      <c r="Q25" s="321">
        <f>0.0022+0.0072</f>
        <v>9.4000000000000004E-3</v>
      </c>
      <c r="R25" s="322"/>
      <c r="S25" s="120" t="s">
        <v>60</v>
      </c>
      <c r="T25" s="491">
        <v>2.2000000000000001E-3</v>
      </c>
      <c r="U25" s="122"/>
      <c r="V25" s="120" t="s">
        <v>60</v>
      </c>
      <c r="W25" s="491">
        <f>0.0022+0.0072</f>
        <v>9.4000000000000004E-3</v>
      </c>
      <c r="X25" s="122"/>
      <c r="Y25" s="120" t="s">
        <v>153</v>
      </c>
      <c r="Z25" s="121">
        <v>0.15</v>
      </c>
      <c r="AB25" s="191" t="s">
        <v>404</v>
      </c>
      <c r="AE25" s="199" t="s">
        <v>176</v>
      </c>
      <c r="AH25" s="117" t="s">
        <v>149</v>
      </c>
      <c r="AI25" s="176" t="s">
        <v>385</v>
      </c>
      <c r="AK25" s="179"/>
      <c r="AL25" s="119"/>
      <c r="AN25" s="179"/>
      <c r="AO25" s="119"/>
      <c r="AQ25" s="117" t="s">
        <v>1063</v>
      </c>
      <c r="AR25" s="176" t="s">
        <v>1066</v>
      </c>
    </row>
    <row r="26" spans="1:49" x14ac:dyDescent="0.25">
      <c r="A26" s="120" t="s">
        <v>854</v>
      </c>
      <c r="B26" s="123">
        <f>B6/(1-0.0126)-B6</f>
        <v>4.4790358517317941E-2</v>
      </c>
      <c r="C26" s="124"/>
      <c r="D26" s="120" t="s">
        <v>854</v>
      </c>
      <c r="E26" s="123">
        <f>E6/(1-0.0126)-E6</f>
        <v>4.4790358517317941E-2</v>
      </c>
      <c r="F26" s="127"/>
      <c r="G26" s="268" t="s">
        <v>413</v>
      </c>
      <c r="H26" s="269">
        <f>(H3)/(1-0.0443)-H3</f>
        <v>0.15088050643507378</v>
      </c>
      <c r="I26" s="124"/>
      <c r="J26" s="212" t="s">
        <v>823</v>
      </c>
      <c r="K26" s="214">
        <f>(K5)/(1-0.0332)-K5</f>
        <v>0.11212039718659517</v>
      </c>
      <c r="L26" s="124"/>
      <c r="M26" s="234" t="s">
        <v>827</v>
      </c>
      <c r="N26" s="236">
        <f>(N4)/(1-0.064)-N4</f>
        <v>0.22564102564102573</v>
      </c>
      <c r="O26" s="124"/>
      <c r="P26" s="320" t="s">
        <v>720</v>
      </c>
      <c r="Q26" s="323">
        <f>+Q$3/(1-0.023)-Q$3</f>
        <v>7.9452405322415487E-2</v>
      </c>
      <c r="R26" s="324"/>
      <c r="S26" s="120" t="s">
        <v>1116</v>
      </c>
      <c r="T26" s="123">
        <f>+T4/(1-0.0282)-T4</f>
        <v>9.8952459353776501E-2</v>
      </c>
      <c r="U26" s="124"/>
      <c r="V26" s="120" t="s">
        <v>880</v>
      </c>
      <c r="W26" s="123">
        <f>+W3/(1-0.02184)-W3</f>
        <v>7.8370000817861829E-2</v>
      </c>
      <c r="X26" s="124"/>
      <c r="Y26" s="120" t="s">
        <v>60</v>
      </c>
      <c r="Z26" s="121">
        <v>2.2000000000000001E-3</v>
      </c>
      <c r="AB26" s="191" t="s">
        <v>1086</v>
      </c>
      <c r="AE26" s="268" t="s">
        <v>153</v>
      </c>
      <c r="AF26" s="213">
        <f>0.0275+0.002</f>
        <v>2.9499999999999998E-2</v>
      </c>
      <c r="AH26" s="120" t="s">
        <v>153</v>
      </c>
      <c r="AI26" s="121">
        <v>0.46929999999999999</v>
      </c>
      <c r="AK26" s="181"/>
      <c r="AL26" s="122"/>
      <c r="AN26" s="181"/>
      <c r="AO26" s="122"/>
      <c r="AQ26" s="120" t="s">
        <v>153</v>
      </c>
      <c r="AR26" s="121">
        <v>8.9999999999999998E-4</v>
      </c>
    </row>
    <row r="27" spans="1:49" x14ac:dyDescent="0.25">
      <c r="A27" s="125"/>
      <c r="B27" s="126">
        <f>SUM(B24:B26)</f>
        <v>7.479035851731794E-2</v>
      </c>
      <c r="C27" s="127"/>
      <c r="D27" s="120"/>
      <c r="E27" s="126">
        <f>SUM(E24:E26)</f>
        <v>0.19159035851731793</v>
      </c>
      <c r="F27" s="119"/>
      <c r="G27" s="270"/>
      <c r="H27" s="215">
        <f>SUM(H24:H26)</f>
        <v>0.24828050643507377</v>
      </c>
      <c r="I27" s="127"/>
      <c r="J27" s="212"/>
      <c r="K27" s="215">
        <f>SUM(K24:K26)</f>
        <v>0.14512039718659517</v>
      </c>
      <c r="L27" s="127"/>
      <c r="M27" s="234"/>
      <c r="N27" s="237">
        <f>SUM(N24:N26)</f>
        <v>0.65144102564102568</v>
      </c>
      <c r="O27" s="127"/>
      <c r="P27" s="325"/>
      <c r="Q27" s="326">
        <f>SUM(Q24:Q26)</f>
        <v>0.10185240532241549</v>
      </c>
      <c r="R27" s="327"/>
      <c r="S27" s="125"/>
      <c r="T27" s="126">
        <f>SUM(T24:T26)</f>
        <v>0.1181524593537765</v>
      </c>
      <c r="U27" s="127"/>
      <c r="V27" s="125"/>
      <c r="W27" s="126">
        <f>SUM(W24:W26)</f>
        <v>0.3074700008178618</v>
      </c>
      <c r="X27" s="127"/>
      <c r="Y27" s="120" t="s">
        <v>154</v>
      </c>
      <c r="Z27" s="123">
        <f>(Z3)/(1-0.0228)-Z3</f>
        <v>8.3411788784281793E-2</v>
      </c>
      <c r="AB27" s="191" t="s">
        <v>651</v>
      </c>
      <c r="AE27" s="268" t="s">
        <v>60</v>
      </c>
      <c r="AF27" s="213">
        <f>0.0072+0.0022</f>
        <v>9.4000000000000004E-3</v>
      </c>
      <c r="AH27" s="120" t="s">
        <v>60</v>
      </c>
      <c r="AI27" s="121">
        <f>0.0022+0.0072+0.0012</f>
        <v>1.06E-2</v>
      </c>
      <c r="AK27" s="181"/>
      <c r="AL27" s="122"/>
      <c r="AN27" s="181"/>
      <c r="AO27" s="122"/>
      <c r="AQ27" s="120" t="s">
        <v>60</v>
      </c>
      <c r="AR27" s="121">
        <f>0.0072+0.0022</f>
        <v>9.4000000000000004E-3</v>
      </c>
    </row>
    <row r="28" spans="1:49" x14ac:dyDescent="0.25">
      <c r="A28" s="117" t="s">
        <v>22</v>
      </c>
      <c r="B28" s="118" t="s">
        <v>209</v>
      </c>
      <c r="D28" s="36" t="s">
        <v>22</v>
      </c>
      <c r="E28" s="36" t="s">
        <v>494</v>
      </c>
      <c r="F28" s="122"/>
      <c r="G28" s="271" t="s">
        <v>36</v>
      </c>
      <c r="H28" s="273" t="s">
        <v>985</v>
      </c>
      <c r="I28" s="119"/>
      <c r="J28" s="210" t="s">
        <v>142</v>
      </c>
      <c r="K28" s="211" t="s">
        <v>173</v>
      </c>
      <c r="L28" s="119"/>
      <c r="M28" s="232" t="s">
        <v>142</v>
      </c>
      <c r="N28" s="233" t="s">
        <v>207</v>
      </c>
      <c r="O28" s="119"/>
      <c r="P28" s="328" t="s">
        <v>713</v>
      </c>
      <c r="Q28" s="329" t="s">
        <v>718</v>
      </c>
      <c r="S28" s="117" t="s">
        <v>144</v>
      </c>
      <c r="T28" s="176" t="s">
        <v>174</v>
      </c>
      <c r="V28" s="117" t="s">
        <v>145</v>
      </c>
      <c r="W28" s="176" t="s">
        <v>175</v>
      </c>
      <c r="Y28" s="125"/>
      <c r="Z28" s="126">
        <f>SUM(Z25:Z27)</f>
        <v>0.23561178878428179</v>
      </c>
      <c r="AB28" s="191" t="s">
        <v>650</v>
      </c>
      <c r="AE28" s="268" t="s">
        <v>648</v>
      </c>
      <c r="AF28" s="214">
        <f>+AF3/(1-0.0268)-AF3</f>
        <v>9.2252363337443466E-2</v>
      </c>
      <c r="AH28" s="120" t="s">
        <v>1077</v>
      </c>
      <c r="AI28" s="123">
        <f>+AI3/(1-0)-AI3</f>
        <v>0</v>
      </c>
      <c r="AK28" s="181"/>
      <c r="AL28" s="124"/>
      <c r="AN28" s="181"/>
      <c r="AO28" s="124"/>
      <c r="AQ28" s="120" t="s">
        <v>1068</v>
      </c>
      <c r="AR28" s="123">
        <f>+AR3/(1-0.02)-AR3</f>
        <v>7.1530612244897984E-2</v>
      </c>
    </row>
    <row r="29" spans="1:49" x14ac:dyDescent="0.25">
      <c r="A29" s="120" t="s">
        <v>153</v>
      </c>
      <c r="B29" s="121">
        <v>1.8599999999999998E-2</v>
      </c>
      <c r="D29" s="120" t="s">
        <v>153</v>
      </c>
      <c r="E29" s="131">
        <v>0.25109999999999999</v>
      </c>
      <c r="F29" s="122"/>
      <c r="G29" s="270" t="s">
        <v>153</v>
      </c>
      <c r="H29" s="213">
        <v>9.7799999999999998E-2</v>
      </c>
      <c r="I29" s="122"/>
      <c r="J29" s="212" t="s">
        <v>153</v>
      </c>
      <c r="K29" s="213">
        <v>7.0800000000000002E-2</v>
      </c>
      <c r="L29" s="122"/>
      <c r="M29" s="234" t="s">
        <v>153</v>
      </c>
      <c r="N29" s="235">
        <v>0.52100000000000002</v>
      </c>
      <c r="O29" s="122"/>
      <c r="P29" s="320" t="s">
        <v>153</v>
      </c>
      <c r="Q29" s="321">
        <v>2.1000000000000001E-2</v>
      </c>
      <c r="S29" s="120" t="s">
        <v>153</v>
      </c>
      <c r="T29" s="491">
        <v>8.7999999999999995E-2</v>
      </c>
      <c r="V29" s="120" t="s">
        <v>153</v>
      </c>
      <c r="W29" s="121" t="s">
        <v>177</v>
      </c>
      <c r="Y29" s="122" t="s">
        <v>47</v>
      </c>
      <c r="Z29" s="122" t="s">
        <v>47</v>
      </c>
      <c r="AE29" s="270"/>
      <c r="AF29" s="215">
        <f>SUM(AF26:AF28)</f>
        <v>0.13115236333744346</v>
      </c>
      <c r="AH29" s="125"/>
      <c r="AI29" s="126">
        <f>SUM(AI26:AI28)</f>
        <v>0.47989999999999999</v>
      </c>
      <c r="AK29" s="78"/>
      <c r="AL29" s="127"/>
      <c r="AN29" s="78"/>
      <c r="AO29" s="127"/>
      <c r="AQ29" s="125"/>
      <c r="AR29" s="126">
        <f>SUM(AR26:AR28)</f>
        <v>8.1830612244897988E-2</v>
      </c>
    </row>
    <row r="30" spans="1:49" x14ac:dyDescent="0.25">
      <c r="A30" s="120" t="s">
        <v>60</v>
      </c>
      <c r="B30" s="121">
        <f>0.0022+0.0072+0.0131</f>
        <v>2.2499999999999999E-2</v>
      </c>
      <c r="C30" s="129"/>
      <c r="D30" s="120" t="s">
        <v>60</v>
      </c>
      <c r="E30" s="131">
        <f>0.0072+0.0131+0.0022</f>
        <v>2.2499999999999999E-2</v>
      </c>
      <c r="F30" s="124"/>
      <c r="G30" s="270" t="s">
        <v>60</v>
      </c>
      <c r="H30" s="213">
        <f>0.0022</f>
        <v>2.2000000000000001E-3</v>
      </c>
      <c r="I30" s="122"/>
      <c r="J30" s="212" t="s">
        <v>60</v>
      </c>
      <c r="K30" s="213">
        <f>0.0022+0.0072</f>
        <v>9.4000000000000004E-3</v>
      </c>
      <c r="L30" s="122"/>
      <c r="M30" s="234" t="s">
        <v>60</v>
      </c>
      <c r="N30" s="235">
        <f>0.0022+0.0072</f>
        <v>9.4000000000000004E-3</v>
      </c>
      <c r="O30" s="122"/>
      <c r="P30" s="320" t="s">
        <v>60</v>
      </c>
      <c r="Q30" s="321">
        <f>0.0022+0.0072</f>
        <v>9.4000000000000004E-3</v>
      </c>
      <c r="R30" s="332"/>
      <c r="S30" s="120" t="s">
        <v>60</v>
      </c>
      <c r="T30" s="491">
        <v>2.2000000000000001E-3</v>
      </c>
      <c r="U30" s="129"/>
      <c r="V30" s="120" t="s">
        <v>60</v>
      </c>
      <c r="W30" s="121">
        <v>0</v>
      </c>
      <c r="X30" s="129"/>
      <c r="Y30" s="122" t="s">
        <v>47</v>
      </c>
      <c r="Z30" s="122" t="s">
        <v>47</v>
      </c>
      <c r="AB30" s="254" t="s">
        <v>151</v>
      </c>
      <c r="AC30" s="255" t="s">
        <v>152</v>
      </c>
      <c r="AL30" s="183"/>
      <c r="AN30" s="78"/>
      <c r="AO30" s="184"/>
    </row>
    <row r="31" spans="1:49" x14ac:dyDescent="0.25">
      <c r="A31" s="120" t="s">
        <v>855</v>
      </c>
      <c r="B31" s="123">
        <f>B6/(1-0.0316)-B6</f>
        <v>0.11453531598513012</v>
      </c>
      <c r="C31" s="124"/>
      <c r="D31" s="120" t="s">
        <v>855</v>
      </c>
      <c r="E31" s="123">
        <f>+E6/(1-0.0316)-E6</f>
        <v>0.11453531598513012</v>
      </c>
      <c r="F31" s="127"/>
      <c r="G31" s="270" t="s">
        <v>414</v>
      </c>
      <c r="H31" s="269">
        <f>(H3)/(1-0.0504)-H3</f>
        <v>0.1727590564448187</v>
      </c>
      <c r="I31" s="124"/>
      <c r="J31" s="212" t="s">
        <v>381</v>
      </c>
      <c r="K31" s="214">
        <f>(K5)/(1-0.0564)-K5</f>
        <v>0.19515260703688009</v>
      </c>
      <c r="L31" s="124"/>
      <c r="M31" s="234" t="s">
        <v>828</v>
      </c>
      <c r="N31" s="236">
        <f>(N4)/(1-0.0733)-N4</f>
        <v>0.26102298478472008</v>
      </c>
      <c r="O31" s="124"/>
      <c r="P31" s="320" t="s">
        <v>721</v>
      </c>
      <c r="Q31" s="323">
        <f>+Q$3/(1-0.026)-Q$3</f>
        <v>9.0092402464065913E-2</v>
      </c>
      <c r="R31" s="324"/>
      <c r="S31" s="120" t="s">
        <v>1117</v>
      </c>
      <c r="T31" s="123">
        <f>(+T3-0.108)/(1-0.00489)-(T3-0.108)</f>
        <v>1.5931283978655397E-2</v>
      </c>
      <c r="U31" s="124"/>
      <c r="V31" s="120" t="s">
        <v>880</v>
      </c>
      <c r="W31" s="123">
        <f>+W3/(1-0.02184)-W3</f>
        <v>7.8370000817861829E-2</v>
      </c>
      <c r="X31" s="124"/>
      <c r="Y31" s="124"/>
      <c r="Z31" s="124"/>
      <c r="AB31" s="256" t="s">
        <v>153</v>
      </c>
      <c r="AC31" s="235">
        <v>1.12E-2</v>
      </c>
      <c r="AE31" s="199" t="s">
        <v>184</v>
      </c>
      <c r="AH31" s="117" t="s">
        <v>149</v>
      </c>
      <c r="AI31" s="176" t="s">
        <v>399</v>
      </c>
      <c r="AL31" s="183"/>
      <c r="AO31" s="183"/>
      <c r="AQ31" s="117" t="s">
        <v>1063</v>
      </c>
      <c r="AR31" s="176" t="s">
        <v>1067</v>
      </c>
    </row>
    <row r="32" spans="1:49" x14ac:dyDescent="0.25">
      <c r="A32" s="125"/>
      <c r="B32" s="126">
        <f>SUM(B29:B31)</f>
        <v>0.15563531598513011</v>
      </c>
      <c r="C32" s="127"/>
      <c r="D32" s="120"/>
      <c r="E32" s="126">
        <f>SUM(E29:E31)</f>
        <v>0.38813531598513012</v>
      </c>
      <c r="F32" s="119"/>
      <c r="G32" s="270"/>
      <c r="H32" s="215">
        <f>SUM(H29:H31)</f>
        <v>0.27275905644481868</v>
      </c>
      <c r="I32" s="127"/>
      <c r="J32" s="212"/>
      <c r="K32" s="215">
        <f>SUM(K29:K31)</f>
        <v>0.27535260703688008</v>
      </c>
      <c r="L32" s="127"/>
      <c r="M32" s="234"/>
      <c r="N32" s="237">
        <f>SUM(N29:N31)</f>
        <v>0.79142298478472006</v>
      </c>
      <c r="O32" s="127"/>
      <c r="P32" s="325"/>
      <c r="Q32" s="326">
        <f>SUM(Q29:Q31)</f>
        <v>0.12049240246406592</v>
      </c>
      <c r="R32" s="327"/>
      <c r="S32" s="125"/>
      <c r="T32" s="126">
        <f>SUM(T29:T31)</f>
        <v>0.10613128397865539</v>
      </c>
      <c r="U32" s="127"/>
      <c r="V32" s="125"/>
      <c r="W32" s="126">
        <f>SUM(W29:W31)</f>
        <v>7.8370000817861829E-2</v>
      </c>
      <c r="X32" s="127"/>
      <c r="Y32" s="127"/>
      <c r="Z32" s="127"/>
      <c r="AB32" s="256" t="s">
        <v>60</v>
      </c>
      <c r="AC32" s="235">
        <f>0.0022+0.0072</f>
        <v>9.4000000000000004E-3</v>
      </c>
      <c r="AE32" s="268" t="s">
        <v>153</v>
      </c>
      <c r="AF32" s="213">
        <f>0.0152+0.002</f>
        <v>1.72E-2</v>
      </c>
      <c r="AH32" s="120" t="s">
        <v>153</v>
      </c>
      <c r="AI32" s="121">
        <v>0.115</v>
      </c>
      <c r="AK32" s="185"/>
      <c r="AN32" s="185"/>
      <c r="AQ32" s="120" t="s">
        <v>153</v>
      </c>
      <c r="AR32" s="121">
        <v>2.9999999999999997E-4</v>
      </c>
    </row>
    <row r="33" spans="1:44" x14ac:dyDescent="0.25">
      <c r="A33" s="117" t="s">
        <v>22</v>
      </c>
      <c r="B33" s="118" t="s">
        <v>170</v>
      </c>
      <c r="C33" s="119"/>
      <c r="D33" s="36" t="s">
        <v>22</v>
      </c>
      <c r="E33" s="36" t="s">
        <v>171</v>
      </c>
      <c r="F33" s="122"/>
      <c r="G33" s="271" t="s">
        <v>36</v>
      </c>
      <c r="H33" s="273" t="s">
        <v>986</v>
      </c>
      <c r="I33" s="119"/>
      <c r="J33" s="210" t="s">
        <v>142</v>
      </c>
      <c r="K33" s="211" t="s">
        <v>182</v>
      </c>
      <c r="L33" s="119"/>
      <c r="M33" s="232" t="s">
        <v>142</v>
      </c>
      <c r="N33" s="233" t="s">
        <v>225</v>
      </c>
      <c r="O33" s="119"/>
      <c r="P33" s="330"/>
      <c r="Q33" s="319"/>
      <c r="R33" s="319"/>
      <c r="S33" s="128" t="s">
        <v>144</v>
      </c>
      <c r="T33" s="178" t="s">
        <v>183</v>
      </c>
      <c r="U33" s="119"/>
      <c r="V33" s="128" t="s">
        <v>145</v>
      </c>
      <c r="W33" s="178" t="s">
        <v>1008</v>
      </c>
      <c r="X33" s="119"/>
      <c r="Y33" s="119"/>
      <c r="Z33" s="119"/>
      <c r="AB33" s="256" t="s">
        <v>1087</v>
      </c>
      <c r="AC33" s="236">
        <f>+AC3/(1-0.0058)-AC3</f>
        <v>2.1322671494669265E-2</v>
      </c>
      <c r="AE33" s="268" t="s">
        <v>60</v>
      </c>
      <c r="AF33" s="213">
        <f>0.002+0.0072+0.0022</f>
        <v>1.14E-2</v>
      </c>
      <c r="AH33" s="120" t="s">
        <v>60</v>
      </c>
      <c r="AI33" s="121">
        <f>0.0022+0.0012</f>
        <v>3.4000000000000002E-3</v>
      </c>
      <c r="AK33" s="186"/>
      <c r="AL33" s="183"/>
      <c r="AN33" s="186"/>
      <c r="AO33" s="183"/>
      <c r="AQ33" s="120" t="s">
        <v>60</v>
      </c>
      <c r="AR33" s="121">
        <f>0.0072+0.0022</f>
        <v>9.4000000000000004E-3</v>
      </c>
    </row>
    <row r="34" spans="1:44" x14ac:dyDescent="0.25">
      <c r="A34" s="120" t="s">
        <v>153</v>
      </c>
      <c r="B34" s="121">
        <v>2.7400000000000001E-2</v>
      </c>
      <c r="C34" s="122"/>
      <c r="D34" s="120" t="s">
        <v>153</v>
      </c>
      <c r="E34" s="131">
        <v>6.9400000000000003E-2</v>
      </c>
      <c r="F34" s="122"/>
      <c r="G34" s="270" t="s">
        <v>153</v>
      </c>
      <c r="H34" s="213">
        <v>0.1118</v>
      </c>
      <c r="I34" s="122"/>
      <c r="J34" s="212" t="s">
        <v>153</v>
      </c>
      <c r="K34" s="213">
        <v>9.2200000000000004E-2</v>
      </c>
      <c r="L34" s="122"/>
      <c r="M34" s="234" t="s">
        <v>153</v>
      </c>
      <c r="N34" s="235">
        <v>0.39829999999999999</v>
      </c>
      <c r="O34" s="122"/>
      <c r="P34" s="331"/>
      <c r="Q34" s="322"/>
      <c r="R34" s="322"/>
      <c r="S34" s="120" t="s">
        <v>153</v>
      </c>
      <c r="T34" s="491">
        <v>3.6600000000000001E-2</v>
      </c>
      <c r="U34" s="122"/>
      <c r="V34" s="120" t="s">
        <v>153</v>
      </c>
      <c r="W34" s="121">
        <v>0.05</v>
      </c>
      <c r="X34" s="122"/>
      <c r="Y34" s="122"/>
      <c r="Z34" s="122"/>
      <c r="AB34" s="258"/>
      <c r="AC34" s="237">
        <f>SUM(AC31:AC33)</f>
        <v>4.1922671494669266E-2</v>
      </c>
      <c r="AE34" s="268" t="s">
        <v>649</v>
      </c>
      <c r="AF34" s="214">
        <f>+AF3/(1-0.0169)-AF3</f>
        <v>5.7588241277591212E-2</v>
      </c>
      <c r="AH34" s="120" t="s">
        <v>1077</v>
      </c>
      <c r="AI34" s="123">
        <f>+AI3/(1-0)-AI3</f>
        <v>0</v>
      </c>
      <c r="AL34" s="183"/>
      <c r="AO34" s="183"/>
      <c r="AQ34" s="120" t="s">
        <v>1068</v>
      </c>
      <c r="AR34" s="123">
        <f>+AR3/(1-0.02)-AR3</f>
        <v>7.1530612244897984E-2</v>
      </c>
    </row>
    <row r="35" spans="1:44" x14ac:dyDescent="0.25">
      <c r="A35" s="120" t="s">
        <v>60</v>
      </c>
      <c r="B35" s="121">
        <f>0.0022+0.0072+0.0131</f>
        <v>2.2499999999999999E-2</v>
      </c>
      <c r="C35" s="122"/>
      <c r="D35" s="120" t="s">
        <v>60</v>
      </c>
      <c r="E35" s="131">
        <v>0</v>
      </c>
      <c r="F35" s="124"/>
      <c r="G35" s="270" t="s">
        <v>60</v>
      </c>
      <c r="H35" s="213">
        <f>0.0022+0.0072</f>
        <v>9.4000000000000004E-3</v>
      </c>
      <c r="I35" s="122"/>
      <c r="J35" s="212" t="s">
        <v>60</v>
      </c>
      <c r="K35" s="213">
        <f>0.0022+0.0072</f>
        <v>9.4000000000000004E-3</v>
      </c>
      <c r="L35" s="122"/>
      <c r="M35" s="234" t="s">
        <v>60</v>
      </c>
      <c r="N35" s="235">
        <f>0.0022+0.0072</f>
        <v>9.4000000000000004E-3</v>
      </c>
      <c r="O35" s="122"/>
      <c r="P35" s="331"/>
      <c r="Q35" s="322"/>
      <c r="R35" s="322"/>
      <c r="S35" s="120" t="s">
        <v>60</v>
      </c>
      <c r="T35" s="491">
        <v>2.2000000000000001E-3</v>
      </c>
      <c r="U35" s="122"/>
      <c r="V35" s="120" t="s">
        <v>60</v>
      </c>
      <c r="W35" s="121">
        <f>0.0022</f>
        <v>2.2000000000000001E-3</v>
      </c>
      <c r="X35" s="122"/>
      <c r="Y35" s="122"/>
      <c r="Z35" s="122"/>
      <c r="AE35" s="270"/>
      <c r="AF35" s="215">
        <f>SUM(AF32:AF34)</f>
        <v>8.6188241277591213E-2</v>
      </c>
      <c r="AH35" s="125"/>
      <c r="AI35" s="126">
        <f>SUM(AI32:AI34)</f>
        <v>0.11840000000000001</v>
      </c>
      <c r="AL35" s="183"/>
      <c r="AO35" s="183"/>
      <c r="AQ35" s="125"/>
      <c r="AR35" s="126">
        <f>SUM(AR32:AR34)</f>
        <v>8.1230612244897984E-2</v>
      </c>
    </row>
    <row r="36" spans="1:44" x14ac:dyDescent="0.25">
      <c r="A36" s="120" t="s">
        <v>856</v>
      </c>
      <c r="B36" s="123">
        <f>B6/(1-0.0469)-B6</f>
        <v>0.17271954674220957</v>
      </c>
      <c r="C36" s="124"/>
      <c r="D36" s="120" t="s">
        <v>858</v>
      </c>
      <c r="E36" s="123">
        <f>+E5/(1-0.0046)-E5</f>
        <v>1.6405465139642583E-2</v>
      </c>
      <c r="F36" s="127"/>
      <c r="G36" s="270" t="s">
        <v>415</v>
      </c>
      <c r="H36" s="269">
        <f>(H3)/(1-0.058)-H3</f>
        <v>0.20041401273885384</v>
      </c>
      <c r="I36" s="124"/>
      <c r="J36" s="212" t="s">
        <v>824</v>
      </c>
      <c r="K36" s="214">
        <f>(K5)/(1-0.0704)-K5</f>
        <v>0.24726333907056786</v>
      </c>
      <c r="L36" s="124"/>
      <c r="M36" s="234" t="s">
        <v>830</v>
      </c>
      <c r="N36" s="236">
        <f>(N3)/(1-0.0612)-N3</f>
        <v>0.18709416276097146</v>
      </c>
      <c r="O36" s="124"/>
      <c r="P36" s="331"/>
      <c r="Q36" s="324"/>
      <c r="R36" s="324"/>
      <c r="S36" s="120" t="s">
        <v>1115</v>
      </c>
      <c r="T36" s="123">
        <f>T3/(1-0.00603)-T3</f>
        <v>2.0323047979315056E-2</v>
      </c>
      <c r="U36" s="124"/>
      <c r="V36" s="120" t="s">
        <v>880</v>
      </c>
      <c r="W36" s="123">
        <f>+W3/(1-0.02184)-W3</f>
        <v>7.8370000817861829E-2</v>
      </c>
      <c r="X36" s="124"/>
      <c r="Y36" s="124"/>
      <c r="Z36" s="124"/>
      <c r="AB36" s="254" t="s">
        <v>151</v>
      </c>
      <c r="AC36" s="255" t="s">
        <v>162</v>
      </c>
      <c r="AI36" s="192">
        <f>SUM(AI35,AI3)</f>
        <v>3.6433999999999997</v>
      </c>
      <c r="AR36" s="192"/>
    </row>
    <row r="37" spans="1:44" x14ac:dyDescent="0.25">
      <c r="A37" s="125"/>
      <c r="B37" s="126">
        <f>SUM(B34:B36)</f>
        <v>0.22261954674220957</v>
      </c>
      <c r="C37" s="127"/>
      <c r="D37" s="120"/>
      <c r="E37" s="126">
        <f>SUM(E34:E36)</f>
        <v>8.5805465139642587E-2</v>
      </c>
      <c r="F37" s="119"/>
      <c r="G37" s="270"/>
      <c r="H37" s="215">
        <f>SUM(H34:H36)</f>
        <v>0.32161401273885382</v>
      </c>
      <c r="I37" s="127"/>
      <c r="J37" s="212"/>
      <c r="K37" s="215">
        <f>SUM(K34:K36)</f>
        <v>0.34886333907056788</v>
      </c>
      <c r="L37" s="127"/>
      <c r="M37" s="234"/>
      <c r="N37" s="237">
        <f>SUM(N34:N36)</f>
        <v>0.59479416276097141</v>
      </c>
      <c r="O37" s="127"/>
      <c r="P37" s="333"/>
      <c r="Q37" s="334"/>
      <c r="R37" s="327"/>
      <c r="S37" s="125"/>
      <c r="T37" s="187">
        <f>SUM(T34:T36)</f>
        <v>5.9123047979315058E-2</v>
      </c>
      <c r="U37" s="127"/>
      <c r="V37" s="125"/>
      <c r="W37" s="126">
        <f>SUM(W34:W36)</f>
        <v>0.13057000081786183</v>
      </c>
      <c r="X37" s="127"/>
      <c r="Y37" s="127"/>
      <c r="Z37" s="127"/>
      <c r="AB37" s="256" t="s">
        <v>153</v>
      </c>
      <c r="AC37" s="235">
        <v>0</v>
      </c>
      <c r="AE37" s="199" t="s">
        <v>497</v>
      </c>
      <c r="AH37" s="117" t="s">
        <v>149</v>
      </c>
      <c r="AI37" s="176" t="s">
        <v>443</v>
      </c>
      <c r="AK37" s="185"/>
      <c r="AN37" s="185"/>
      <c r="AQ37" s="179"/>
      <c r="AR37" s="119"/>
    </row>
    <row r="38" spans="1:44" x14ac:dyDescent="0.25">
      <c r="A38" s="128" t="s">
        <v>22</v>
      </c>
      <c r="B38" s="118" t="s">
        <v>179</v>
      </c>
      <c r="C38" s="119"/>
      <c r="D38" s="177" t="s">
        <v>22</v>
      </c>
      <c r="E38" s="126" t="s">
        <v>180</v>
      </c>
      <c r="F38" s="122"/>
      <c r="G38" s="271" t="s">
        <v>36</v>
      </c>
      <c r="H38" s="273" t="s">
        <v>987</v>
      </c>
      <c r="I38" s="119"/>
      <c r="J38" s="210" t="s">
        <v>142</v>
      </c>
      <c r="K38" s="211" t="s">
        <v>188</v>
      </c>
      <c r="L38" s="119"/>
      <c r="M38" s="232" t="s">
        <v>142</v>
      </c>
      <c r="N38" s="233" t="s">
        <v>228</v>
      </c>
      <c r="O38" s="119"/>
      <c r="P38" s="330"/>
      <c r="Q38" s="319"/>
      <c r="R38" s="319"/>
      <c r="S38" s="128" t="s">
        <v>144</v>
      </c>
      <c r="T38" s="178" t="s">
        <v>432</v>
      </c>
      <c r="U38" s="119"/>
      <c r="V38" s="128"/>
      <c r="W38" s="178"/>
      <c r="X38" s="119"/>
      <c r="Y38" s="119"/>
      <c r="Z38" s="119"/>
      <c r="AB38" s="256" t="s">
        <v>60</v>
      </c>
      <c r="AC38" s="235">
        <f>0.0022+0.0072</f>
        <v>9.4000000000000004E-3</v>
      </c>
      <c r="AE38" s="268" t="s">
        <v>153</v>
      </c>
      <c r="AF38" s="213">
        <f>0.0152+0.002</f>
        <v>1.72E-2</v>
      </c>
      <c r="AH38" s="120" t="s">
        <v>153</v>
      </c>
      <c r="AI38" s="121">
        <v>7.0000000000000007E-2</v>
      </c>
      <c r="AK38" s="186"/>
      <c r="AL38" s="183"/>
      <c r="AN38" s="186"/>
      <c r="AO38" s="183"/>
      <c r="AQ38" s="181"/>
      <c r="AR38" s="122"/>
    </row>
    <row r="39" spans="1:44" x14ac:dyDescent="0.25">
      <c r="A39" s="120" t="s">
        <v>153</v>
      </c>
      <c r="B39" s="121">
        <v>3.2000000000000001E-2</v>
      </c>
      <c r="C39" s="122"/>
      <c r="D39" s="120" t="s">
        <v>153</v>
      </c>
      <c r="E39" s="131">
        <v>0.1038</v>
      </c>
      <c r="F39" s="122"/>
      <c r="G39" s="270" t="s">
        <v>153</v>
      </c>
      <c r="H39" s="213">
        <v>0.1231</v>
      </c>
      <c r="I39" s="122"/>
      <c r="J39" s="212" t="s">
        <v>153</v>
      </c>
      <c r="K39" s="213">
        <v>0.1071</v>
      </c>
      <c r="L39" s="122"/>
      <c r="M39" s="234" t="s">
        <v>153</v>
      </c>
      <c r="N39" s="235">
        <v>0.50290000000000001</v>
      </c>
      <c r="O39" s="122"/>
      <c r="P39" s="331"/>
      <c r="Q39" s="322"/>
      <c r="R39" s="322"/>
      <c r="S39" s="120" t="s">
        <v>153</v>
      </c>
      <c r="T39" s="491">
        <v>0.12039999999999999</v>
      </c>
      <c r="U39" s="122"/>
      <c r="V39" s="120"/>
      <c r="W39" s="121"/>
      <c r="X39" s="122"/>
      <c r="Y39" s="122"/>
      <c r="Z39" s="122"/>
      <c r="AB39" s="256" t="s">
        <v>1087</v>
      </c>
      <c r="AC39" s="236">
        <f>+AC3/(1-0.0058)-AC3</f>
        <v>2.1322671494669265E-2</v>
      </c>
      <c r="AE39" s="268" t="s">
        <v>60</v>
      </c>
      <c r="AF39" s="213">
        <f>0.0072+0.0022</f>
        <v>9.4000000000000004E-3</v>
      </c>
      <c r="AH39" s="120" t="s">
        <v>60</v>
      </c>
      <c r="AI39" s="121">
        <f>0.0022+0.0007</f>
        <v>2.9000000000000002E-3</v>
      </c>
      <c r="AL39" s="183"/>
      <c r="AO39" s="183"/>
      <c r="AQ39" s="181"/>
      <c r="AR39" s="122"/>
    </row>
    <row r="40" spans="1:44" x14ac:dyDescent="0.25">
      <c r="A40" s="120" t="s">
        <v>60</v>
      </c>
      <c r="B40" s="121">
        <f>0.0022+0.0072+0.0131</f>
        <v>2.2499999999999999E-2</v>
      </c>
      <c r="C40" s="122"/>
      <c r="D40" s="120" t="s">
        <v>60</v>
      </c>
      <c r="E40" s="131">
        <f>0.0072+0.0022+0.0131</f>
        <v>2.2499999999999999E-2</v>
      </c>
      <c r="F40" s="124"/>
      <c r="G40" s="270" t="s">
        <v>60</v>
      </c>
      <c r="H40" s="213">
        <f>0.0022+0.0072</f>
        <v>9.4000000000000004E-3</v>
      </c>
      <c r="I40" s="122"/>
      <c r="J40" s="212" t="s">
        <v>60</v>
      </c>
      <c r="K40" s="213">
        <f>0.0022+0.0072</f>
        <v>9.4000000000000004E-3</v>
      </c>
      <c r="L40" s="122"/>
      <c r="M40" s="234" t="s">
        <v>60</v>
      </c>
      <c r="N40" s="235">
        <f>0.0022+0.0072</f>
        <v>9.4000000000000004E-3</v>
      </c>
      <c r="O40" s="122"/>
      <c r="P40" s="331"/>
      <c r="Q40" s="322"/>
      <c r="R40" s="322"/>
      <c r="S40" s="120" t="s">
        <v>60</v>
      </c>
      <c r="T40" s="491">
        <v>2.2000000000000001E-3</v>
      </c>
      <c r="U40" s="122"/>
      <c r="V40" s="120"/>
      <c r="W40" s="121"/>
      <c r="X40" s="122"/>
      <c r="Y40" s="122"/>
      <c r="Z40" s="122"/>
      <c r="AB40" s="258"/>
      <c r="AC40" s="237">
        <f>SUM(AC37:AC39)</f>
        <v>3.0722671494669264E-2</v>
      </c>
      <c r="AE40" s="268" t="s">
        <v>217</v>
      </c>
      <c r="AF40" s="214">
        <v>0</v>
      </c>
      <c r="AH40" s="120" t="s">
        <v>1078</v>
      </c>
      <c r="AI40" s="123">
        <f>+AI3/(1-0)-AI3</f>
        <v>0</v>
      </c>
      <c r="AL40" s="183"/>
      <c r="AO40" s="183"/>
      <c r="AQ40" s="181"/>
      <c r="AR40" s="124"/>
    </row>
    <row r="41" spans="1:44" x14ac:dyDescent="0.25">
      <c r="A41" s="120" t="s">
        <v>857</v>
      </c>
      <c r="B41" s="123">
        <f>B6/(1-0.0553)-B6</f>
        <v>0.20546522705620829</v>
      </c>
      <c r="C41" s="124"/>
      <c r="D41" s="120" t="s">
        <v>871</v>
      </c>
      <c r="E41" s="123">
        <f>E5/(1-0.0091)-E5</f>
        <v>3.2601675244726902E-2</v>
      </c>
      <c r="F41" s="127"/>
      <c r="G41" s="270" t="s">
        <v>416</v>
      </c>
      <c r="H41" s="269">
        <f>(H3)/(1-0.0672)-H3</f>
        <v>0.23449399656946834</v>
      </c>
      <c r="I41" s="124"/>
      <c r="J41" s="212" t="s">
        <v>825</v>
      </c>
      <c r="K41" s="214">
        <f>(K5)/(1-0.0797)-K5</f>
        <v>0.28275616646745627</v>
      </c>
      <c r="L41" s="124"/>
      <c r="M41" s="234" t="s">
        <v>831</v>
      </c>
      <c r="N41" s="236">
        <f>(N3)/(1-0.0705)-N3</f>
        <v>0.2176815492200106</v>
      </c>
      <c r="O41" s="124"/>
      <c r="P41" s="331"/>
      <c r="Q41" s="324"/>
      <c r="R41" s="324"/>
      <c r="S41" s="120" t="s">
        <v>1116</v>
      </c>
      <c r="T41" s="123">
        <f>T4/(1-0.0282)-T4</f>
        <v>9.8952459353776501E-2</v>
      </c>
      <c r="U41" s="124"/>
      <c r="V41" s="120"/>
      <c r="W41" s="123"/>
      <c r="X41" s="124"/>
      <c r="Y41" s="124"/>
      <c r="Z41" s="124"/>
      <c r="AE41" s="270"/>
      <c r="AF41" s="215">
        <f>SUM(AF38:AF40)</f>
        <v>2.6599999999999999E-2</v>
      </c>
      <c r="AH41" s="125"/>
      <c r="AI41" s="126">
        <f>SUM(AI38:AI40)</f>
        <v>7.2900000000000006E-2</v>
      </c>
      <c r="AQ41" s="78"/>
      <c r="AR41" s="127"/>
    </row>
    <row r="42" spans="1:44" x14ac:dyDescent="0.25">
      <c r="A42" s="125"/>
      <c r="B42" s="126">
        <f>SUM(B39:B41)</f>
        <v>0.25996522705620828</v>
      </c>
      <c r="C42" s="127"/>
      <c r="D42" s="120"/>
      <c r="E42" s="126">
        <f>SUM(E39:E41)</f>
        <v>0.1589016752447269</v>
      </c>
      <c r="F42" s="119"/>
      <c r="G42" s="270"/>
      <c r="H42" s="215">
        <f>SUM(H39:H41)</f>
        <v>0.36699399656946835</v>
      </c>
      <c r="I42" s="127"/>
      <c r="J42" s="212"/>
      <c r="K42" s="215">
        <f>SUM(K39:K41)</f>
        <v>0.39925616646745626</v>
      </c>
      <c r="L42" s="127"/>
      <c r="M42" s="234"/>
      <c r="N42" s="237">
        <f>SUM(N39:N41)</f>
        <v>0.72998154922001057</v>
      </c>
      <c r="O42" s="127"/>
      <c r="P42" s="333"/>
      <c r="Q42" s="327"/>
      <c r="R42" s="327"/>
      <c r="S42" s="125"/>
      <c r="T42" s="126">
        <f>SUM(T39:T41)</f>
        <v>0.22155245935377649</v>
      </c>
      <c r="U42" s="127"/>
      <c r="V42" s="125"/>
      <c r="W42" s="126"/>
      <c r="X42" s="127"/>
      <c r="Y42" s="127"/>
      <c r="Z42" s="127"/>
      <c r="AI42" s="188">
        <f>+AI41+AI3</f>
        <v>3.5979000000000001</v>
      </c>
      <c r="AK42" s="185"/>
      <c r="AN42" s="185"/>
      <c r="AQ42" s="78"/>
      <c r="AR42" s="561"/>
    </row>
    <row r="43" spans="1:44" x14ac:dyDescent="0.25">
      <c r="A43" s="128" t="s">
        <v>22</v>
      </c>
      <c r="B43" s="118" t="s">
        <v>185</v>
      </c>
      <c r="C43" s="119"/>
      <c r="D43" s="36" t="s">
        <v>22</v>
      </c>
      <c r="E43" s="36" t="s">
        <v>186</v>
      </c>
      <c r="F43" s="122"/>
      <c r="G43" s="271" t="s">
        <v>36</v>
      </c>
      <c r="H43" s="273" t="s">
        <v>988</v>
      </c>
      <c r="I43" s="119"/>
      <c r="J43" s="210" t="s">
        <v>142</v>
      </c>
      <c r="K43" s="211" t="s">
        <v>192</v>
      </c>
      <c r="L43" s="119"/>
      <c r="M43" s="232" t="s">
        <v>142</v>
      </c>
      <c r="N43" s="233" t="s">
        <v>234</v>
      </c>
      <c r="O43" s="119"/>
      <c r="P43" s="319"/>
      <c r="Q43" s="319"/>
      <c r="R43" s="319"/>
      <c r="S43" s="119"/>
      <c r="T43" s="119"/>
      <c r="U43" s="119"/>
      <c r="V43" s="119"/>
      <c r="W43" s="119"/>
      <c r="X43" s="119"/>
      <c r="Y43" s="130"/>
      <c r="Z43" s="130"/>
      <c r="AH43" s="36" t="s">
        <v>319</v>
      </c>
      <c r="AK43" s="186"/>
      <c r="AL43" s="183"/>
      <c r="AN43" s="186"/>
      <c r="AO43" s="183"/>
    </row>
    <row r="44" spans="1:44" x14ac:dyDescent="0.25">
      <c r="A44" s="120" t="s">
        <v>153</v>
      </c>
      <c r="B44" s="121">
        <v>3.0000000000000001E-3</v>
      </c>
      <c r="C44" s="122"/>
      <c r="D44" s="120" t="s">
        <v>153</v>
      </c>
      <c r="E44" s="131">
        <v>0.2306</v>
      </c>
      <c r="F44" s="122"/>
      <c r="G44" s="270" t="s">
        <v>153</v>
      </c>
      <c r="H44" s="213">
        <v>0.1608</v>
      </c>
      <c r="I44" s="122"/>
      <c r="J44" s="212" t="s">
        <v>153</v>
      </c>
      <c r="K44" s="213">
        <v>1.47E-2</v>
      </c>
      <c r="L44" s="122"/>
      <c r="M44" s="234" t="s">
        <v>153</v>
      </c>
      <c r="N44" s="235">
        <v>0.31380000000000002</v>
      </c>
      <c r="O44" s="122"/>
      <c r="P44" s="330"/>
      <c r="Q44" s="319"/>
      <c r="R44" s="322"/>
      <c r="S44" s="128" t="s">
        <v>144</v>
      </c>
      <c r="T44" s="178" t="s">
        <v>197</v>
      </c>
      <c r="U44" s="122"/>
      <c r="V44" s="128"/>
      <c r="W44" s="178"/>
      <c r="X44" s="122"/>
      <c r="Y44" s="122"/>
      <c r="Z44" s="122"/>
      <c r="AL44" s="183"/>
      <c r="AO44" s="183"/>
    </row>
    <row r="45" spans="1:44" x14ac:dyDescent="0.25">
      <c r="A45" s="120" t="s">
        <v>60</v>
      </c>
      <c r="B45" s="121">
        <f>0.0022+0.0072+0.0131</f>
        <v>2.2499999999999999E-2</v>
      </c>
      <c r="C45" s="122"/>
      <c r="D45" s="120" t="s">
        <v>60</v>
      </c>
      <c r="E45" s="131">
        <f>0.0072+0.0022+0.0131</f>
        <v>2.2499999999999999E-2</v>
      </c>
      <c r="F45" s="124"/>
      <c r="G45" s="270" t="s">
        <v>60</v>
      </c>
      <c r="H45" s="213">
        <f>0.0022+0.0072</f>
        <v>9.4000000000000004E-3</v>
      </c>
      <c r="I45" s="122"/>
      <c r="J45" s="212" t="s">
        <v>60</v>
      </c>
      <c r="K45" s="213">
        <f>0.0022</f>
        <v>2.2000000000000001E-3</v>
      </c>
      <c r="L45" s="122"/>
      <c r="M45" s="234" t="s">
        <v>60</v>
      </c>
      <c r="N45" s="235">
        <f>0.0022+0.0072</f>
        <v>9.4000000000000004E-3</v>
      </c>
      <c r="O45" s="122"/>
      <c r="P45" s="331"/>
      <c r="Q45" s="322"/>
      <c r="R45" s="322"/>
      <c r="S45" s="120" t="s">
        <v>153</v>
      </c>
      <c r="T45" s="121">
        <v>0.03</v>
      </c>
      <c r="U45" s="122"/>
      <c r="V45" s="120"/>
      <c r="W45" s="121"/>
      <c r="X45" s="122"/>
      <c r="Y45" s="122"/>
      <c r="Z45" s="122"/>
      <c r="AH45" s="185">
        <v>36647</v>
      </c>
      <c r="AL45" s="183"/>
      <c r="AO45" s="183"/>
      <c r="AQ45" s="185"/>
    </row>
    <row r="46" spans="1:44" x14ac:dyDescent="0.25">
      <c r="A46" s="120" t="s">
        <v>858</v>
      </c>
      <c r="B46" s="123">
        <f>B4/(1-0.0046)-B4</f>
        <v>1.6451677717500779E-2</v>
      </c>
      <c r="C46" s="124"/>
      <c r="D46" s="120" t="s">
        <v>860</v>
      </c>
      <c r="E46" s="123">
        <f>(E5)/(1-0.0281)-E5</f>
        <v>0.10263916040744947</v>
      </c>
      <c r="F46" s="127"/>
      <c r="G46" s="270" t="s">
        <v>417</v>
      </c>
      <c r="H46" s="269">
        <f>(H3)/(1-0.0742)-H3</f>
        <v>0.26087815942968273</v>
      </c>
      <c r="I46" s="124"/>
      <c r="J46" s="212" t="s">
        <v>242</v>
      </c>
      <c r="K46" s="214">
        <f>(K4)/(1-0.0191)-K4</f>
        <v>6.4257314710979507E-2</v>
      </c>
      <c r="L46" s="124"/>
      <c r="M46" s="234" t="s">
        <v>832</v>
      </c>
      <c r="N46" s="236">
        <f>(N6)/(1-0.0372)-(N6)</f>
        <v>0.1311736601578728</v>
      </c>
      <c r="O46" s="124"/>
      <c r="P46" s="331"/>
      <c r="Q46" s="322"/>
      <c r="R46" s="324"/>
      <c r="S46" s="120" t="s">
        <v>60</v>
      </c>
      <c r="T46" s="121">
        <v>2.2000000000000001E-3</v>
      </c>
      <c r="U46" s="124"/>
      <c r="V46" s="120"/>
      <c r="W46" s="121"/>
      <c r="X46" s="124"/>
      <c r="Y46" s="124"/>
      <c r="Z46" s="124"/>
      <c r="AH46" s="186" t="s">
        <v>320</v>
      </c>
      <c r="AI46" s="183">
        <v>0</v>
      </c>
      <c r="AQ46" s="186"/>
      <c r="AR46" s="183"/>
    </row>
    <row r="47" spans="1:44" x14ac:dyDescent="0.25">
      <c r="A47" s="125"/>
      <c r="B47" s="126">
        <f>SUM(B44:B46)</f>
        <v>4.1951677717500774E-2</v>
      </c>
      <c r="C47" s="127"/>
      <c r="D47" s="120"/>
      <c r="E47" s="126">
        <f>SUM(E44:E46)</f>
        <v>0.35573916040744946</v>
      </c>
      <c r="F47" s="130"/>
      <c r="G47" s="270"/>
      <c r="H47" s="215">
        <f>SUM(H44:H46)</f>
        <v>0.43107815942968275</v>
      </c>
      <c r="I47" s="127"/>
      <c r="J47" s="212"/>
      <c r="K47" s="215">
        <f>SUM(K44:K46)</f>
        <v>8.1157314710979506E-2</v>
      </c>
      <c r="L47" s="127"/>
      <c r="M47" s="234"/>
      <c r="N47" s="237">
        <f>SUM(N44:N46)</f>
        <v>0.45437366015787284</v>
      </c>
      <c r="O47" s="127"/>
      <c r="P47" s="331"/>
      <c r="Q47" s="324"/>
      <c r="R47" s="327"/>
      <c r="S47" s="120" t="s">
        <v>1115</v>
      </c>
      <c r="T47" s="123">
        <f>T3/(1-0.00603)-T3</f>
        <v>2.0323047979315056E-2</v>
      </c>
      <c r="U47" s="127"/>
      <c r="V47" s="120"/>
      <c r="W47" s="123"/>
      <c r="X47" s="127"/>
      <c r="Y47" s="127"/>
      <c r="Z47" s="127"/>
      <c r="AH47" s="36" t="s">
        <v>321</v>
      </c>
      <c r="AI47" s="183">
        <v>0</v>
      </c>
      <c r="AK47" s="185"/>
      <c r="AN47" s="185"/>
      <c r="AR47" s="183"/>
    </row>
    <row r="48" spans="1:44" x14ac:dyDescent="0.25">
      <c r="A48" s="119" t="s">
        <v>22</v>
      </c>
      <c r="B48" s="118" t="s">
        <v>189</v>
      </c>
      <c r="C48" s="119"/>
      <c r="D48" s="177" t="s">
        <v>22</v>
      </c>
      <c r="E48" s="126" t="s">
        <v>190</v>
      </c>
      <c r="F48" s="122"/>
      <c r="G48" s="271" t="s">
        <v>36</v>
      </c>
      <c r="H48" s="272" t="s">
        <v>989</v>
      </c>
      <c r="I48" s="130"/>
      <c r="J48" s="210" t="s">
        <v>142</v>
      </c>
      <c r="K48" s="211" t="s">
        <v>196</v>
      </c>
      <c r="L48" s="130"/>
      <c r="M48" s="232" t="s">
        <v>142</v>
      </c>
      <c r="N48" s="233" t="s">
        <v>236</v>
      </c>
      <c r="O48" s="130"/>
      <c r="P48" s="333"/>
      <c r="Q48" s="327"/>
      <c r="R48" s="319"/>
      <c r="S48" s="125"/>
      <c r="T48" s="126">
        <f>SUM(T45:T47)</f>
        <v>5.2523047979315056E-2</v>
      </c>
      <c r="U48" s="119"/>
      <c r="V48" s="125"/>
      <c r="W48" s="126"/>
      <c r="X48" s="119"/>
      <c r="Y48" s="130"/>
      <c r="Z48" s="130"/>
      <c r="AH48" s="36" t="s">
        <v>322</v>
      </c>
      <c r="AI48" s="183">
        <v>0</v>
      </c>
      <c r="AK48" s="186"/>
      <c r="AL48" s="183"/>
      <c r="AN48" s="186"/>
      <c r="AO48" s="183"/>
      <c r="AR48" s="183"/>
    </row>
    <row r="49" spans="1:44" x14ac:dyDescent="0.25">
      <c r="A49" s="128" t="s">
        <v>153</v>
      </c>
      <c r="B49" s="121">
        <v>5.4999999999999997E-3</v>
      </c>
      <c r="C49" s="122"/>
      <c r="D49" s="120" t="s">
        <v>153</v>
      </c>
      <c r="E49" s="131">
        <v>7.9200000000000007E-2</v>
      </c>
      <c r="F49" s="122"/>
      <c r="G49" s="268" t="s">
        <v>153</v>
      </c>
      <c r="H49" s="213">
        <v>2.86E-2</v>
      </c>
      <c r="I49" s="122"/>
      <c r="J49" s="212" t="s">
        <v>153</v>
      </c>
      <c r="K49" s="213">
        <v>1.95E-2</v>
      </c>
      <c r="L49" s="122"/>
      <c r="M49" s="234" t="s">
        <v>153</v>
      </c>
      <c r="N49" s="235">
        <v>0.41839999999999999</v>
      </c>
      <c r="O49" s="122"/>
      <c r="P49" s="333"/>
      <c r="Q49" s="327"/>
      <c r="R49" s="322"/>
      <c r="S49" s="125"/>
      <c r="T49" s="126"/>
      <c r="U49" s="122"/>
      <c r="V49" s="125"/>
      <c r="W49" s="126"/>
      <c r="X49" s="122"/>
      <c r="Y49" s="122"/>
      <c r="Z49" s="122"/>
      <c r="AL49" s="183"/>
      <c r="AO49" s="183"/>
      <c r="AR49" s="183"/>
    </row>
    <row r="50" spans="1:44" x14ac:dyDescent="0.25">
      <c r="A50" s="120" t="s">
        <v>60</v>
      </c>
      <c r="B50" s="121">
        <v>2.2000000000000001E-3</v>
      </c>
      <c r="C50" s="122"/>
      <c r="D50" s="120" t="s">
        <v>60</v>
      </c>
      <c r="E50" s="131">
        <f>0.0072+0.0022+0.0131</f>
        <v>2.2499999999999999E-2</v>
      </c>
      <c r="F50" s="124"/>
      <c r="G50" s="268" t="s">
        <v>60</v>
      </c>
      <c r="H50" s="213">
        <f>0.0022+0.0072+0.0225</f>
        <v>3.1899999999999998E-2</v>
      </c>
      <c r="I50" s="122"/>
      <c r="J50" s="212" t="s">
        <v>60</v>
      </c>
      <c r="K50" s="213">
        <f>0.0022+0.0072</f>
        <v>9.4000000000000004E-3</v>
      </c>
      <c r="L50" s="122"/>
      <c r="M50" s="234" t="s">
        <v>60</v>
      </c>
      <c r="N50" s="235">
        <f>0.0022+0.0072</f>
        <v>9.4000000000000004E-3</v>
      </c>
      <c r="O50" s="122"/>
      <c r="P50" s="330"/>
      <c r="Q50" s="319"/>
      <c r="R50" s="322"/>
      <c r="S50" s="128" t="s">
        <v>144</v>
      </c>
      <c r="T50" s="178" t="s">
        <v>200</v>
      </c>
      <c r="U50" s="122"/>
      <c r="V50" s="128"/>
      <c r="W50" s="178"/>
      <c r="X50" s="122"/>
      <c r="Y50" s="122"/>
      <c r="Z50" s="122"/>
      <c r="AH50" s="185">
        <v>36617</v>
      </c>
      <c r="AL50" s="183"/>
      <c r="AO50" s="183"/>
      <c r="AQ50" s="185"/>
    </row>
    <row r="51" spans="1:44" x14ac:dyDescent="0.25">
      <c r="A51" s="120" t="s">
        <v>859</v>
      </c>
      <c r="B51" s="123">
        <f>B5/(1-0.0091)-B5</f>
        <v>3.2601675244726902E-2</v>
      </c>
      <c r="C51" s="124"/>
      <c r="D51" s="120" t="s">
        <v>475</v>
      </c>
      <c r="E51" s="123">
        <f>(E4)/(1-0.0045)-E4</f>
        <v>1.6092415871421295E-2</v>
      </c>
      <c r="F51" s="127"/>
      <c r="G51" s="268" t="s">
        <v>418</v>
      </c>
      <c r="H51" s="274">
        <f>(H4)/(1-0.0095)-H4</f>
        <v>3.1602725896012096E-2</v>
      </c>
      <c r="I51" s="124"/>
      <c r="J51" s="212" t="s">
        <v>648</v>
      </c>
      <c r="K51" s="214">
        <f>(K4)/(1-0.0268)-K4</f>
        <v>9.0875462392108641E-2</v>
      </c>
      <c r="L51" s="124"/>
      <c r="M51" s="234" t="s">
        <v>833</v>
      </c>
      <c r="N51" s="236">
        <f>(N6)/(1-0.0465)-(N6)</f>
        <v>0.16556633455689562</v>
      </c>
      <c r="O51" s="124"/>
      <c r="P51" s="331"/>
      <c r="Q51" s="322"/>
      <c r="R51" s="324"/>
      <c r="S51" s="120" t="s">
        <v>153</v>
      </c>
      <c r="T51" s="121">
        <v>0.03</v>
      </c>
      <c r="U51" s="124"/>
      <c r="V51" s="120"/>
      <c r="W51" s="121"/>
      <c r="X51" s="124"/>
      <c r="Y51" s="124"/>
      <c r="Z51" s="124"/>
      <c r="AH51" s="186" t="s">
        <v>320</v>
      </c>
      <c r="AI51" s="183">
        <v>4.0000000000000001E-3</v>
      </c>
      <c r="AQ51" s="186"/>
      <c r="AR51" s="183"/>
    </row>
    <row r="52" spans="1:44" x14ac:dyDescent="0.25">
      <c r="A52" s="120"/>
      <c r="B52" s="126">
        <f>SUM(B49:B51)</f>
        <v>4.0301675244726901E-2</v>
      </c>
      <c r="C52" s="127"/>
      <c r="D52" s="120"/>
      <c r="E52" s="126">
        <f>SUM(E49:E51)</f>
        <v>0.11779241587142131</v>
      </c>
      <c r="F52" s="130"/>
      <c r="G52" s="270"/>
      <c r="H52" s="215">
        <f>SUM(H49:H51)</f>
        <v>9.2102725896012094E-2</v>
      </c>
      <c r="I52" s="127"/>
      <c r="J52" s="212"/>
      <c r="K52" s="215">
        <f>SUM(K49:K51)</f>
        <v>0.11977546239210865</v>
      </c>
      <c r="L52" s="127"/>
      <c r="M52" s="234"/>
      <c r="N52" s="237">
        <f>SUM(N49:N51)</f>
        <v>0.59336633455689558</v>
      </c>
      <c r="O52" s="127"/>
      <c r="P52" s="331"/>
      <c r="Q52" s="322"/>
      <c r="R52" s="327"/>
      <c r="S52" s="120" t="s">
        <v>60</v>
      </c>
      <c r="T52" s="121">
        <v>2.2000000000000001E-3</v>
      </c>
      <c r="U52" s="127"/>
      <c r="V52" s="120"/>
      <c r="W52" s="121"/>
      <c r="X52" s="127"/>
      <c r="Y52" s="127"/>
      <c r="Z52" s="127"/>
      <c r="AH52" s="36" t="s">
        <v>321</v>
      </c>
      <c r="AI52" s="183">
        <v>8.0000000000000002E-3</v>
      </c>
      <c r="AR52" s="183"/>
    </row>
    <row r="53" spans="1:44" x14ac:dyDescent="0.25">
      <c r="A53" s="125" t="s">
        <v>22</v>
      </c>
      <c r="B53" s="118" t="s">
        <v>802</v>
      </c>
      <c r="C53" s="130"/>
      <c r="D53" s="36" t="s">
        <v>22</v>
      </c>
      <c r="E53" s="36" t="s">
        <v>194</v>
      </c>
      <c r="F53" s="122"/>
      <c r="G53" s="271" t="s">
        <v>36</v>
      </c>
      <c r="H53" s="272" t="s">
        <v>990</v>
      </c>
      <c r="I53" s="130"/>
      <c r="J53" s="210" t="s">
        <v>142</v>
      </c>
      <c r="K53" s="211" t="s">
        <v>199</v>
      </c>
      <c r="L53" s="130"/>
      <c r="M53" s="232" t="s">
        <v>142</v>
      </c>
      <c r="N53" s="237" t="s">
        <v>240</v>
      </c>
      <c r="O53" s="130"/>
      <c r="P53" s="331"/>
      <c r="Q53" s="324"/>
      <c r="R53" s="335"/>
      <c r="S53" s="120" t="s">
        <v>1116</v>
      </c>
      <c r="T53" s="123">
        <f>T4/(1-0.0282)-T4</f>
        <v>9.8952459353776501E-2</v>
      </c>
      <c r="U53" s="130"/>
      <c r="V53" s="120"/>
      <c r="W53" s="123"/>
      <c r="X53" s="130"/>
      <c r="Y53" s="119"/>
      <c r="Z53" s="119"/>
      <c r="AH53" s="36" t="s">
        <v>322</v>
      </c>
      <c r="AI53" s="183">
        <v>4.0000000000000001E-3</v>
      </c>
      <c r="AR53" s="183"/>
    </row>
    <row r="54" spans="1:44" x14ac:dyDescent="0.25">
      <c r="A54" s="125" t="s">
        <v>153</v>
      </c>
      <c r="B54" s="121">
        <v>1.66E-2</v>
      </c>
      <c r="C54" s="122"/>
      <c r="D54" s="120" t="s">
        <v>153</v>
      </c>
      <c r="E54" s="131">
        <v>0.20599999999999999</v>
      </c>
      <c r="F54" s="122"/>
      <c r="G54" s="268" t="s">
        <v>153</v>
      </c>
      <c r="H54" s="213">
        <v>5.7200000000000001E-2</v>
      </c>
      <c r="I54" s="122"/>
      <c r="J54" s="212" t="s">
        <v>153</v>
      </c>
      <c r="K54" s="213">
        <v>6.6699999999999995E-2</v>
      </c>
      <c r="L54" s="122"/>
      <c r="M54" s="234" t="s">
        <v>153</v>
      </c>
      <c r="N54" s="240">
        <v>0.34389999999999998</v>
      </c>
      <c r="O54" s="122"/>
      <c r="P54" s="333"/>
      <c r="Q54" s="327"/>
      <c r="R54" s="322"/>
      <c r="S54" s="125"/>
      <c r="T54" s="126">
        <f>SUM(T51:T53)</f>
        <v>0.13115245935377651</v>
      </c>
      <c r="U54" s="122"/>
      <c r="V54" s="125"/>
      <c r="W54" s="126"/>
      <c r="X54" s="122"/>
      <c r="Y54" s="122"/>
      <c r="Z54" s="122"/>
      <c r="AI54" s="183"/>
      <c r="AR54" s="183"/>
    </row>
    <row r="55" spans="1:44" x14ac:dyDescent="0.25">
      <c r="A55" s="128" t="s">
        <v>60</v>
      </c>
      <c r="B55" s="121">
        <f>0.0022+0.0072+0.0131</f>
        <v>2.2499999999999999E-2</v>
      </c>
      <c r="C55" s="122"/>
      <c r="D55" s="120" t="s">
        <v>60</v>
      </c>
      <c r="E55" s="131">
        <f>0.0072+0.0022+0.0131</f>
        <v>2.2499999999999999E-2</v>
      </c>
      <c r="F55" s="124"/>
      <c r="G55" s="268" t="s">
        <v>60</v>
      </c>
      <c r="H55" s="213">
        <f>0.0022+0.0072+0.0225</f>
        <v>3.1899999999999998E-2</v>
      </c>
      <c r="I55" s="122"/>
      <c r="J55" s="212" t="s">
        <v>60</v>
      </c>
      <c r="K55" s="213">
        <f>0.0022+0.0072</f>
        <v>9.4000000000000004E-3</v>
      </c>
      <c r="L55" s="122"/>
      <c r="M55" s="234" t="s">
        <v>60</v>
      </c>
      <c r="N55" s="235">
        <f>0.0022+0.0072</f>
        <v>9.4000000000000004E-3</v>
      </c>
      <c r="O55" s="122"/>
      <c r="P55" s="319"/>
      <c r="Q55" s="327"/>
      <c r="R55" s="322"/>
      <c r="S55" s="119"/>
      <c r="T55" s="127">
        <f>+T54+T48</f>
        <v>0.18367550733309157</v>
      </c>
      <c r="U55" s="122"/>
      <c r="V55" s="119"/>
      <c r="W55" s="127"/>
      <c r="X55" s="122"/>
      <c r="Y55" s="122"/>
      <c r="Z55" s="122"/>
      <c r="AH55" s="185">
        <v>36586</v>
      </c>
      <c r="AQ55" s="185"/>
    </row>
    <row r="56" spans="1:44" x14ac:dyDescent="0.25">
      <c r="A56" s="120" t="s">
        <v>860</v>
      </c>
      <c r="B56" s="123">
        <f>B$5/(1-0.0281)-B$5</f>
        <v>0.10263916040744947</v>
      </c>
      <c r="C56" s="124"/>
      <c r="D56" s="120" t="s">
        <v>863</v>
      </c>
      <c r="E56" s="123">
        <f>(E4)/(1-0.0235)-E4</f>
        <v>8.5673323092677833E-2</v>
      </c>
      <c r="F56" s="127"/>
      <c r="G56" s="268" t="s">
        <v>419</v>
      </c>
      <c r="H56" s="274">
        <f>(H4)/(1-0.017)-H4</f>
        <v>5.6983723296032629E-2</v>
      </c>
      <c r="I56" s="124"/>
      <c r="J56" s="212" t="s">
        <v>826</v>
      </c>
      <c r="K56" s="214">
        <f>(K4)/(1-0.05)-K4</f>
        <v>0.17368421052631611</v>
      </c>
      <c r="L56" s="124"/>
      <c r="M56" s="234" t="s">
        <v>835</v>
      </c>
      <c r="N56" s="236">
        <f>(N6)/(1-0.0399)-N6</f>
        <v>0.14108999062597682</v>
      </c>
      <c r="O56" s="124"/>
      <c r="P56" s="330"/>
      <c r="Q56" s="319"/>
      <c r="R56" s="324"/>
      <c r="S56" s="117" t="s">
        <v>47</v>
      </c>
      <c r="T56" s="176" t="s">
        <v>47</v>
      </c>
      <c r="U56" s="124"/>
      <c r="V56" s="117"/>
      <c r="W56" s="176"/>
      <c r="X56" s="124"/>
      <c r="Y56" s="124"/>
      <c r="Z56" s="124"/>
      <c r="AH56" s="186" t="s">
        <v>320</v>
      </c>
      <c r="AI56" s="183">
        <v>5.0000000000000001E-3</v>
      </c>
      <c r="AQ56" s="186"/>
      <c r="AR56" s="183"/>
    </row>
    <row r="57" spans="1:44" x14ac:dyDescent="0.25">
      <c r="A57" s="120"/>
      <c r="B57" s="126">
        <f>SUM(B54:B56)</f>
        <v>0.14173916040744947</v>
      </c>
      <c r="C57" s="127"/>
      <c r="D57" s="120"/>
      <c r="E57" s="126">
        <f>SUM(E54:E56)</f>
        <v>0.31417332309267781</v>
      </c>
      <c r="F57" s="119"/>
      <c r="G57" s="270"/>
      <c r="H57" s="215">
        <f>SUM(H54:H56)</f>
        <v>0.14608372329603264</v>
      </c>
      <c r="I57" s="127"/>
      <c r="J57" s="212"/>
      <c r="K57" s="215">
        <f>SUM(K54:K56)</f>
        <v>0.24978421052631611</v>
      </c>
      <c r="L57" s="127"/>
      <c r="M57" s="234"/>
      <c r="N57" s="237">
        <f>SUM(N54:N56)</f>
        <v>0.49438999062597683</v>
      </c>
      <c r="O57" s="127"/>
      <c r="P57" s="331"/>
      <c r="Q57" s="322"/>
      <c r="R57" s="327"/>
      <c r="S57" s="120"/>
      <c r="T57" s="121" t="s">
        <v>47</v>
      </c>
      <c r="U57" s="127"/>
      <c r="V57" s="120"/>
      <c r="W57" s="121"/>
      <c r="X57" s="127"/>
      <c r="Y57" s="127"/>
      <c r="Z57" s="127"/>
      <c r="AH57" s="36" t="s">
        <v>321</v>
      </c>
      <c r="AI57" s="183">
        <v>0.01</v>
      </c>
      <c r="AR57" s="183"/>
    </row>
    <row r="58" spans="1:44" x14ac:dyDescent="0.25">
      <c r="A58" s="125" t="s">
        <v>22</v>
      </c>
      <c r="B58" s="118" t="s">
        <v>193</v>
      </c>
      <c r="C58" s="130"/>
      <c r="D58" s="36" t="s">
        <v>22</v>
      </c>
      <c r="E58" s="36" t="s">
        <v>383</v>
      </c>
      <c r="F58" s="122"/>
      <c r="G58" s="271" t="s">
        <v>36</v>
      </c>
      <c r="H58" s="272" t="s">
        <v>991</v>
      </c>
      <c r="I58" s="119"/>
      <c r="J58" s="210" t="s">
        <v>142</v>
      </c>
      <c r="K58" s="211" t="s">
        <v>203</v>
      </c>
      <c r="L58" s="119"/>
      <c r="M58" s="232" t="s">
        <v>142</v>
      </c>
      <c r="N58" s="237" t="s">
        <v>241</v>
      </c>
      <c r="O58" s="119"/>
      <c r="P58" s="331"/>
      <c r="Q58" s="322"/>
      <c r="R58" s="335"/>
      <c r="S58" s="120"/>
      <c r="T58" s="121"/>
      <c r="U58" s="130"/>
      <c r="V58" s="120"/>
      <c r="W58" s="121"/>
      <c r="X58" s="130"/>
      <c r="Y58" s="119"/>
      <c r="Z58" s="119"/>
      <c r="AH58" s="36" t="s">
        <v>322</v>
      </c>
      <c r="AI58" s="183">
        <v>5.0000000000000001E-3</v>
      </c>
      <c r="AR58" s="183"/>
    </row>
    <row r="59" spans="1:44" x14ac:dyDescent="0.25">
      <c r="A59" s="125" t="s">
        <v>153</v>
      </c>
      <c r="B59" s="121">
        <v>2.5399999999999999E-2</v>
      </c>
      <c r="C59" s="122"/>
      <c r="D59" s="120" t="s">
        <v>153</v>
      </c>
      <c r="E59" s="131">
        <v>0.3528</v>
      </c>
      <c r="F59" s="122"/>
      <c r="G59" s="268" t="s">
        <v>153</v>
      </c>
      <c r="H59" s="213">
        <v>7.7600000000000002E-2</v>
      </c>
      <c r="I59" s="122"/>
      <c r="J59" s="212" t="s">
        <v>153</v>
      </c>
      <c r="K59" s="213">
        <v>8.8099999999999998E-2</v>
      </c>
      <c r="L59" s="122"/>
      <c r="M59" s="234" t="s">
        <v>153</v>
      </c>
      <c r="N59" s="240">
        <v>0.1908</v>
      </c>
      <c r="O59" s="122"/>
      <c r="P59" s="331"/>
      <c r="Q59" s="324"/>
      <c r="R59" s="322"/>
      <c r="S59" s="120"/>
      <c r="T59" s="123"/>
      <c r="U59" s="122"/>
      <c r="V59" s="120"/>
      <c r="W59" s="123"/>
      <c r="X59" s="122"/>
      <c r="Y59" s="122"/>
      <c r="Z59" s="122"/>
      <c r="AI59" s="183"/>
      <c r="AR59" s="183"/>
    </row>
    <row r="60" spans="1:44" x14ac:dyDescent="0.25">
      <c r="A60" s="128" t="s">
        <v>60</v>
      </c>
      <c r="B60" s="121">
        <f>0.0022+0.0072+0.0131</f>
        <v>2.2499999999999999E-2</v>
      </c>
      <c r="C60" s="122"/>
      <c r="D60" s="120" t="s">
        <v>60</v>
      </c>
      <c r="E60" s="131">
        <f>0.0131+0.0072+0.0022</f>
        <v>2.2499999999999999E-2</v>
      </c>
      <c r="F60" s="124"/>
      <c r="G60" s="268" t="s">
        <v>60</v>
      </c>
      <c r="H60" s="213">
        <f>0.0022+0.0072</f>
        <v>9.4000000000000004E-3</v>
      </c>
      <c r="I60" s="122"/>
      <c r="J60" s="212" t="s">
        <v>60</v>
      </c>
      <c r="K60" s="213">
        <f>0.0022+0.0072</f>
        <v>9.4000000000000004E-3</v>
      </c>
      <c r="L60" s="122"/>
      <c r="M60" s="234" t="s">
        <v>60</v>
      </c>
      <c r="N60" s="235">
        <f>0.0022+0.0072</f>
        <v>9.4000000000000004E-3</v>
      </c>
      <c r="O60" s="122"/>
      <c r="P60" s="333"/>
      <c r="Q60" s="327"/>
      <c r="R60" s="322"/>
      <c r="S60" s="125" t="s">
        <v>47</v>
      </c>
      <c r="T60" s="126" t="s">
        <v>47</v>
      </c>
      <c r="U60" s="122"/>
      <c r="V60" s="125"/>
      <c r="W60" s="126"/>
      <c r="X60" s="122"/>
      <c r="Y60" s="122"/>
      <c r="Z60" s="122"/>
      <c r="AH60" s="185">
        <v>36465</v>
      </c>
      <c r="AQ60" s="185"/>
    </row>
    <row r="61" spans="1:44" x14ac:dyDescent="0.25">
      <c r="A61" s="120" t="s">
        <v>861</v>
      </c>
      <c r="B61" s="123">
        <f>B5/(1-0.0434)-B5</f>
        <v>0.16106000418147604</v>
      </c>
      <c r="C61" s="124"/>
      <c r="D61" s="120" t="s">
        <v>436</v>
      </c>
      <c r="E61" s="123">
        <f>(E4)/(1-0.0472)-E4</f>
        <v>0.17635600335852253</v>
      </c>
      <c r="F61" s="127"/>
      <c r="G61" s="268" t="s">
        <v>420</v>
      </c>
      <c r="H61" s="269">
        <f>(H4)/(1-0.0369)-H4</f>
        <v>0.12624389990655205</v>
      </c>
      <c r="I61" s="124"/>
      <c r="J61" s="212" t="s">
        <v>827</v>
      </c>
      <c r="K61" s="214">
        <f>(K4)/(1-0.064)-K4</f>
        <v>0.22564102564102573</v>
      </c>
      <c r="L61" s="124"/>
      <c r="M61" s="234" t="s">
        <v>721</v>
      </c>
      <c r="N61" s="236">
        <f>(N7)/(1-0.026)-N7</f>
        <v>9.7566735112936342E-2</v>
      </c>
      <c r="O61" s="124"/>
      <c r="P61" s="330"/>
      <c r="Q61" s="319"/>
      <c r="R61" s="324"/>
      <c r="S61" s="128" t="s">
        <v>47</v>
      </c>
      <c r="T61" s="178" t="s">
        <v>47</v>
      </c>
      <c r="U61" s="124"/>
      <c r="V61" s="128"/>
      <c r="W61" s="178"/>
      <c r="X61" s="124"/>
      <c r="Y61" s="124"/>
      <c r="Z61" s="124"/>
      <c r="AH61" s="186" t="s">
        <v>320</v>
      </c>
      <c r="AI61" s="183">
        <v>0</v>
      </c>
      <c r="AQ61" s="186"/>
      <c r="AR61" s="183"/>
    </row>
    <row r="62" spans="1:44" x14ac:dyDescent="0.25">
      <c r="A62" s="120"/>
      <c r="B62" s="126">
        <f>SUM(B59:B61)</f>
        <v>0.20896000418147603</v>
      </c>
      <c r="C62" s="127"/>
      <c r="D62" s="120"/>
      <c r="E62" s="126">
        <f>SUM(E59:E61)</f>
        <v>0.5516560033585225</v>
      </c>
      <c r="F62" s="119"/>
      <c r="G62" s="270"/>
      <c r="H62" s="215">
        <f>SUM(H59:H61)</f>
        <v>0.21324389990655207</v>
      </c>
      <c r="I62" s="127"/>
      <c r="J62" s="212"/>
      <c r="K62" s="215">
        <f>SUM(K59:K61)</f>
        <v>0.32314102564102576</v>
      </c>
      <c r="L62" s="127"/>
      <c r="M62" s="234"/>
      <c r="N62" s="237">
        <f>SUM(N59:N61)</f>
        <v>0.29776673511293633</v>
      </c>
      <c r="O62" s="127"/>
      <c r="P62" s="331"/>
      <c r="Q62" s="322"/>
      <c r="R62" s="327"/>
      <c r="S62" s="120" t="s">
        <v>47</v>
      </c>
      <c r="T62" s="121" t="s">
        <v>47</v>
      </c>
      <c r="U62" s="127"/>
      <c r="V62" s="120"/>
      <c r="W62" s="121"/>
      <c r="X62" s="127"/>
      <c r="Y62" s="127"/>
      <c r="Z62" s="127"/>
      <c r="AH62" s="36" t="s">
        <v>321</v>
      </c>
      <c r="AI62" s="183">
        <v>7.0000000000000001E-3</v>
      </c>
      <c r="AR62" s="183"/>
    </row>
    <row r="63" spans="1:44" x14ac:dyDescent="0.25">
      <c r="A63" s="120" t="s">
        <v>22</v>
      </c>
      <c r="B63" s="118" t="s">
        <v>198</v>
      </c>
      <c r="C63" s="119"/>
      <c r="D63" s="36" t="s">
        <v>22</v>
      </c>
      <c r="E63" s="36" t="s">
        <v>202</v>
      </c>
      <c r="F63" s="122"/>
      <c r="G63" s="271" t="s">
        <v>36</v>
      </c>
      <c r="H63" s="272" t="s">
        <v>992</v>
      </c>
      <c r="I63" s="119"/>
      <c r="J63" s="210" t="s">
        <v>142</v>
      </c>
      <c r="K63" s="211" t="s">
        <v>207</v>
      </c>
      <c r="L63" s="119"/>
      <c r="M63" s="295"/>
      <c r="N63" s="245"/>
      <c r="O63" s="119"/>
      <c r="P63" s="331"/>
      <c r="Q63" s="322"/>
      <c r="R63" s="319"/>
      <c r="S63" s="120" t="s">
        <v>47</v>
      </c>
      <c r="T63" s="121" t="s">
        <v>47</v>
      </c>
      <c r="U63" s="119"/>
      <c r="V63" s="120"/>
      <c r="W63" s="121"/>
      <c r="X63" s="119"/>
      <c r="Y63" s="132"/>
      <c r="Z63" s="132"/>
      <c r="AH63" s="36" t="s">
        <v>322</v>
      </c>
      <c r="AI63" s="183">
        <v>0</v>
      </c>
      <c r="AR63" s="183"/>
    </row>
    <row r="64" spans="1:44" x14ac:dyDescent="0.25">
      <c r="A64" s="125" t="s">
        <v>153</v>
      </c>
      <c r="B64" s="121">
        <v>0.03</v>
      </c>
      <c r="C64" s="122"/>
      <c r="D64" s="120" t="s">
        <v>153</v>
      </c>
      <c r="E64" s="131">
        <v>0.1716</v>
      </c>
      <c r="F64" s="122"/>
      <c r="G64" s="268" t="s">
        <v>153</v>
      </c>
      <c r="H64" s="213">
        <v>8.7400000000000005E-2</v>
      </c>
      <c r="I64" s="122"/>
      <c r="J64" s="212" t="s">
        <v>153</v>
      </c>
      <c r="K64" s="213">
        <v>0.10299999999999999</v>
      </c>
      <c r="L64" s="122"/>
      <c r="M64" s="243"/>
      <c r="N64" s="247"/>
      <c r="O64" s="122"/>
      <c r="P64" s="331"/>
      <c r="Q64" s="324"/>
      <c r="R64" s="322"/>
      <c r="S64" s="120" t="s">
        <v>47</v>
      </c>
      <c r="T64" s="123" t="s">
        <v>47</v>
      </c>
      <c r="U64" s="122"/>
      <c r="V64" s="120"/>
      <c r="W64" s="123"/>
      <c r="X64" s="122"/>
      <c r="Y64" s="122"/>
      <c r="Z64" s="122"/>
      <c r="AI64" s="183"/>
      <c r="AR64" s="183"/>
    </row>
    <row r="65" spans="1:44" x14ac:dyDescent="0.25">
      <c r="A65" s="108" t="s">
        <v>60</v>
      </c>
      <c r="B65" s="121">
        <f>0.0022+0.0072+0.0131</f>
        <v>2.2499999999999999E-2</v>
      </c>
      <c r="C65" s="122"/>
      <c r="D65" s="120" t="s">
        <v>60</v>
      </c>
      <c r="E65" s="131">
        <v>0</v>
      </c>
      <c r="F65" s="124"/>
      <c r="G65" s="268" t="s">
        <v>60</v>
      </c>
      <c r="H65" s="213">
        <f>0.0022</f>
        <v>2.2000000000000001E-3</v>
      </c>
      <c r="I65" s="122"/>
      <c r="J65" s="212" t="s">
        <v>60</v>
      </c>
      <c r="K65" s="213">
        <f>0.0022+0.0072</f>
        <v>9.4000000000000004E-3</v>
      </c>
      <c r="L65" s="122"/>
      <c r="M65" s="243"/>
      <c r="N65" s="243"/>
      <c r="O65" s="122"/>
      <c r="P65" s="333"/>
      <c r="Q65" s="327"/>
      <c r="R65" s="322"/>
      <c r="S65" s="125"/>
      <c r="T65" s="126" t="s">
        <v>47</v>
      </c>
      <c r="U65" s="122"/>
      <c r="V65" s="125"/>
      <c r="W65" s="126"/>
      <c r="X65" s="122"/>
      <c r="Y65" s="122"/>
      <c r="Z65" s="122"/>
      <c r="AH65" s="185">
        <v>36434</v>
      </c>
      <c r="AQ65" s="185"/>
    </row>
    <row r="66" spans="1:44" x14ac:dyDescent="0.25">
      <c r="A66" s="394" t="s">
        <v>862</v>
      </c>
      <c r="B66" s="123">
        <f>B5/(1-0.0518)-B5</f>
        <v>0.19393587850664407</v>
      </c>
      <c r="C66" s="124"/>
      <c r="D66" s="120" t="s">
        <v>865</v>
      </c>
      <c r="E66" s="123">
        <f>(E3)/(1-0.019)-E3</f>
        <v>6.895005096839979E-2</v>
      </c>
      <c r="F66" s="127"/>
      <c r="G66" s="268" t="s">
        <v>421</v>
      </c>
      <c r="H66" s="214">
        <f>(H4)/(1-0.0429)-H4</f>
        <v>0.14769146379688669</v>
      </c>
      <c r="I66" s="124"/>
      <c r="J66" s="212" t="s">
        <v>828</v>
      </c>
      <c r="K66" s="214">
        <f>(K4)/(1-0.0733)-K4</f>
        <v>0.26102298478472008</v>
      </c>
      <c r="L66" s="124"/>
      <c r="M66" s="243"/>
      <c r="N66" s="244"/>
      <c r="O66" s="124"/>
      <c r="P66" s="330"/>
      <c r="Q66" s="319"/>
      <c r="R66" s="324"/>
      <c r="S66" s="128" t="s">
        <v>47</v>
      </c>
      <c r="T66" s="178" t="s">
        <v>47</v>
      </c>
      <c r="U66" s="124"/>
      <c r="V66" s="128"/>
      <c r="W66" s="178"/>
      <c r="X66" s="124"/>
      <c r="Y66" s="124"/>
      <c r="Z66" s="124"/>
      <c r="AH66" s="186" t="s">
        <v>320</v>
      </c>
      <c r="AI66" s="183">
        <v>0</v>
      </c>
      <c r="AQ66" s="186"/>
      <c r="AR66" s="183"/>
    </row>
    <row r="67" spans="1:44" x14ac:dyDescent="0.25">
      <c r="A67" s="120"/>
      <c r="B67" s="126">
        <f>SUM(B64:B66)</f>
        <v>0.24643587850664406</v>
      </c>
      <c r="C67" s="127"/>
      <c r="D67" s="120"/>
      <c r="E67" s="126">
        <f>SUM(E64:E66)</f>
        <v>0.24055005096839979</v>
      </c>
      <c r="F67" s="132"/>
      <c r="G67" s="270"/>
      <c r="H67" s="215">
        <f>SUM(H64:H66)</f>
        <v>0.2372914637968867</v>
      </c>
      <c r="I67" s="127"/>
      <c r="J67" s="212"/>
      <c r="K67" s="215">
        <f>SUM(K64:K66)</f>
        <v>0.37342298478472008</v>
      </c>
      <c r="L67" s="127"/>
      <c r="M67" s="243"/>
      <c r="N67" s="245"/>
      <c r="O67" s="127"/>
      <c r="P67" s="331"/>
      <c r="Q67" s="322"/>
      <c r="R67" s="327"/>
      <c r="S67" s="120"/>
      <c r="T67" s="121"/>
      <c r="U67" s="127"/>
      <c r="V67" s="120"/>
      <c r="W67" s="121"/>
      <c r="X67" s="127"/>
      <c r="Y67" s="127"/>
      <c r="Z67" s="127"/>
      <c r="AH67" s="36" t="s">
        <v>321</v>
      </c>
      <c r="AI67" s="183">
        <v>7.0000000000000001E-3</v>
      </c>
      <c r="AR67" s="183"/>
    </row>
    <row r="68" spans="1:44" x14ac:dyDescent="0.25">
      <c r="A68" s="120" t="s">
        <v>22</v>
      </c>
      <c r="B68" s="118" t="s">
        <v>201</v>
      </c>
      <c r="C68" s="119"/>
      <c r="D68" s="36" t="s">
        <v>205</v>
      </c>
      <c r="E68" s="36" t="s">
        <v>206</v>
      </c>
      <c r="F68" s="122"/>
      <c r="G68" s="271" t="s">
        <v>36</v>
      </c>
      <c r="H68" s="272" t="s">
        <v>993</v>
      </c>
      <c r="I68" s="132"/>
      <c r="J68" s="210" t="s">
        <v>142</v>
      </c>
      <c r="K68" s="211" t="s">
        <v>302</v>
      </c>
      <c r="L68" s="132"/>
      <c r="M68" s="243"/>
      <c r="N68" s="243"/>
      <c r="O68" s="132"/>
      <c r="P68" s="331"/>
      <c r="Q68" s="322"/>
      <c r="R68" s="319"/>
      <c r="S68" s="120"/>
      <c r="T68" s="121"/>
      <c r="U68" s="119"/>
      <c r="V68" s="120"/>
      <c r="W68" s="121"/>
      <c r="X68" s="119"/>
      <c r="Y68" s="132"/>
      <c r="Z68" s="132"/>
      <c r="AH68" s="36" t="s">
        <v>322</v>
      </c>
      <c r="AI68" s="183">
        <v>0</v>
      </c>
      <c r="AR68" s="183"/>
    </row>
    <row r="69" spans="1:44" x14ac:dyDescent="0.25">
      <c r="A69" s="120" t="s">
        <v>153</v>
      </c>
      <c r="B69" s="121">
        <v>2.8999999999999998E-3</v>
      </c>
      <c r="C69" s="122"/>
      <c r="D69" s="120" t="s">
        <v>153</v>
      </c>
      <c r="E69" s="131">
        <v>7.5999999999999998E-2</v>
      </c>
      <c r="F69" s="122"/>
      <c r="G69" s="268" t="s">
        <v>153</v>
      </c>
      <c r="H69" s="213">
        <v>0.1014</v>
      </c>
      <c r="I69" s="122"/>
      <c r="J69" s="212" t="s">
        <v>153</v>
      </c>
      <c r="K69" s="213">
        <v>2.3599999999999999E-2</v>
      </c>
      <c r="L69" s="122"/>
      <c r="M69" s="243"/>
      <c r="N69" s="243"/>
      <c r="O69" s="122"/>
      <c r="P69" s="331"/>
      <c r="Q69" s="324"/>
      <c r="R69" s="322"/>
      <c r="S69" s="120"/>
      <c r="T69" s="123"/>
      <c r="U69" s="122"/>
      <c r="V69" s="120"/>
      <c r="W69" s="123"/>
      <c r="X69" s="122"/>
      <c r="Y69" s="122"/>
      <c r="Z69" s="122"/>
      <c r="AI69" s="183"/>
      <c r="AR69" s="183"/>
    </row>
    <row r="70" spans="1:44" x14ac:dyDescent="0.25">
      <c r="A70" s="125" t="s">
        <v>60</v>
      </c>
      <c r="B70" s="121">
        <f>0.0022+0.0072+0.0131</f>
        <v>2.2499999999999999E-2</v>
      </c>
      <c r="C70" s="122"/>
      <c r="D70" s="120" t="s">
        <v>60</v>
      </c>
      <c r="E70" s="131">
        <v>0</v>
      </c>
      <c r="F70" s="124"/>
      <c r="G70" s="268" t="s">
        <v>60</v>
      </c>
      <c r="H70" s="213">
        <f>0.0022+0.0072</f>
        <v>9.4000000000000004E-3</v>
      </c>
      <c r="I70" s="122"/>
      <c r="J70" s="212" t="s">
        <v>60</v>
      </c>
      <c r="K70" s="213">
        <f>0.0022+0.0072</f>
        <v>9.4000000000000004E-3</v>
      </c>
      <c r="L70" s="122"/>
      <c r="M70" s="244"/>
      <c r="N70" s="244"/>
      <c r="O70" s="122"/>
      <c r="P70" s="325"/>
      <c r="Q70" s="326"/>
      <c r="R70" s="322"/>
      <c r="S70" s="125"/>
      <c r="T70" s="126"/>
      <c r="U70" s="122"/>
      <c r="V70" s="125"/>
      <c r="W70" s="126"/>
      <c r="X70" s="122"/>
      <c r="Y70" s="122"/>
      <c r="Z70" s="122"/>
      <c r="AH70" s="185">
        <v>36404</v>
      </c>
      <c r="AQ70" s="185"/>
    </row>
    <row r="71" spans="1:44" x14ac:dyDescent="0.25">
      <c r="A71" s="128" t="s">
        <v>437</v>
      </c>
      <c r="B71" s="123">
        <f>(B4)/(1-0.0045)-B4</f>
        <v>1.6092415871421295E-2</v>
      </c>
      <c r="C71" s="124"/>
      <c r="D71" s="120" t="s">
        <v>868</v>
      </c>
      <c r="E71" s="123">
        <f>(+E3)/(1-0.0059)-E3</f>
        <v>2.1128659088622825E-2</v>
      </c>
      <c r="F71" s="127"/>
      <c r="G71" s="268" t="s">
        <v>422</v>
      </c>
      <c r="H71" s="274">
        <f>(H4)/(1-0.0506)-H4</f>
        <v>0.17561301874868329</v>
      </c>
      <c r="I71" s="124"/>
      <c r="J71" s="212" t="s">
        <v>821</v>
      </c>
      <c r="K71" s="214">
        <f>(K3)/(1-0.0242)-K3</f>
        <v>8.1840541094486685E-2</v>
      </c>
      <c r="L71" s="124"/>
      <c r="M71" s="245"/>
      <c r="N71" s="245"/>
      <c r="O71" s="124"/>
      <c r="P71" s="319"/>
      <c r="Q71" s="319"/>
      <c r="R71" s="324"/>
      <c r="S71" s="119"/>
      <c r="T71" s="119"/>
      <c r="U71" s="124"/>
      <c r="V71" s="119"/>
      <c r="W71" s="119"/>
      <c r="X71" s="124"/>
      <c r="Y71" s="124"/>
      <c r="Z71" s="124"/>
      <c r="AH71" s="186" t="s">
        <v>320</v>
      </c>
      <c r="AI71" s="183">
        <v>0</v>
      </c>
      <c r="AQ71" s="186"/>
      <c r="AR71" s="183"/>
    </row>
    <row r="72" spans="1:44" x14ac:dyDescent="0.25">
      <c r="A72" s="120"/>
      <c r="B72" s="126">
        <f>SUM(B69:B71)</f>
        <v>4.1492415871421294E-2</v>
      </c>
      <c r="C72" s="127"/>
      <c r="D72" s="120"/>
      <c r="E72" s="126">
        <f>SUM(E69:E71)</f>
        <v>9.7128659088622823E-2</v>
      </c>
      <c r="F72" s="132"/>
      <c r="G72" s="270"/>
      <c r="H72" s="215">
        <f>SUM(H69:H71)</f>
        <v>0.2864130187486833</v>
      </c>
      <c r="I72" s="127"/>
      <c r="J72" s="212"/>
      <c r="K72" s="215">
        <f>SUM(K69:K71)</f>
        <v>0.11484054109448669</v>
      </c>
      <c r="L72" s="127"/>
      <c r="M72" s="246"/>
      <c r="N72" s="246"/>
      <c r="O72" s="127"/>
      <c r="P72" s="322"/>
      <c r="Q72" s="322"/>
      <c r="R72" s="327"/>
      <c r="S72" s="122"/>
      <c r="T72" s="122"/>
      <c r="U72" s="127"/>
      <c r="V72" s="122"/>
      <c r="W72" s="122"/>
      <c r="X72" s="127"/>
      <c r="Y72" s="127"/>
      <c r="Z72" s="127"/>
      <c r="AH72" s="36" t="s">
        <v>321</v>
      </c>
      <c r="AI72" s="183">
        <v>4.0000000000000001E-3</v>
      </c>
      <c r="AR72" s="183"/>
    </row>
    <row r="73" spans="1:44" x14ac:dyDescent="0.25">
      <c r="A73" s="120" t="s">
        <v>22</v>
      </c>
      <c r="B73" s="126" t="s">
        <v>204</v>
      </c>
      <c r="C73" s="132"/>
      <c r="F73" s="122"/>
      <c r="G73" s="271" t="s">
        <v>36</v>
      </c>
      <c r="H73" s="272" t="s">
        <v>994</v>
      </c>
      <c r="I73" s="132"/>
      <c r="J73" s="210" t="s">
        <v>142</v>
      </c>
      <c r="K73" s="211" t="s">
        <v>301</v>
      </c>
      <c r="L73" s="132"/>
      <c r="M73" s="243"/>
      <c r="N73" s="243"/>
      <c r="O73" s="132"/>
      <c r="P73" s="324"/>
      <c r="Q73" s="324"/>
      <c r="R73" s="336"/>
      <c r="S73" s="124"/>
      <c r="T73" s="124"/>
      <c r="U73" s="132"/>
      <c r="V73" s="124"/>
      <c r="W73" s="124"/>
      <c r="X73" s="132"/>
      <c r="Y73" s="132"/>
      <c r="Z73" s="132"/>
      <c r="AH73" s="36" t="s">
        <v>322</v>
      </c>
      <c r="AI73" s="183">
        <v>0</v>
      </c>
      <c r="AR73" s="183"/>
    </row>
    <row r="74" spans="1:44" x14ac:dyDescent="0.25">
      <c r="A74" s="120" t="s">
        <v>153</v>
      </c>
      <c r="B74" s="131">
        <v>1.4E-2</v>
      </c>
      <c r="C74" s="122"/>
      <c r="D74" s="177" t="s">
        <v>211</v>
      </c>
      <c r="E74" s="126" t="s">
        <v>212</v>
      </c>
      <c r="F74" s="122"/>
      <c r="G74" s="268" t="s">
        <v>153</v>
      </c>
      <c r="H74" s="213">
        <v>0.11260000000000001</v>
      </c>
      <c r="I74" s="122"/>
      <c r="J74" s="212" t="s">
        <v>153</v>
      </c>
      <c r="K74" s="213">
        <v>1.95E-2</v>
      </c>
      <c r="L74" s="122"/>
      <c r="M74" s="243"/>
      <c r="N74" s="243"/>
      <c r="O74" s="122"/>
      <c r="P74" s="327"/>
      <c r="Q74" s="327"/>
      <c r="R74" s="322"/>
      <c r="S74" s="127"/>
      <c r="T74" s="127"/>
      <c r="U74" s="122"/>
      <c r="V74" s="127"/>
      <c r="W74" s="127"/>
      <c r="X74" s="122"/>
      <c r="Y74" s="122"/>
      <c r="Z74" s="122"/>
      <c r="AI74" s="183"/>
      <c r="AR74" s="183"/>
    </row>
    <row r="75" spans="1:44" x14ac:dyDescent="0.25">
      <c r="A75" s="125" t="s">
        <v>60</v>
      </c>
      <c r="B75" s="131">
        <f>0.0022+0.0072+0.0131</f>
        <v>2.2499999999999999E-2</v>
      </c>
      <c r="C75" s="122"/>
      <c r="D75" s="120" t="s">
        <v>153</v>
      </c>
      <c r="E75" s="131">
        <v>9.7199999999999995E-2</v>
      </c>
      <c r="F75" s="124"/>
      <c r="G75" s="268" t="s">
        <v>60</v>
      </c>
      <c r="H75" s="213">
        <f>0.0022+0.0072</f>
        <v>9.4000000000000004E-3</v>
      </c>
      <c r="I75" s="122"/>
      <c r="J75" s="212" t="s">
        <v>60</v>
      </c>
      <c r="K75" s="213">
        <f>0.0022</f>
        <v>2.2000000000000001E-3</v>
      </c>
      <c r="L75" s="122"/>
      <c r="M75" s="244"/>
      <c r="N75" s="244"/>
      <c r="O75" s="122"/>
      <c r="P75" s="319"/>
      <c r="Q75" s="319"/>
      <c r="R75" s="322"/>
      <c r="S75" s="119"/>
      <c r="T75" s="119"/>
      <c r="U75" s="122"/>
      <c r="V75" s="119"/>
      <c r="W75" s="119"/>
      <c r="X75" s="122"/>
      <c r="Y75" s="122"/>
      <c r="Z75" s="122"/>
      <c r="AH75" s="185">
        <v>36312</v>
      </c>
      <c r="AQ75" s="185"/>
    </row>
    <row r="76" spans="1:44" x14ac:dyDescent="0.25">
      <c r="A76" s="128" t="s">
        <v>863</v>
      </c>
      <c r="B76" s="123">
        <f>(+B4)/(1-0.0235)-B4</f>
        <v>8.5673323092677833E-2</v>
      </c>
      <c r="C76" s="124"/>
      <c r="D76" s="120" t="s">
        <v>60</v>
      </c>
      <c r="E76" s="131">
        <f>0.0072+0.0022+0.0131</f>
        <v>2.2499999999999999E-2</v>
      </c>
      <c r="F76" s="127"/>
      <c r="G76" s="268" t="s">
        <v>423</v>
      </c>
      <c r="H76" s="274">
        <f>(H4)/(1-0.0597)-H4</f>
        <v>0.20920078698287758</v>
      </c>
      <c r="I76" s="124"/>
      <c r="J76" s="212" t="s">
        <v>829</v>
      </c>
      <c r="K76" s="214">
        <f>(K3)/(1-0.024)-K3</f>
        <v>8.1147540983606437E-2</v>
      </c>
      <c r="L76" s="124"/>
      <c r="M76" s="245"/>
      <c r="N76" s="245"/>
      <c r="O76" s="124"/>
      <c r="P76" s="322"/>
      <c r="Q76" s="322"/>
      <c r="R76" s="324"/>
      <c r="S76" s="122"/>
      <c r="T76" s="122"/>
      <c r="U76" s="124"/>
      <c r="V76" s="122"/>
      <c r="W76" s="122"/>
      <c r="X76" s="124"/>
      <c r="Y76" s="124"/>
      <c r="Z76" s="124"/>
      <c r="AH76" s="186" t="s">
        <v>320</v>
      </c>
      <c r="AI76" s="183">
        <v>2E-3</v>
      </c>
      <c r="AQ76" s="186"/>
      <c r="AR76" s="183"/>
    </row>
    <row r="77" spans="1:44" x14ac:dyDescent="0.25">
      <c r="A77" s="120"/>
      <c r="B77" s="126">
        <f>SUM(B74:B76)</f>
        <v>0.12217332309267784</v>
      </c>
      <c r="C77" s="127"/>
      <c r="D77" s="120" t="s">
        <v>411</v>
      </c>
      <c r="E77" s="123">
        <f>(2.25)/(1-0.0084)-2.25</f>
        <v>1.9060104881000406E-2</v>
      </c>
      <c r="F77" s="132"/>
      <c r="G77" s="270"/>
      <c r="H77" s="215">
        <f>SUM(H74:H76)</f>
        <v>0.33120078698287758</v>
      </c>
      <c r="I77" s="127"/>
      <c r="J77" s="212"/>
      <c r="K77" s="215">
        <f>SUM(K74:K76)</f>
        <v>0.10284754098360643</v>
      </c>
      <c r="L77" s="127"/>
      <c r="M77" s="245"/>
      <c r="N77" s="245"/>
      <c r="O77" s="127"/>
      <c r="P77" s="322"/>
      <c r="Q77" s="322"/>
      <c r="R77" s="327"/>
      <c r="S77" s="122"/>
      <c r="T77" s="122"/>
      <c r="U77" s="127"/>
      <c r="V77" s="122"/>
      <c r="W77" s="122"/>
      <c r="X77" s="127"/>
      <c r="Y77" s="127"/>
      <c r="Z77" s="127"/>
      <c r="AH77" s="36" t="s">
        <v>321</v>
      </c>
      <c r="AI77" s="183">
        <v>5.0000000000000001E-3</v>
      </c>
      <c r="AR77" s="183"/>
    </row>
    <row r="78" spans="1:44" x14ac:dyDescent="0.25">
      <c r="A78" s="120" t="s">
        <v>22</v>
      </c>
      <c r="B78" s="118" t="s">
        <v>208</v>
      </c>
      <c r="C78" s="132"/>
      <c r="D78" s="120"/>
      <c r="E78" s="126">
        <f>SUM(E75:E77)</f>
        <v>0.13876010488100041</v>
      </c>
      <c r="F78" s="122"/>
      <c r="G78" s="271" t="s">
        <v>36</v>
      </c>
      <c r="H78" s="272" t="s">
        <v>995</v>
      </c>
      <c r="I78" s="132"/>
      <c r="J78" s="210" t="s">
        <v>142</v>
      </c>
      <c r="K78" s="211" t="s">
        <v>210</v>
      </c>
      <c r="L78" s="132"/>
      <c r="M78" s="247"/>
      <c r="N78" s="247"/>
      <c r="O78" s="132"/>
      <c r="P78" s="324"/>
      <c r="Q78" s="324"/>
      <c r="R78" s="336"/>
      <c r="S78" s="124"/>
      <c r="T78" s="124"/>
      <c r="U78" s="132"/>
      <c r="V78" s="124"/>
      <c r="W78" s="124"/>
      <c r="X78" s="132"/>
      <c r="Y78" s="132"/>
      <c r="Z78" s="132"/>
      <c r="AH78" s="36" t="s">
        <v>322</v>
      </c>
      <c r="AI78" s="183">
        <v>2E-3</v>
      </c>
      <c r="AR78" s="183"/>
    </row>
    <row r="79" spans="1:44" x14ac:dyDescent="0.25">
      <c r="A79" s="120" t="s">
        <v>153</v>
      </c>
      <c r="B79" s="121">
        <v>2.2800000000000001E-2</v>
      </c>
      <c r="C79" s="122"/>
      <c r="F79" s="122"/>
      <c r="G79" s="268" t="s">
        <v>153</v>
      </c>
      <c r="H79" s="213">
        <v>0.15029999999999999</v>
      </c>
      <c r="I79" s="122"/>
      <c r="J79" s="212" t="s">
        <v>153</v>
      </c>
      <c r="K79" s="213">
        <v>1.77E-2</v>
      </c>
      <c r="L79" s="122"/>
      <c r="M79" s="247"/>
      <c r="N79" s="247"/>
      <c r="O79" s="122"/>
      <c r="P79" s="327"/>
      <c r="Q79" s="327"/>
      <c r="R79" s="322"/>
      <c r="S79" s="127"/>
      <c r="T79" s="127"/>
      <c r="U79" s="122"/>
      <c r="V79" s="127"/>
      <c r="W79" s="127"/>
      <c r="X79" s="122"/>
      <c r="Y79" s="122"/>
      <c r="Z79" s="122"/>
      <c r="AI79" s="183"/>
      <c r="AR79" s="183"/>
    </row>
    <row r="80" spans="1:44" x14ac:dyDescent="0.25">
      <c r="A80" s="125" t="s">
        <v>60</v>
      </c>
      <c r="B80" s="131">
        <f>0.0022+0.0072+0.0131</f>
        <v>2.2499999999999999E-2</v>
      </c>
      <c r="C80" s="122"/>
      <c r="D80" s="177" t="s">
        <v>215</v>
      </c>
      <c r="E80" s="126"/>
      <c r="F80" s="124"/>
      <c r="G80" s="268" t="s">
        <v>60</v>
      </c>
      <c r="H80" s="213">
        <f>0.0022+0.0072</f>
        <v>9.4000000000000004E-3</v>
      </c>
      <c r="I80" s="122"/>
      <c r="J80" s="212" t="s">
        <v>60</v>
      </c>
      <c r="K80" s="213">
        <f>0.0022+0.0072</f>
        <v>9.4000000000000004E-3</v>
      </c>
      <c r="L80" s="122"/>
      <c r="M80" s="247"/>
      <c r="N80" s="247"/>
      <c r="O80" s="122"/>
      <c r="P80" s="336"/>
      <c r="Q80" s="336"/>
      <c r="R80" s="322"/>
      <c r="S80" s="132"/>
      <c r="T80" s="132"/>
      <c r="U80" s="122"/>
      <c r="V80" s="132"/>
      <c r="W80" s="132"/>
      <c r="X80" s="122"/>
      <c r="Y80" s="122"/>
      <c r="Z80" s="122"/>
      <c r="AH80" s="185">
        <v>36281</v>
      </c>
      <c r="AQ80" s="185"/>
    </row>
    <row r="81" spans="1:44" x14ac:dyDescent="0.25">
      <c r="A81" s="119" t="s">
        <v>864</v>
      </c>
      <c r="B81" s="123">
        <f>B4/(1-0.0388)-B4</f>
        <v>0.14370370370370367</v>
      </c>
      <c r="C81" s="124"/>
      <c r="D81" s="120" t="s">
        <v>153</v>
      </c>
      <c r="E81" s="131">
        <v>4.48E-2</v>
      </c>
      <c r="F81" s="127"/>
      <c r="G81" s="268" t="s">
        <v>424</v>
      </c>
      <c r="H81" s="269">
        <f>(H4)/(1-0.0667)-H4</f>
        <v>0.23548323154398343</v>
      </c>
      <c r="I81" s="124"/>
      <c r="J81" s="212" t="s">
        <v>829</v>
      </c>
      <c r="K81" s="214">
        <f>(K3)/(1-0.024)-K3</f>
        <v>8.1147540983606437E-2</v>
      </c>
      <c r="L81" s="124"/>
      <c r="M81" s="244"/>
      <c r="N81" s="244"/>
      <c r="O81" s="124"/>
      <c r="P81" s="322"/>
      <c r="Q81" s="322"/>
      <c r="R81" s="324"/>
      <c r="S81" s="122"/>
      <c r="T81" s="122"/>
      <c r="U81" s="124"/>
      <c r="V81" s="122"/>
      <c r="W81" s="122"/>
      <c r="X81" s="124"/>
      <c r="Y81" s="124"/>
      <c r="Z81" s="124"/>
      <c r="AH81" s="186" t="s">
        <v>320</v>
      </c>
      <c r="AI81" s="183">
        <v>2E-3</v>
      </c>
      <c r="AQ81" s="186"/>
      <c r="AR81" s="183"/>
    </row>
    <row r="82" spans="1:44" x14ac:dyDescent="0.25">
      <c r="A82" s="122"/>
      <c r="B82" s="126">
        <f>SUM(B79:B81)</f>
        <v>0.18900370370370367</v>
      </c>
      <c r="C82" s="127"/>
      <c r="D82" s="120" t="s">
        <v>60</v>
      </c>
      <c r="E82" s="131">
        <f>0.0072+0.0022+0.0131</f>
        <v>2.2499999999999999E-2</v>
      </c>
      <c r="F82" s="132"/>
      <c r="G82" s="270"/>
      <c r="H82" s="215">
        <f>SUM(H79:H81)</f>
        <v>0.39518323154398338</v>
      </c>
      <c r="I82" s="127"/>
      <c r="J82" s="212"/>
      <c r="K82" s="215">
        <f>SUM(K79:K81)</f>
        <v>0.10824754098360644</v>
      </c>
      <c r="L82" s="127"/>
      <c r="M82" s="245"/>
      <c r="N82" s="245"/>
      <c r="O82" s="127"/>
      <c r="P82" s="322"/>
      <c r="Q82" s="322"/>
      <c r="R82" s="327"/>
      <c r="S82" s="122"/>
      <c r="T82" s="122"/>
      <c r="U82" s="127"/>
      <c r="V82" s="122"/>
      <c r="W82" s="122"/>
      <c r="X82" s="127"/>
      <c r="Y82" s="127"/>
      <c r="Z82" s="127"/>
      <c r="AH82" s="36" t="s">
        <v>321</v>
      </c>
      <c r="AI82" s="183">
        <v>5.0000000000000001E-3</v>
      </c>
      <c r="AR82" s="183"/>
    </row>
    <row r="83" spans="1:44" ht="14.1" customHeight="1" x14ac:dyDescent="0.25">
      <c r="A83" s="124" t="s">
        <v>22</v>
      </c>
      <c r="B83" s="118" t="s">
        <v>213</v>
      </c>
      <c r="C83" s="132"/>
      <c r="D83" s="120" t="s">
        <v>217</v>
      </c>
      <c r="E83" s="123">
        <v>0</v>
      </c>
      <c r="F83" s="122"/>
      <c r="G83" s="271" t="s">
        <v>36</v>
      </c>
      <c r="H83" s="272" t="s">
        <v>996</v>
      </c>
      <c r="I83" s="132"/>
      <c r="J83" s="210" t="s">
        <v>142</v>
      </c>
      <c r="K83" s="211" t="s">
        <v>214</v>
      </c>
      <c r="L83" s="132"/>
      <c r="M83" s="246"/>
      <c r="N83" s="246"/>
      <c r="O83" s="132"/>
      <c r="P83" s="324"/>
      <c r="Q83" s="324"/>
      <c r="R83" s="336"/>
      <c r="S83" s="124"/>
      <c r="T83" s="124"/>
      <c r="U83" s="132"/>
      <c r="V83" s="124"/>
      <c r="W83" s="124"/>
      <c r="X83" s="132"/>
      <c r="Y83" s="132"/>
      <c r="Z83" s="132"/>
      <c r="AH83" s="36" t="s">
        <v>322</v>
      </c>
      <c r="AI83" s="183">
        <v>2E-3</v>
      </c>
      <c r="AR83" s="183"/>
    </row>
    <row r="84" spans="1:44" x14ac:dyDescent="0.25">
      <c r="A84" s="127" t="s">
        <v>153</v>
      </c>
      <c r="B84" s="121">
        <v>2.7400000000000001E-2</v>
      </c>
      <c r="C84" s="122"/>
      <c r="D84" s="120"/>
      <c r="E84" s="126">
        <f>SUM(E81:E83)</f>
        <v>6.7299999999999999E-2</v>
      </c>
      <c r="F84" s="122"/>
      <c r="G84" s="268" t="s">
        <v>153</v>
      </c>
      <c r="H84" s="213">
        <v>7.8299999999999995E-2</v>
      </c>
      <c r="I84" s="122"/>
      <c r="J84" s="212" t="s">
        <v>153</v>
      </c>
      <c r="K84" s="213">
        <v>1.77E-2</v>
      </c>
      <c r="L84" s="122"/>
      <c r="M84" s="243"/>
      <c r="N84" s="243"/>
      <c r="O84" s="122"/>
      <c r="P84" s="337"/>
      <c r="Q84" s="338"/>
      <c r="R84" s="322"/>
      <c r="S84" s="133"/>
      <c r="T84" s="189"/>
      <c r="U84" s="122"/>
      <c r="V84" s="133"/>
      <c r="W84" s="189"/>
      <c r="X84" s="122"/>
      <c r="Y84" s="122"/>
      <c r="Z84" s="122"/>
      <c r="AI84" s="183"/>
      <c r="AR84" s="183"/>
    </row>
    <row r="85" spans="1:44" x14ac:dyDescent="0.25">
      <c r="A85" s="119" t="s">
        <v>60</v>
      </c>
      <c r="B85" s="131">
        <f>0.0022+0.0072+0.0131</f>
        <v>2.2499999999999999E-2</v>
      </c>
      <c r="C85" s="122"/>
      <c r="F85" s="124"/>
      <c r="G85" s="268" t="s">
        <v>60</v>
      </c>
      <c r="H85" s="213">
        <f>0.0022+0.0072</f>
        <v>9.4000000000000004E-3</v>
      </c>
      <c r="I85" s="122"/>
      <c r="J85" s="212" t="s">
        <v>60</v>
      </c>
      <c r="K85" s="213">
        <f>0.0022+0.0072</f>
        <v>9.4000000000000004E-3</v>
      </c>
      <c r="L85" s="122"/>
      <c r="M85" s="243"/>
      <c r="N85" s="243"/>
      <c r="O85" s="122"/>
      <c r="P85" s="336"/>
      <c r="Q85" s="336"/>
      <c r="R85" s="322"/>
      <c r="S85" s="132"/>
      <c r="T85" s="132"/>
      <c r="U85" s="122"/>
      <c r="V85" s="132"/>
      <c r="W85" s="132"/>
      <c r="X85" s="122"/>
      <c r="Y85" s="122"/>
      <c r="Z85" s="122"/>
      <c r="AH85" s="185">
        <v>36251</v>
      </c>
      <c r="AQ85" s="185"/>
    </row>
    <row r="86" spans="1:44" x14ac:dyDescent="0.25">
      <c r="A86" s="122" t="s">
        <v>436</v>
      </c>
      <c r="B86" s="123">
        <f>B4/(1-0.0472)-B4</f>
        <v>0.17635600335852253</v>
      </c>
      <c r="C86" s="124"/>
      <c r="F86" s="127"/>
      <c r="G86" s="268" t="s">
        <v>434</v>
      </c>
      <c r="H86" s="269">
        <f>(H4)/(1-0.0358)-H4</f>
        <v>0.12234080066376274</v>
      </c>
      <c r="I86" s="124"/>
      <c r="J86" s="212" t="s">
        <v>829</v>
      </c>
      <c r="K86" s="214">
        <f>(K4)/(1-0.024)-K4</f>
        <v>8.1147540983606437E-2</v>
      </c>
      <c r="L86" s="124"/>
      <c r="M86" s="244"/>
      <c r="N86" s="244"/>
      <c r="O86" s="124"/>
      <c r="P86" s="322"/>
      <c r="Q86" s="322"/>
      <c r="R86" s="324"/>
      <c r="S86" s="122"/>
      <c r="T86" s="122"/>
      <c r="U86" s="124"/>
      <c r="V86" s="122"/>
      <c r="W86" s="122"/>
      <c r="X86" s="124"/>
      <c r="Y86" s="124"/>
      <c r="Z86" s="124"/>
      <c r="AH86" s="186" t="s">
        <v>320</v>
      </c>
      <c r="AI86" s="183">
        <v>2E-3</v>
      </c>
      <c r="AQ86" s="186"/>
      <c r="AR86" s="183"/>
    </row>
    <row r="87" spans="1:44" x14ac:dyDescent="0.25">
      <c r="A87" s="122"/>
      <c r="B87" s="126">
        <f>SUM(B84:B86)</f>
        <v>0.22625600335852253</v>
      </c>
      <c r="C87" s="127"/>
      <c r="F87" s="132"/>
      <c r="G87" s="270"/>
      <c r="H87" s="215">
        <f>SUM(H84:H86)</f>
        <v>0.21004080066376274</v>
      </c>
      <c r="I87" s="127"/>
      <c r="J87" s="212"/>
      <c r="K87" s="215">
        <f>SUM(K84:K86)</f>
        <v>0.10824754098360644</v>
      </c>
      <c r="L87" s="127"/>
      <c r="M87" s="245"/>
      <c r="N87" s="245"/>
      <c r="O87" s="127"/>
      <c r="P87" s="322"/>
      <c r="Q87" s="322"/>
      <c r="R87" s="327"/>
      <c r="S87" s="122"/>
      <c r="T87" s="122"/>
      <c r="U87" s="127"/>
      <c r="V87" s="122"/>
      <c r="W87" s="122"/>
      <c r="X87" s="127"/>
      <c r="Y87" s="127"/>
      <c r="Z87" s="127"/>
      <c r="AH87" s="36" t="s">
        <v>321</v>
      </c>
      <c r="AI87" s="183">
        <v>7.0000000000000001E-3</v>
      </c>
      <c r="AR87" s="183"/>
    </row>
    <row r="88" spans="1:44" x14ac:dyDescent="0.25">
      <c r="A88" s="124" t="s">
        <v>22</v>
      </c>
      <c r="B88" s="126" t="s">
        <v>216</v>
      </c>
      <c r="C88" s="132"/>
      <c r="F88" s="122"/>
      <c r="G88" s="271" t="s">
        <v>36</v>
      </c>
      <c r="H88" s="272" t="s">
        <v>997</v>
      </c>
      <c r="I88" s="132"/>
      <c r="J88" s="210" t="s">
        <v>142</v>
      </c>
      <c r="K88" s="211" t="s">
        <v>218</v>
      </c>
      <c r="L88" s="132"/>
      <c r="O88" s="132"/>
      <c r="P88" s="324"/>
      <c r="Q88" s="324"/>
      <c r="R88" s="336"/>
      <c r="S88" s="124"/>
      <c r="T88" s="124"/>
      <c r="U88" s="132"/>
      <c r="V88" s="124"/>
      <c r="W88" s="124"/>
      <c r="X88" s="132"/>
      <c r="Y88" s="127"/>
      <c r="Z88" s="127"/>
      <c r="AH88" s="36" t="s">
        <v>322</v>
      </c>
      <c r="AI88" s="183">
        <v>2E-3</v>
      </c>
      <c r="AR88" s="183"/>
    </row>
    <row r="89" spans="1:44" x14ac:dyDescent="0.25">
      <c r="A89" s="127" t="s">
        <v>153</v>
      </c>
      <c r="B89" s="131">
        <v>1.15E-2</v>
      </c>
      <c r="C89" s="122"/>
      <c r="F89" s="122"/>
      <c r="G89" s="268" t="s">
        <v>153</v>
      </c>
      <c r="H89" s="213">
        <f>0.0511-0.0022-0.0088</f>
        <v>4.0099999999999997E-2</v>
      </c>
      <c r="I89" s="122"/>
      <c r="J89" s="212" t="s">
        <v>153</v>
      </c>
      <c r="K89" s="213">
        <v>1.77E-2</v>
      </c>
      <c r="L89" s="122"/>
      <c r="M89" s="246"/>
      <c r="N89" s="246"/>
      <c r="O89" s="122"/>
      <c r="P89" s="327"/>
      <c r="Q89" s="327"/>
      <c r="R89" s="322"/>
      <c r="S89" s="127"/>
      <c r="T89" s="127"/>
      <c r="U89" s="122"/>
      <c r="V89" s="127"/>
      <c r="W89" s="127"/>
      <c r="X89" s="122"/>
      <c r="Y89" s="129"/>
      <c r="Z89" s="129"/>
      <c r="AI89" s="183"/>
      <c r="AR89" s="183"/>
    </row>
    <row r="90" spans="1:44" x14ac:dyDescent="0.25">
      <c r="A90" s="132" t="s">
        <v>60</v>
      </c>
      <c r="B90" s="131">
        <f>0.0022+0.0072+0.0131</f>
        <v>2.2499999999999999E-2</v>
      </c>
      <c r="C90" s="122"/>
      <c r="F90" s="124"/>
      <c r="G90" s="268" t="s">
        <v>60</v>
      </c>
      <c r="H90" s="213">
        <f>0.0022+0.0072</f>
        <v>9.4000000000000004E-3</v>
      </c>
      <c r="I90" s="122"/>
      <c r="J90" s="212" t="s">
        <v>60</v>
      </c>
      <c r="K90" s="213">
        <f>0.0022+0.0072</f>
        <v>9.4000000000000004E-3</v>
      </c>
      <c r="L90" s="122"/>
      <c r="M90" s="243"/>
      <c r="N90" s="243"/>
      <c r="O90" s="122"/>
      <c r="P90" s="336"/>
      <c r="Q90" s="336"/>
      <c r="R90" s="322"/>
      <c r="S90" s="132"/>
      <c r="T90" s="132"/>
      <c r="U90" s="122"/>
      <c r="V90" s="132"/>
      <c r="W90" s="132"/>
      <c r="X90" s="122"/>
      <c r="Y90" s="129"/>
      <c r="Z90" s="129"/>
      <c r="AH90" s="185">
        <v>36220</v>
      </c>
      <c r="AQ90" s="185"/>
    </row>
    <row r="91" spans="1:44" x14ac:dyDescent="0.25">
      <c r="A91" s="122" t="s">
        <v>865</v>
      </c>
      <c r="B91" s="123">
        <f>(B3)/(1-0.019)-B3</f>
        <v>6.895005096839979E-2</v>
      </c>
      <c r="C91" s="124"/>
      <c r="F91" s="127"/>
      <c r="G91" s="268" t="s">
        <v>222</v>
      </c>
      <c r="H91" s="214">
        <f>(H5)/(1-0.0101)-H5</f>
        <v>3.5761693100313074E-2</v>
      </c>
      <c r="I91" s="124"/>
      <c r="J91" s="212" t="s">
        <v>829</v>
      </c>
      <c r="K91" s="214">
        <f>(K3)/(1-0.024)-K3</f>
        <v>8.1147540983606437E-2</v>
      </c>
      <c r="L91" s="124"/>
      <c r="M91" s="243"/>
      <c r="N91" s="243"/>
      <c r="O91" s="124"/>
      <c r="P91" s="322"/>
      <c r="Q91" s="322"/>
      <c r="R91" s="324"/>
      <c r="S91" s="122"/>
      <c r="T91" s="122"/>
      <c r="U91" s="124"/>
      <c r="V91" s="122"/>
      <c r="W91" s="122"/>
      <c r="X91" s="124"/>
      <c r="Y91" s="129"/>
      <c r="Z91" s="129"/>
      <c r="AH91" s="186" t="s">
        <v>320</v>
      </c>
      <c r="AI91" s="183">
        <v>1E-3</v>
      </c>
      <c r="AQ91" s="186"/>
      <c r="AR91" s="183"/>
    </row>
    <row r="92" spans="1:44" x14ac:dyDescent="0.25">
      <c r="A92" s="122"/>
      <c r="B92" s="126">
        <f>SUM(B89:B91)</f>
        <v>0.10295005096839979</v>
      </c>
      <c r="C92" s="127"/>
      <c r="F92" s="127"/>
      <c r="G92" s="270"/>
      <c r="H92" s="215">
        <f>SUM(H89:H91)</f>
        <v>8.5261693100313063E-2</v>
      </c>
      <c r="I92" s="127"/>
      <c r="J92" s="212"/>
      <c r="K92" s="215">
        <f>SUM(K89:K91)</f>
        <v>0.10824754098360644</v>
      </c>
      <c r="L92" s="127"/>
      <c r="M92" s="244"/>
      <c r="N92" s="244"/>
      <c r="O92" s="127"/>
      <c r="P92" s="322"/>
      <c r="Q92" s="322"/>
      <c r="R92" s="327"/>
      <c r="S92" s="122"/>
      <c r="T92" s="122"/>
      <c r="U92" s="127"/>
      <c r="V92" s="122"/>
      <c r="W92" s="122"/>
      <c r="X92" s="127"/>
      <c r="Y92" s="124"/>
      <c r="Z92" s="124"/>
      <c r="AH92" s="36" t="s">
        <v>321</v>
      </c>
      <c r="AI92" s="183">
        <v>3.0000000000000001E-3</v>
      </c>
      <c r="AR92" s="183"/>
    </row>
    <row r="93" spans="1:44" x14ac:dyDescent="0.25">
      <c r="A93" s="124" t="s">
        <v>22</v>
      </c>
      <c r="B93" s="126" t="s">
        <v>727</v>
      </c>
      <c r="C93" s="132"/>
      <c r="F93" s="129"/>
      <c r="G93" s="271" t="s">
        <v>36</v>
      </c>
      <c r="H93" s="272" t="s">
        <v>998</v>
      </c>
      <c r="I93" s="127"/>
      <c r="J93" s="210" t="s">
        <v>142</v>
      </c>
      <c r="K93" s="211" t="s">
        <v>221</v>
      </c>
      <c r="L93" s="127"/>
      <c r="M93" s="245"/>
      <c r="N93" s="245"/>
      <c r="O93" s="127"/>
      <c r="P93" s="324"/>
      <c r="Q93" s="324"/>
      <c r="R93" s="336"/>
      <c r="S93" s="124"/>
      <c r="T93" s="124"/>
      <c r="U93" s="132"/>
      <c r="V93" s="124"/>
      <c r="W93" s="124"/>
      <c r="X93" s="132"/>
      <c r="Y93" s="127"/>
      <c r="Z93" s="127"/>
      <c r="AH93" s="36" t="s">
        <v>322</v>
      </c>
      <c r="AI93" s="183">
        <v>1E-3</v>
      </c>
      <c r="AR93" s="183"/>
    </row>
    <row r="94" spans="1:44" x14ac:dyDescent="0.25">
      <c r="A94" s="133" t="s">
        <v>153</v>
      </c>
      <c r="B94" s="131">
        <v>2.0299999999999999E-2</v>
      </c>
      <c r="C94" s="122"/>
      <c r="F94" s="129"/>
      <c r="G94" s="268" t="s">
        <v>153</v>
      </c>
      <c r="H94" s="213">
        <f>0.0945-0.0022-0.0088</f>
        <v>8.3500000000000005E-2</v>
      </c>
      <c r="I94" s="129"/>
      <c r="J94" s="212" t="s">
        <v>153</v>
      </c>
      <c r="K94" s="213">
        <v>6.4899999999999999E-2</v>
      </c>
      <c r="L94" s="129"/>
      <c r="M94" s="246"/>
      <c r="N94" s="246"/>
      <c r="O94" s="129"/>
      <c r="P94" s="337"/>
      <c r="Q94" s="338"/>
      <c r="R94" s="322"/>
      <c r="S94" s="133"/>
      <c r="T94" s="189"/>
      <c r="U94" s="122"/>
      <c r="V94" s="133"/>
      <c r="W94" s="189"/>
      <c r="X94" s="122"/>
      <c r="Y94" s="132"/>
      <c r="Z94" s="132"/>
      <c r="AI94" s="183"/>
      <c r="AR94" s="183"/>
    </row>
    <row r="95" spans="1:44" x14ac:dyDescent="0.25">
      <c r="A95" s="132" t="s">
        <v>60</v>
      </c>
      <c r="B95" s="131">
        <f>0.0022+0.0072+0.0131</f>
        <v>2.2499999999999999E-2</v>
      </c>
      <c r="C95" s="122"/>
      <c r="F95" s="124"/>
      <c r="G95" s="268" t="s">
        <v>60</v>
      </c>
      <c r="H95" s="213">
        <f>0.0022+0.0072</f>
        <v>9.4000000000000004E-3</v>
      </c>
      <c r="I95" s="129" t="s">
        <v>47</v>
      </c>
      <c r="J95" s="212" t="s">
        <v>60</v>
      </c>
      <c r="K95" s="213">
        <f>0.0022+0.0072</f>
        <v>9.4000000000000004E-3</v>
      </c>
      <c r="L95" s="129"/>
      <c r="M95" s="243"/>
      <c r="N95" s="243"/>
      <c r="O95" s="129"/>
      <c r="P95" s="336"/>
      <c r="Q95" s="336"/>
      <c r="R95" s="322"/>
      <c r="S95" s="132"/>
      <c r="T95" s="132"/>
      <c r="U95" s="122"/>
      <c r="V95" s="132"/>
      <c r="W95" s="132"/>
      <c r="X95" s="122"/>
      <c r="Y95" s="122"/>
      <c r="Z95" s="122"/>
      <c r="AH95" s="185">
        <v>36192</v>
      </c>
      <c r="AQ95" s="185"/>
    </row>
    <row r="96" spans="1:44" x14ac:dyDescent="0.25">
      <c r="A96" s="122" t="s">
        <v>866</v>
      </c>
      <c r="B96" s="123">
        <f>(B3)/(1-0.0343)-B3</f>
        <v>0.12644506575541037</v>
      </c>
      <c r="C96" s="124"/>
      <c r="F96" s="127"/>
      <c r="G96" s="268" t="s">
        <v>226</v>
      </c>
      <c r="H96" s="214">
        <f>(H5)/(1-0.0192)-H5</f>
        <v>6.8613376835236384E-2</v>
      </c>
      <c r="I96" s="124"/>
      <c r="J96" s="212" t="s">
        <v>436</v>
      </c>
      <c r="K96" s="214">
        <f>(K3)/(1-0.0472)-K3</f>
        <v>0.16347607052896729</v>
      </c>
      <c r="L96" s="124"/>
      <c r="M96" s="243"/>
      <c r="N96" s="243"/>
      <c r="O96" s="124"/>
      <c r="P96" s="322"/>
      <c r="Q96" s="322"/>
      <c r="R96" s="324"/>
      <c r="S96" s="122"/>
      <c r="T96" s="122"/>
      <c r="U96" s="124"/>
      <c r="V96" s="122"/>
      <c r="W96" s="122"/>
      <c r="X96" s="124"/>
      <c r="Y96" s="122"/>
      <c r="Z96" s="122"/>
      <c r="AH96" s="186" t="s">
        <v>320</v>
      </c>
      <c r="AI96" s="183">
        <v>4.0000000000000001E-3</v>
      </c>
      <c r="AQ96" s="186"/>
      <c r="AR96" s="183"/>
    </row>
    <row r="97" spans="1:44" x14ac:dyDescent="0.25">
      <c r="A97" s="122"/>
      <c r="B97" s="126">
        <f>SUM(B94:B96)</f>
        <v>0.16924506575541037</v>
      </c>
      <c r="C97" s="127"/>
      <c r="F97" s="132"/>
      <c r="G97" s="270"/>
      <c r="H97" s="215">
        <f>SUM(H94:H96)</f>
        <v>0.16151337683523639</v>
      </c>
      <c r="I97" s="127"/>
      <c r="J97" s="212"/>
      <c r="K97" s="215">
        <f>SUM(K94:K96)</f>
        <v>0.23777607052896729</v>
      </c>
      <c r="L97" s="127"/>
      <c r="M97" s="244"/>
      <c r="N97" s="244"/>
      <c r="O97" s="127"/>
      <c r="P97" s="322"/>
      <c r="Q97" s="322"/>
      <c r="R97" s="327"/>
      <c r="S97" s="122"/>
      <c r="T97" s="122"/>
      <c r="U97" s="127"/>
      <c r="V97" s="122"/>
      <c r="W97" s="122"/>
      <c r="X97" s="127"/>
      <c r="Y97" s="124"/>
      <c r="Z97" s="124"/>
      <c r="AH97" s="36" t="s">
        <v>321</v>
      </c>
      <c r="AI97" s="183">
        <v>0.01</v>
      </c>
      <c r="AR97" s="183"/>
    </row>
    <row r="98" spans="1:44" x14ac:dyDescent="0.25">
      <c r="A98" s="124" t="s">
        <v>22</v>
      </c>
      <c r="B98" s="126" t="s">
        <v>219</v>
      </c>
      <c r="C98" s="127"/>
      <c r="F98" s="122"/>
      <c r="G98" s="271" t="s">
        <v>36</v>
      </c>
      <c r="H98" s="273" t="s">
        <v>999</v>
      </c>
      <c r="I98" s="132"/>
      <c r="J98" s="210" t="s">
        <v>142</v>
      </c>
      <c r="K98" s="211" t="s">
        <v>225</v>
      </c>
      <c r="L98" s="132"/>
      <c r="M98" s="245"/>
      <c r="N98" s="245"/>
      <c r="O98" s="132"/>
      <c r="P98" s="324"/>
      <c r="Q98" s="324"/>
      <c r="R98" s="327"/>
      <c r="S98" s="124"/>
      <c r="T98" s="124"/>
      <c r="U98" s="127"/>
      <c r="V98" s="124"/>
      <c r="W98" s="124"/>
      <c r="X98" s="127"/>
      <c r="Y98" s="127"/>
      <c r="Z98" s="127"/>
      <c r="AH98" s="36" t="s">
        <v>322</v>
      </c>
      <c r="AI98" s="183">
        <v>4.0000000000000001E-3</v>
      </c>
      <c r="AR98" s="183"/>
    </row>
    <row r="99" spans="1:44" x14ac:dyDescent="0.25">
      <c r="A99" s="133" t="s">
        <v>153</v>
      </c>
      <c r="B99" s="131">
        <v>2.4899999999999999E-2</v>
      </c>
      <c r="C99" s="129"/>
      <c r="F99" s="122"/>
      <c r="G99" s="270" t="s">
        <v>153</v>
      </c>
      <c r="H99" s="213">
        <v>4.2700000000000002E-2</v>
      </c>
      <c r="I99" s="122"/>
      <c r="J99" s="212" t="s">
        <v>153</v>
      </c>
      <c r="K99" s="213">
        <v>8.6300000000000002E-2</v>
      </c>
      <c r="L99" s="122"/>
      <c r="O99" s="122"/>
      <c r="P99" s="327"/>
      <c r="Q99" s="327"/>
      <c r="R99" s="332"/>
      <c r="S99" s="127"/>
      <c r="T99" s="127"/>
      <c r="U99" s="129"/>
      <c r="V99" s="127"/>
      <c r="W99" s="127"/>
      <c r="X99" s="129"/>
      <c r="AI99" s="183"/>
      <c r="AR99" s="183"/>
    </row>
    <row r="100" spans="1:44" x14ac:dyDescent="0.25">
      <c r="A100" s="132" t="s">
        <v>60</v>
      </c>
      <c r="B100" s="131">
        <f>0.0022+0.0072+0.0131</f>
        <v>2.2499999999999999E-2</v>
      </c>
      <c r="C100" s="129"/>
      <c r="F100" s="122"/>
      <c r="G100" s="270" t="s">
        <v>60</v>
      </c>
      <c r="H100" s="213">
        <f>0.0022+0.0072</f>
        <v>9.4000000000000004E-3</v>
      </c>
      <c r="I100" s="122"/>
      <c r="J100" s="212" t="s">
        <v>60</v>
      </c>
      <c r="K100" s="213">
        <f>0.0022+0.0072</f>
        <v>9.4000000000000004E-3</v>
      </c>
      <c r="L100" s="122"/>
      <c r="O100" s="122"/>
      <c r="P100" s="336"/>
      <c r="Q100" s="336"/>
      <c r="R100" s="332"/>
      <c r="S100" s="132"/>
      <c r="T100" s="132"/>
      <c r="U100" s="129"/>
      <c r="V100" s="132"/>
      <c r="W100" s="132"/>
      <c r="X100" s="129"/>
      <c r="Y100" s="132"/>
      <c r="Z100" s="132"/>
      <c r="AH100" s="185">
        <v>36161</v>
      </c>
      <c r="AQ100" s="185"/>
    </row>
    <row r="101" spans="1:44" x14ac:dyDescent="0.25">
      <c r="A101" s="122" t="s">
        <v>867</v>
      </c>
      <c r="B101" s="123">
        <f>(B3)/(1-0.0427)-B3</f>
        <v>0.15879243706257151</v>
      </c>
      <c r="C101" s="129"/>
      <c r="F101" s="124"/>
      <c r="G101" s="270" t="s">
        <v>425</v>
      </c>
      <c r="H101" s="214">
        <f>(+H5)/(1-0.0117)-H5</f>
        <v>4.1493979560862204E-2</v>
      </c>
      <c r="I101" s="122"/>
      <c r="J101" s="212" t="s">
        <v>830</v>
      </c>
      <c r="K101" s="214">
        <f>(K3)/(1-0.0612)-K3</f>
        <v>0.21512569237324275</v>
      </c>
      <c r="L101" s="122"/>
      <c r="O101" s="122"/>
      <c r="P101" s="322"/>
      <c r="Q101" s="322"/>
      <c r="R101" s="332"/>
      <c r="S101" s="122"/>
      <c r="T101" s="122"/>
      <c r="U101" s="129"/>
      <c r="V101" s="122"/>
      <c r="W101" s="122"/>
      <c r="X101" s="129"/>
      <c r="Y101" s="122"/>
      <c r="Z101" s="122"/>
      <c r="AH101" s="186" t="s">
        <v>320</v>
      </c>
      <c r="AI101" s="183">
        <v>3.0000000000000001E-3</v>
      </c>
      <c r="AQ101" s="186"/>
      <c r="AR101" s="183"/>
    </row>
    <row r="102" spans="1:44" x14ac:dyDescent="0.25">
      <c r="A102" s="122"/>
      <c r="B102" s="126">
        <f>SUM(B99:B101)</f>
        <v>0.20619243706257151</v>
      </c>
      <c r="C102" s="124"/>
      <c r="F102" s="127"/>
      <c r="G102" s="270"/>
      <c r="H102" s="215">
        <f>SUM(H99:H101)</f>
        <v>9.3593979560862212E-2</v>
      </c>
      <c r="I102" s="124"/>
      <c r="J102" s="212"/>
      <c r="K102" s="215">
        <f>SUM(K99:K101)</f>
        <v>0.31082569237324276</v>
      </c>
      <c r="L102" s="124"/>
      <c r="O102" s="124"/>
      <c r="P102" s="322">
        <f>+'Offseason Rate'!B102+'Offseason Rate'!B3</f>
        <v>3.352545705024311</v>
      </c>
      <c r="Q102" s="322">
        <f>+P102*0.6</f>
        <v>2.0115274230145865</v>
      </c>
      <c r="R102" s="324"/>
      <c r="S102" s="122">
        <f>+'Offseason Rate'!E102+'Offseason Rate'!E3</f>
        <v>2.8016205541725294</v>
      </c>
      <c r="T102" s="122">
        <f>+S102*0.6</f>
        <v>1.6809723325035175</v>
      </c>
      <c r="U102" s="124"/>
      <c r="V102" s="122"/>
      <c r="W102" s="122"/>
      <c r="X102" s="124"/>
      <c r="Y102" s="122"/>
      <c r="Z102" s="122"/>
      <c r="AH102" s="36" t="s">
        <v>321</v>
      </c>
      <c r="AI102" s="183">
        <v>8.0000000000000002E-3</v>
      </c>
      <c r="AR102" s="183"/>
    </row>
    <row r="103" spans="1:44" x14ac:dyDescent="0.25">
      <c r="A103" s="124" t="s">
        <v>22</v>
      </c>
      <c r="B103" s="126" t="s">
        <v>223</v>
      </c>
      <c r="C103" s="127"/>
      <c r="G103" s="565" t="s">
        <v>1080</v>
      </c>
      <c r="H103" s="273" t="s">
        <v>1079</v>
      </c>
      <c r="I103" s="127"/>
      <c r="J103" s="210" t="s">
        <v>142</v>
      </c>
      <c r="K103" s="211" t="s">
        <v>228</v>
      </c>
      <c r="L103" s="127"/>
      <c r="O103" s="127"/>
      <c r="P103" s="324"/>
      <c r="Q103" s="324"/>
      <c r="R103" s="327"/>
      <c r="S103" s="124"/>
      <c r="T103" s="124"/>
      <c r="U103" s="127"/>
      <c r="V103" s="124"/>
      <c r="W103" s="124"/>
      <c r="X103" s="127"/>
      <c r="Y103" s="124"/>
      <c r="Z103" s="124"/>
      <c r="AH103" s="36" t="s">
        <v>322</v>
      </c>
      <c r="AI103" s="183">
        <v>3.0000000000000001E-3</v>
      </c>
      <c r="AR103" s="183"/>
    </row>
    <row r="104" spans="1:44" x14ac:dyDescent="0.25">
      <c r="A104" s="127" t="s">
        <v>153</v>
      </c>
      <c r="B104" s="131">
        <v>3.3999999999999998E-3</v>
      </c>
      <c r="C104" s="132"/>
      <c r="F104" s="132"/>
      <c r="G104" s="270" t="s">
        <v>153</v>
      </c>
      <c r="H104" s="213">
        <v>4.2700000000000002E-2</v>
      </c>
      <c r="J104" s="212" t="s">
        <v>153</v>
      </c>
      <c r="K104" s="213">
        <v>0.1012</v>
      </c>
      <c r="P104" s="327"/>
      <c r="Q104" s="327"/>
      <c r="R104" s="336"/>
      <c r="S104" s="127"/>
      <c r="T104" s="127"/>
      <c r="U104" s="132"/>
      <c r="V104" s="127"/>
      <c r="W104" s="127"/>
      <c r="X104" s="132"/>
      <c r="Y104" s="127"/>
      <c r="Z104" s="127"/>
      <c r="AI104" s="183"/>
      <c r="AR104" s="183"/>
    </row>
    <row r="105" spans="1:44" x14ac:dyDescent="0.25">
      <c r="A105" s="132" t="s">
        <v>60</v>
      </c>
      <c r="B105" s="131">
        <v>0</v>
      </c>
      <c r="C105" s="122"/>
      <c r="F105" s="122"/>
      <c r="G105" s="270" t="s">
        <v>60</v>
      </c>
      <c r="H105" s="213">
        <f>0.0022+0.0072</f>
        <v>9.4000000000000004E-3</v>
      </c>
      <c r="I105" s="132"/>
      <c r="J105" s="212" t="s">
        <v>60</v>
      </c>
      <c r="K105" s="213">
        <f>0.0022+0.0072</f>
        <v>9.4000000000000004E-3</v>
      </c>
      <c r="L105" s="132"/>
      <c r="O105" s="132"/>
      <c r="P105" s="327"/>
      <c r="Q105" s="327"/>
      <c r="R105" s="322"/>
      <c r="S105" s="127"/>
      <c r="T105" s="127"/>
      <c r="U105" s="122"/>
      <c r="V105" s="127"/>
      <c r="W105" s="127"/>
      <c r="X105" s="122"/>
      <c r="Y105" s="132"/>
      <c r="Z105" s="132"/>
      <c r="AH105" s="185">
        <v>36130</v>
      </c>
      <c r="AQ105" s="185"/>
    </row>
    <row r="106" spans="1:44" x14ac:dyDescent="0.25">
      <c r="A106" s="122" t="s">
        <v>868</v>
      </c>
      <c r="B106" s="123">
        <f>(B3-0.09)/(1-0.0059)-(B3-0.09)</f>
        <v>2.0594507594809297E-2</v>
      </c>
      <c r="C106" s="122"/>
      <c r="F106" s="122"/>
      <c r="G106" s="270" t="s">
        <v>1081</v>
      </c>
      <c r="H106" s="214">
        <f>(+H5)/(1-0.005)-H5</f>
        <v>1.7613065326633315E-2</v>
      </c>
      <c r="I106" s="122"/>
      <c r="J106" s="212" t="s">
        <v>831</v>
      </c>
      <c r="K106" s="214">
        <f>(K3)/(1-0.0705)-K3</f>
        <v>0.25029585798816578</v>
      </c>
      <c r="L106" s="122"/>
      <c r="O106" s="122"/>
      <c r="P106" s="332"/>
      <c r="Q106" s="332"/>
      <c r="R106" s="322"/>
      <c r="S106" s="129"/>
      <c r="T106" s="129"/>
      <c r="U106" s="122"/>
      <c r="V106" s="129"/>
      <c r="W106" s="129"/>
      <c r="X106" s="122"/>
      <c r="Y106" s="122"/>
      <c r="Z106" s="122"/>
      <c r="AH106" s="186" t="s">
        <v>320</v>
      </c>
      <c r="AI106" s="183">
        <v>2E-3</v>
      </c>
      <c r="AQ106" s="186"/>
      <c r="AR106" s="183"/>
    </row>
    <row r="107" spans="1:44" x14ac:dyDescent="0.25">
      <c r="A107" s="122"/>
      <c r="B107" s="126">
        <f>SUM(B104:B106)</f>
        <v>2.3994507594809297E-2</v>
      </c>
      <c r="C107" s="124"/>
      <c r="F107" s="124"/>
      <c r="G107" s="270"/>
      <c r="H107" s="215">
        <f>SUM(H104:H106)</f>
        <v>6.9713065326633322E-2</v>
      </c>
      <c r="I107" s="122"/>
      <c r="J107" s="212"/>
      <c r="K107" s="215">
        <f>SUM(K104:K106)</f>
        <v>0.36089585798816581</v>
      </c>
      <c r="L107" s="122"/>
      <c r="O107" s="122"/>
      <c r="P107" s="332">
        <f>+'Offseason Rate'!B107+'Offseason Rate'!B3</f>
        <v>3.4158182003881112</v>
      </c>
      <c r="Q107" s="332">
        <f>+P107*0.4</f>
        <v>1.3663272801552446</v>
      </c>
      <c r="R107" s="324"/>
      <c r="S107" s="129">
        <f>+'Offseason Rate'!E107+'Offseason Rate'!E3</f>
        <v>2.8651174085500219</v>
      </c>
      <c r="T107" s="129">
        <f>+S107*0.4</f>
        <v>1.1460469634200088</v>
      </c>
      <c r="U107" s="124"/>
      <c r="V107" s="129"/>
      <c r="W107" s="129"/>
      <c r="X107" s="124"/>
      <c r="Y107" s="122"/>
      <c r="Z107" s="122"/>
      <c r="AH107" s="36" t="s">
        <v>321</v>
      </c>
      <c r="AI107" s="183">
        <v>8.0000000000000002E-3</v>
      </c>
      <c r="AR107" s="183"/>
    </row>
    <row r="108" spans="1:44" x14ac:dyDescent="0.25">
      <c r="A108" s="124" t="s">
        <v>22</v>
      </c>
      <c r="B108" s="126" t="s">
        <v>227</v>
      </c>
      <c r="C108" s="127"/>
      <c r="F108" s="127"/>
      <c r="G108" s="271" t="s">
        <v>36</v>
      </c>
      <c r="H108" s="273" t="s">
        <v>1000</v>
      </c>
      <c r="I108" s="124"/>
      <c r="J108" s="210" t="s">
        <v>142</v>
      </c>
      <c r="K108" s="211" t="s">
        <v>231</v>
      </c>
      <c r="L108" s="124"/>
      <c r="O108" s="124"/>
      <c r="P108" s="332"/>
      <c r="Q108" s="332">
        <f>SUM(Q102:Q107)</f>
        <v>3.3778547031698309</v>
      </c>
      <c r="R108" s="327"/>
      <c r="S108" s="129"/>
      <c r="T108" s="129">
        <f>SUM(T102:T107)</f>
        <v>2.8270192959235265</v>
      </c>
      <c r="U108" s="127"/>
      <c r="V108" s="129"/>
      <c r="W108" s="129"/>
      <c r="X108" s="127"/>
      <c r="Y108" s="124"/>
      <c r="Z108" s="124"/>
      <c r="AH108" s="36" t="s">
        <v>322</v>
      </c>
      <c r="AI108" s="183">
        <v>2E-3</v>
      </c>
      <c r="AR108" s="183"/>
    </row>
    <row r="109" spans="1:44" x14ac:dyDescent="0.25">
      <c r="A109" s="133" t="s">
        <v>153</v>
      </c>
      <c r="B109" s="131">
        <v>9.1999999999999998E-3</v>
      </c>
      <c r="F109" s="132"/>
      <c r="G109" s="270" t="s">
        <v>153</v>
      </c>
      <c r="H109" s="213">
        <v>7.6499999999999999E-2</v>
      </c>
      <c r="I109" s="127"/>
      <c r="J109" s="212" t="s">
        <v>153</v>
      </c>
      <c r="K109" s="213">
        <v>4.7199999999999999E-2</v>
      </c>
      <c r="L109" s="127"/>
      <c r="O109" s="127"/>
      <c r="P109" s="324"/>
      <c r="Q109" s="324"/>
      <c r="S109" s="124"/>
      <c r="T109" s="124"/>
      <c r="V109" s="124"/>
      <c r="W109" s="124"/>
      <c r="Y109" s="127"/>
      <c r="Z109" s="127"/>
      <c r="AI109" s="183"/>
      <c r="AR109" s="183"/>
    </row>
    <row r="110" spans="1:44" x14ac:dyDescent="0.25">
      <c r="A110" s="132" t="s">
        <v>60</v>
      </c>
      <c r="B110" s="131">
        <f>0.0022+0.0072+0.0131</f>
        <v>2.2499999999999999E-2</v>
      </c>
      <c r="C110" s="132"/>
      <c r="F110" s="122"/>
      <c r="G110" s="270" t="s">
        <v>60</v>
      </c>
      <c r="H110" s="213">
        <f>0.0022+0.0072</f>
        <v>9.4000000000000004E-3</v>
      </c>
      <c r="I110" s="132"/>
      <c r="J110" s="212" t="s">
        <v>60</v>
      </c>
      <c r="K110" s="213">
        <f>0.0022+0.0072</f>
        <v>9.4000000000000004E-3</v>
      </c>
      <c r="L110" s="132"/>
      <c r="O110" s="132"/>
      <c r="P110" s="327"/>
      <c r="Q110" s="327"/>
      <c r="R110" s="336"/>
      <c r="S110" s="127"/>
      <c r="T110" s="127"/>
      <c r="U110" s="132"/>
      <c r="V110" s="127"/>
      <c r="W110" s="127"/>
      <c r="X110" s="132"/>
      <c r="AH110" s="185">
        <v>36100</v>
      </c>
      <c r="AQ110" s="185"/>
    </row>
    <row r="111" spans="1:44" x14ac:dyDescent="0.25">
      <c r="A111" s="122" t="s">
        <v>869</v>
      </c>
      <c r="B111" s="123">
        <f>2.3/(1-0.0153)-2.3</f>
        <v>3.5736772621102642E-2</v>
      </c>
      <c r="C111" s="122"/>
      <c r="F111" s="122"/>
      <c r="G111" s="270" t="s">
        <v>426</v>
      </c>
      <c r="H111" s="214">
        <f>(+H5)/(1-0.0186)-H5</f>
        <v>6.6428571428571281E-2</v>
      </c>
      <c r="I111" s="122"/>
      <c r="J111" s="212" t="s">
        <v>382</v>
      </c>
      <c r="K111" s="214">
        <f>(K6)/(1-0.0232)-(K6)</f>
        <v>8.0634725634725513E-2</v>
      </c>
      <c r="L111" s="122"/>
      <c r="O111" s="122"/>
      <c r="P111" s="336"/>
      <c r="Q111" s="336"/>
      <c r="R111" s="322"/>
      <c r="S111" s="132"/>
      <c r="T111" s="132"/>
      <c r="U111" s="122"/>
      <c r="V111" s="132"/>
      <c r="W111" s="132"/>
      <c r="X111" s="122"/>
      <c r="AH111" s="186" t="s">
        <v>320</v>
      </c>
      <c r="AI111" s="183">
        <v>3.0000000000000001E-3</v>
      </c>
      <c r="AQ111" s="186"/>
      <c r="AR111" s="183"/>
    </row>
    <row r="112" spans="1:44" x14ac:dyDescent="0.25">
      <c r="A112" s="122"/>
      <c r="B112" s="126">
        <f>SUM(B109:B111)</f>
        <v>6.7436772621102647E-2</v>
      </c>
      <c r="C112" s="122"/>
      <c r="F112" s="124"/>
      <c r="G112" s="270"/>
      <c r="H112" s="215">
        <f>SUM(H109:H111)</f>
        <v>0.15232857142857129</v>
      </c>
      <c r="I112" s="122"/>
      <c r="J112" s="212"/>
      <c r="K112" s="215">
        <f>SUM(K109:K111)</f>
        <v>0.1372347256347255</v>
      </c>
      <c r="L112" s="122"/>
      <c r="O112" s="122"/>
      <c r="P112" s="322"/>
      <c r="Q112" s="322"/>
      <c r="R112" s="322"/>
      <c r="S112" s="122"/>
      <c r="T112" s="122"/>
      <c r="U112" s="122"/>
      <c r="V112" s="122"/>
      <c r="W112" s="122"/>
      <c r="X112" s="122"/>
      <c r="AH112" s="36" t="s">
        <v>321</v>
      </c>
      <c r="AI112" s="183">
        <v>6.0000000000000001E-3</v>
      </c>
      <c r="AR112" s="183"/>
    </row>
    <row r="113" spans="1:44" x14ac:dyDescent="0.25">
      <c r="A113" s="124" t="s">
        <v>22</v>
      </c>
      <c r="B113" s="126" t="s">
        <v>474</v>
      </c>
      <c r="C113" s="124"/>
      <c r="F113" s="127"/>
      <c r="G113" s="271" t="s">
        <v>36</v>
      </c>
      <c r="H113" s="273" t="s">
        <v>1058</v>
      </c>
      <c r="I113" s="124"/>
      <c r="J113" s="210" t="s">
        <v>142</v>
      </c>
      <c r="K113" s="211" t="s">
        <v>234</v>
      </c>
      <c r="L113" s="124"/>
      <c r="O113" s="124"/>
      <c r="P113" s="322"/>
      <c r="Q113" s="322"/>
      <c r="R113" s="324"/>
      <c r="S113" s="122"/>
      <c r="T113" s="122"/>
      <c r="U113" s="124"/>
      <c r="V113" s="122"/>
      <c r="W113" s="122"/>
      <c r="X113" s="124"/>
      <c r="AH113" s="36" t="s">
        <v>322</v>
      </c>
      <c r="AI113" s="183">
        <v>3.0000000000000001E-3</v>
      </c>
      <c r="AR113" s="183"/>
    </row>
    <row r="114" spans="1:44" x14ac:dyDescent="0.25">
      <c r="A114" s="133" t="s">
        <v>153</v>
      </c>
      <c r="B114" s="131">
        <v>1.38E-2</v>
      </c>
      <c r="C114" s="127"/>
      <c r="G114" s="270" t="s">
        <v>153</v>
      </c>
      <c r="H114" s="213">
        <v>6.4199999999999993E-2</v>
      </c>
      <c r="I114" s="127"/>
      <c r="J114" s="212" t="s">
        <v>153</v>
      </c>
      <c r="K114" s="213">
        <v>6.8599999999999994E-2</v>
      </c>
      <c r="L114" s="127"/>
      <c r="O114" s="127"/>
      <c r="P114" s="324"/>
      <c r="Q114" s="324"/>
      <c r="R114" s="327"/>
      <c r="S114" s="124"/>
      <c r="T114" s="124"/>
      <c r="U114" s="127"/>
      <c r="V114" s="124"/>
      <c r="W114" s="124"/>
      <c r="X114" s="127"/>
      <c r="AI114" s="183"/>
    </row>
    <row r="115" spans="1:44" x14ac:dyDescent="0.25">
      <c r="A115" s="132" t="s">
        <v>60</v>
      </c>
      <c r="B115" s="131">
        <f>0.0022+0.0072+0.0131</f>
        <v>2.2499999999999999E-2</v>
      </c>
      <c r="C115" s="132"/>
      <c r="G115" s="270" t="s">
        <v>60</v>
      </c>
      <c r="H115" s="213">
        <f>0.0022+0.0072</f>
        <v>9.4000000000000004E-3</v>
      </c>
      <c r="J115" s="212" t="s">
        <v>60</v>
      </c>
      <c r="K115" s="213">
        <f>0.0022+0.0072</f>
        <v>9.4000000000000004E-3</v>
      </c>
      <c r="P115" s="327"/>
      <c r="Q115" s="327"/>
      <c r="R115" s="336"/>
      <c r="S115" s="127"/>
      <c r="T115" s="127"/>
      <c r="U115" s="132"/>
      <c r="V115" s="127"/>
      <c r="W115" s="127"/>
      <c r="X115" s="132"/>
      <c r="AH115" s="185">
        <v>36069</v>
      </c>
      <c r="AQ115" s="185"/>
    </row>
    <row r="116" spans="1:44" x14ac:dyDescent="0.25">
      <c r="A116" s="122" t="s">
        <v>870</v>
      </c>
      <c r="B116" s="123">
        <f>2.3/(1-0.0237)-2.3</f>
        <v>5.5833247977056466E-2</v>
      </c>
      <c r="C116" s="122"/>
      <c r="D116" s="156"/>
      <c r="G116" s="270" t="s">
        <v>1059</v>
      </c>
      <c r="H116" s="214">
        <f>(+H4)/(1-0.0186)-H4</f>
        <v>6.2448542897900694E-2</v>
      </c>
      <c r="J116" s="212" t="s">
        <v>832</v>
      </c>
      <c r="K116" s="214">
        <f>(K6)/(1-0.0372)-(K6)</f>
        <v>0.1311736601578728</v>
      </c>
      <c r="R116" s="322"/>
      <c r="U116" s="122"/>
      <c r="X116" s="122"/>
      <c r="AH116" s="186" t="s">
        <v>320</v>
      </c>
      <c r="AI116" s="183">
        <v>0</v>
      </c>
      <c r="AQ116" s="186"/>
      <c r="AR116" s="183"/>
    </row>
    <row r="117" spans="1:44" x14ac:dyDescent="0.25">
      <c r="A117" s="122"/>
      <c r="B117" s="126">
        <f>SUM(B114:B116)</f>
        <v>9.2133247977056465E-2</v>
      </c>
      <c r="C117" s="122"/>
      <c r="D117" s="156"/>
      <c r="G117" s="270"/>
      <c r="H117" s="215">
        <f>SUM(H114:H116)</f>
        <v>0.13604854289790069</v>
      </c>
      <c r="J117" s="212"/>
      <c r="K117" s="215">
        <f>SUM(K114:K116)</f>
        <v>0.20917366015787281</v>
      </c>
      <c r="P117" s="336"/>
      <c r="Q117" s="336"/>
      <c r="R117" s="322"/>
      <c r="S117" s="132"/>
      <c r="T117" s="132"/>
      <c r="U117" s="122"/>
      <c r="V117" s="132"/>
      <c r="W117" s="132"/>
      <c r="X117" s="122"/>
      <c r="AH117" s="36" t="s">
        <v>321</v>
      </c>
      <c r="AI117" s="183">
        <v>0</v>
      </c>
      <c r="AR117" s="183"/>
    </row>
    <row r="118" spans="1:44" x14ac:dyDescent="0.25">
      <c r="A118" s="124" t="s">
        <v>22</v>
      </c>
      <c r="B118" s="126" t="s">
        <v>229</v>
      </c>
      <c r="C118" s="124"/>
      <c r="G118" s="271" t="s">
        <v>963</v>
      </c>
      <c r="H118" s="272"/>
      <c r="J118" s="210" t="s">
        <v>142</v>
      </c>
      <c r="K118" s="211" t="s">
        <v>236</v>
      </c>
      <c r="P118" s="322"/>
      <c r="Q118" s="322"/>
      <c r="R118" s="324"/>
      <c r="S118" s="122"/>
      <c r="T118" s="122"/>
      <c r="U118" s="124"/>
      <c r="V118" s="122"/>
      <c r="W118" s="122"/>
      <c r="X118" s="124"/>
      <c r="AH118" s="36" t="s">
        <v>322</v>
      </c>
      <c r="AI118" s="183">
        <v>0</v>
      </c>
      <c r="AR118" s="183"/>
    </row>
    <row r="119" spans="1:44" x14ac:dyDescent="0.25">
      <c r="A119" s="127" t="s">
        <v>153</v>
      </c>
      <c r="B119" s="131">
        <v>5.0000000000000001E-3</v>
      </c>
      <c r="C119" s="127"/>
      <c r="G119" s="268" t="s">
        <v>153</v>
      </c>
      <c r="H119" s="213">
        <v>9.4000000000000004E-3</v>
      </c>
      <c r="J119" s="212" t="s">
        <v>153</v>
      </c>
      <c r="K119" s="213">
        <v>8.3500000000000005E-2</v>
      </c>
      <c r="P119" s="322"/>
      <c r="Q119" s="322"/>
      <c r="R119" s="327"/>
      <c r="S119" s="122"/>
      <c r="T119" s="122"/>
      <c r="U119" s="127"/>
      <c r="V119" s="122"/>
      <c r="W119" s="122"/>
      <c r="X119" s="127"/>
    </row>
    <row r="120" spans="1:44" x14ac:dyDescent="0.25">
      <c r="A120" s="132" t="s">
        <v>60</v>
      </c>
      <c r="B120" s="131">
        <f>0.0022+0.0072+0.0131</f>
        <v>2.2499999999999999E-2</v>
      </c>
      <c r="G120" s="268" t="s">
        <v>60</v>
      </c>
      <c r="H120" s="213">
        <v>2.2000000000000001E-3</v>
      </c>
      <c r="J120" s="212" t="s">
        <v>60</v>
      </c>
      <c r="K120" s="213">
        <f>0.0022+0.0072</f>
        <v>9.4000000000000004E-3</v>
      </c>
      <c r="P120" s="324"/>
      <c r="Q120" s="324"/>
      <c r="S120" s="124"/>
      <c r="T120" s="124"/>
      <c r="V120" s="124"/>
      <c r="W120" s="124"/>
      <c r="AH120" s="185">
        <v>36039</v>
      </c>
      <c r="AQ120" s="185"/>
    </row>
    <row r="121" spans="1:44" x14ac:dyDescent="0.25">
      <c r="A121" s="122" t="s">
        <v>411</v>
      </c>
      <c r="B121" s="123">
        <f>B7/(1-0.0084)-B7</f>
        <v>2.9649052037111545E-2</v>
      </c>
      <c r="G121" s="268" t="s">
        <v>816</v>
      </c>
      <c r="H121" s="214">
        <f>(+AI3+AI17)/(1-0.0131)-(+AI3+AI17)</f>
        <v>4.6964342891883781E-2</v>
      </c>
      <c r="J121" s="212" t="s">
        <v>833</v>
      </c>
      <c r="K121" s="214">
        <f>(K6)/(1-0.0465)-(K6)</f>
        <v>0.16556633455689562</v>
      </c>
      <c r="P121" s="327"/>
      <c r="Q121" s="327"/>
      <c r="S121" s="127"/>
      <c r="T121" s="127"/>
      <c r="V121" s="127"/>
      <c r="W121" s="127"/>
      <c r="AH121" s="186" t="s">
        <v>320</v>
      </c>
      <c r="AI121" s="183">
        <v>0</v>
      </c>
      <c r="AQ121" s="186"/>
      <c r="AR121" s="183"/>
    </row>
    <row r="122" spans="1:44" x14ac:dyDescent="0.25">
      <c r="A122" s="122" t="s">
        <v>232</v>
      </c>
      <c r="B122" s="126">
        <f>SUM(B119:B121)</f>
        <v>5.7149052037111542E-2</v>
      </c>
      <c r="G122" s="270"/>
      <c r="H122" s="215">
        <f>SUM(H119:H121)</f>
        <v>5.8564342891883781E-2</v>
      </c>
      <c r="J122" s="212"/>
      <c r="K122" s="215">
        <f>SUM(K119:K121)</f>
        <v>0.2584663345568956</v>
      </c>
      <c r="P122" s="336"/>
      <c r="Q122" s="336"/>
      <c r="S122" s="132"/>
      <c r="T122" s="132"/>
      <c r="V122" s="132"/>
      <c r="W122" s="132"/>
      <c r="AH122" s="36" t="s">
        <v>321</v>
      </c>
      <c r="AI122" s="183">
        <v>0</v>
      </c>
      <c r="AR122" s="183"/>
    </row>
    <row r="123" spans="1:44" x14ac:dyDescent="0.25">
      <c r="A123" s="324" t="s">
        <v>873</v>
      </c>
      <c r="B123" s="306"/>
      <c r="G123" s="271" t="s">
        <v>36</v>
      </c>
      <c r="H123" s="272" t="s">
        <v>233</v>
      </c>
      <c r="J123" s="210" t="s">
        <v>142</v>
      </c>
      <c r="K123" s="215" t="s">
        <v>238</v>
      </c>
      <c r="P123" s="322"/>
      <c r="Q123" s="322"/>
      <c r="S123" s="122"/>
      <c r="T123" s="122"/>
      <c r="V123" s="122"/>
      <c r="W123" s="122"/>
      <c r="AH123" s="36" t="s">
        <v>322</v>
      </c>
      <c r="AI123" s="183">
        <v>0</v>
      </c>
      <c r="AR123" s="183"/>
    </row>
    <row r="124" spans="1:44" x14ac:dyDescent="0.25">
      <c r="A124" s="327" t="s">
        <v>22</v>
      </c>
      <c r="B124" s="306"/>
      <c r="G124" s="268" t="s">
        <v>153</v>
      </c>
      <c r="H124" s="213">
        <v>4.5900000000000003E-2</v>
      </c>
      <c r="J124" s="212" t="s">
        <v>153</v>
      </c>
      <c r="K124" s="218">
        <v>5.8299999999999998E-2</v>
      </c>
      <c r="P124" s="322"/>
      <c r="Q124" s="322"/>
      <c r="S124" s="122"/>
      <c r="T124" s="122"/>
      <c r="V124" s="122"/>
      <c r="W124" s="122"/>
    </row>
    <row r="125" spans="1:44" x14ac:dyDescent="0.25">
      <c r="A125" s="327" t="s">
        <v>323</v>
      </c>
      <c r="B125" s="306"/>
      <c r="G125" s="268" t="s">
        <v>60</v>
      </c>
      <c r="H125" s="213">
        <f>0.0022+0.0072</f>
        <v>9.4000000000000004E-3</v>
      </c>
      <c r="J125" s="212" t="s">
        <v>60</v>
      </c>
      <c r="K125" s="213">
        <f>0.0022</f>
        <v>2.2000000000000001E-3</v>
      </c>
      <c r="P125" s="324"/>
      <c r="Q125" s="324"/>
      <c r="S125" s="124"/>
      <c r="T125" s="124"/>
      <c r="V125" s="124"/>
      <c r="W125" s="124"/>
      <c r="AH125" s="185">
        <v>36008</v>
      </c>
      <c r="AQ125" s="185"/>
    </row>
    <row r="126" spans="1:44" x14ac:dyDescent="0.25">
      <c r="A126" s="332" t="s">
        <v>324</v>
      </c>
      <c r="B126" s="306"/>
      <c r="G126" s="268" t="s">
        <v>427</v>
      </c>
      <c r="H126" s="214">
        <f>(+H5)/(1-0.0107)-H5</f>
        <v>3.790912766602661E-2</v>
      </c>
      <c r="J126" s="212" t="s">
        <v>834</v>
      </c>
      <c r="K126" s="214">
        <f>(K6)/(1-0.0304)-K6</f>
        <v>0.10644389438943902</v>
      </c>
      <c r="P126" s="327"/>
      <c r="Q126" s="327"/>
      <c r="S126" s="127"/>
      <c r="T126" s="127"/>
      <c r="V126" s="127"/>
      <c r="W126" s="127"/>
      <c r="AH126" s="186" t="s">
        <v>320</v>
      </c>
      <c r="AI126" s="183">
        <v>0</v>
      </c>
      <c r="AQ126" s="186"/>
      <c r="AR126" s="183"/>
    </row>
    <row r="127" spans="1:44" x14ac:dyDescent="0.25">
      <c r="A127" s="332" t="s">
        <v>22</v>
      </c>
      <c r="B127" s="326" t="s">
        <v>220</v>
      </c>
      <c r="G127" s="270"/>
      <c r="H127" s="215">
        <f>SUM(H124:H126)</f>
        <v>9.3209127666026612E-2</v>
      </c>
      <c r="J127" s="212"/>
      <c r="K127" s="215">
        <f>SUM(K124:K126)</f>
        <v>0.16694389438943902</v>
      </c>
      <c r="AH127" s="36" t="s">
        <v>321</v>
      </c>
      <c r="AI127" s="183">
        <v>0</v>
      </c>
      <c r="AR127" s="183"/>
    </row>
    <row r="128" spans="1:44" x14ac:dyDescent="0.25">
      <c r="A128" s="332" t="s">
        <v>153</v>
      </c>
      <c r="B128" s="391">
        <v>1.6000000000000001E-3</v>
      </c>
      <c r="G128" s="271" t="s">
        <v>36</v>
      </c>
      <c r="H128" s="272" t="s">
        <v>235</v>
      </c>
      <c r="J128" s="210" t="s">
        <v>142</v>
      </c>
      <c r="K128" s="215" t="s">
        <v>240</v>
      </c>
      <c r="AH128" s="36" t="s">
        <v>322</v>
      </c>
      <c r="AI128" s="183">
        <v>0</v>
      </c>
      <c r="AR128" s="183"/>
    </row>
    <row r="129" spans="1:35" x14ac:dyDescent="0.25">
      <c r="A129" s="324" t="s">
        <v>60</v>
      </c>
      <c r="B129" s="391">
        <f>0.0022+0.0072+0.0131</f>
        <v>2.2499999999999999E-2</v>
      </c>
      <c r="G129" s="268" t="s">
        <v>153</v>
      </c>
      <c r="H129" s="488">
        <v>0.15770000000000001</v>
      </c>
      <c r="J129" s="212" t="s">
        <v>153</v>
      </c>
      <c r="K129" s="218">
        <v>7.3099999999999998E-2</v>
      </c>
    </row>
    <row r="130" spans="1:35" x14ac:dyDescent="0.25">
      <c r="A130" s="327" t="s">
        <v>865</v>
      </c>
      <c r="B130" s="323">
        <f>B3/(1-0.019)-B3</f>
        <v>6.895005096839979E-2</v>
      </c>
      <c r="G130" s="268" t="s">
        <v>60</v>
      </c>
      <c r="H130" s="213">
        <f>0.0022+0+0.0225+0.0072</f>
        <v>3.1899999999999998E-2</v>
      </c>
      <c r="J130" s="212" t="s">
        <v>60</v>
      </c>
      <c r="K130" s="213">
        <f>0.0022+0.0072</f>
        <v>9.4000000000000004E-3</v>
      </c>
      <c r="AH130" s="185">
        <v>35977</v>
      </c>
    </row>
    <row r="131" spans="1:35" x14ac:dyDescent="0.25">
      <c r="A131" s="336" t="s">
        <v>232</v>
      </c>
      <c r="B131" s="326">
        <f>SUM(B128:B130)</f>
        <v>9.3050050968399786E-2</v>
      </c>
      <c r="G131" s="268" t="s">
        <v>418</v>
      </c>
      <c r="H131" s="269">
        <f>(H4)/(1-0.095)-H4</f>
        <v>0.34588397790055225</v>
      </c>
      <c r="J131" s="212" t="s">
        <v>835</v>
      </c>
      <c r="K131" s="214">
        <f>(K6)/(1-0.0399)-K6</f>
        <v>0.14108999062597682</v>
      </c>
      <c r="AH131" s="186" t="s">
        <v>320</v>
      </c>
      <c r="AI131" s="183">
        <v>0</v>
      </c>
    </row>
    <row r="132" spans="1:35" x14ac:dyDescent="0.25">
      <c r="A132" s="322"/>
      <c r="B132" s="306"/>
      <c r="G132" s="270"/>
      <c r="H132" s="215">
        <f>SUM(H129:H131)</f>
        <v>0.53548397790055224</v>
      </c>
      <c r="J132" s="212"/>
      <c r="K132" s="215">
        <f>SUM(K129:K131)</f>
        <v>0.22358999062597684</v>
      </c>
      <c r="AH132" s="36" t="s">
        <v>321</v>
      </c>
      <c r="AI132" s="183">
        <v>0</v>
      </c>
    </row>
    <row r="133" spans="1:35" x14ac:dyDescent="0.25">
      <c r="A133" s="327" t="s">
        <v>22</v>
      </c>
      <c r="B133" s="306"/>
      <c r="G133" s="271" t="s">
        <v>36</v>
      </c>
      <c r="H133" s="272" t="s">
        <v>237</v>
      </c>
      <c r="J133" s="210" t="s">
        <v>142</v>
      </c>
      <c r="K133" s="215" t="s">
        <v>241</v>
      </c>
      <c r="AH133" s="36" t="s">
        <v>322</v>
      </c>
      <c r="AI133" s="183">
        <v>0</v>
      </c>
    </row>
    <row r="134" spans="1:35" x14ac:dyDescent="0.25">
      <c r="A134" s="327" t="s">
        <v>575</v>
      </c>
      <c r="B134" s="306"/>
      <c r="G134" s="268" t="s">
        <v>153</v>
      </c>
      <c r="H134" s="488">
        <v>0.31900000000000001</v>
      </c>
      <c r="J134" s="212" t="s">
        <v>153</v>
      </c>
      <c r="K134" s="218">
        <v>5.1499999999999997E-2</v>
      </c>
    </row>
    <row r="135" spans="1:35" x14ac:dyDescent="0.25">
      <c r="A135" s="332" t="s">
        <v>574</v>
      </c>
      <c r="B135" s="306"/>
      <c r="G135" s="268" t="s">
        <v>60</v>
      </c>
      <c r="H135" s="213">
        <f>0.0022+0+0.0225+0.0072</f>
        <v>3.1899999999999998E-2</v>
      </c>
      <c r="J135" s="212" t="s">
        <v>60</v>
      </c>
      <c r="K135" s="213">
        <f>0.0022+0.0072</f>
        <v>9.4000000000000004E-3</v>
      </c>
    </row>
    <row r="136" spans="1:35" x14ac:dyDescent="0.25">
      <c r="A136" s="332" t="s">
        <v>22</v>
      </c>
      <c r="B136" s="326" t="s">
        <v>229</v>
      </c>
      <c r="G136" s="268" t="s">
        <v>412</v>
      </c>
      <c r="H136" s="269">
        <f>(H3)/(1-0.0244)-H3</f>
        <v>8.1408364083640716E-2</v>
      </c>
      <c r="J136" s="212" t="s">
        <v>721</v>
      </c>
      <c r="K136" s="214">
        <f>(2.25)/(1-0.026)-2.25</f>
        <v>6.006160164271046E-2</v>
      </c>
    </row>
    <row r="137" spans="1:35" x14ac:dyDescent="0.25">
      <c r="A137" s="332" t="s">
        <v>153</v>
      </c>
      <c r="B137" s="391">
        <v>5.7000000000000002E-3</v>
      </c>
      <c r="G137" s="270"/>
      <c r="H137" s="215">
        <f>SUM(H134:H136)</f>
        <v>0.43230836408364071</v>
      </c>
      <c r="J137" s="212"/>
      <c r="K137" s="215">
        <f>SUM(K134:K136)</f>
        <v>0.12096160164271046</v>
      </c>
    </row>
    <row r="138" spans="1:35" x14ac:dyDescent="0.25">
      <c r="A138" s="324" t="s">
        <v>60</v>
      </c>
      <c r="B138" s="391">
        <f>0.0072+0.0022</f>
        <v>9.4000000000000004E-3</v>
      </c>
      <c r="E138" s="78"/>
      <c r="F138" s="78"/>
      <c r="G138" s="271" t="s">
        <v>36</v>
      </c>
      <c r="H138" s="272" t="s">
        <v>239</v>
      </c>
      <c r="I138" s="78"/>
      <c r="J138" s="219"/>
      <c r="K138" s="219"/>
      <c r="L138" s="78"/>
    </row>
    <row r="139" spans="1:35" x14ac:dyDescent="0.25">
      <c r="A139" s="327" t="s">
        <v>633</v>
      </c>
      <c r="B139" s="323">
        <f>B7/(1-0.0084)-B7</f>
        <v>2.9649052037111545E-2</v>
      </c>
      <c r="E139" s="78"/>
      <c r="F139" s="78"/>
      <c r="G139" s="268" t="s">
        <v>153</v>
      </c>
      <c r="H139" s="488">
        <v>0.36809999999999998</v>
      </c>
      <c r="I139" s="78"/>
      <c r="J139" s="243"/>
      <c r="K139" s="247"/>
      <c r="L139" s="78"/>
    </row>
    <row r="140" spans="1:35" x14ac:dyDescent="0.25">
      <c r="A140" s="336" t="s">
        <v>232</v>
      </c>
      <c r="B140" s="326">
        <f>SUM(B137:B139)</f>
        <v>4.4749052037111547E-2</v>
      </c>
      <c r="E140" s="78"/>
      <c r="F140" s="78"/>
      <c r="G140" s="268" t="s">
        <v>60</v>
      </c>
      <c r="H140" s="213">
        <f>0.0022+0+0.0225+0.0072</f>
        <v>3.1899999999999998E-2</v>
      </c>
      <c r="I140" s="78"/>
      <c r="J140" s="243"/>
      <c r="K140" s="243"/>
      <c r="L140" s="78"/>
    </row>
    <row r="141" spans="1:35" x14ac:dyDescent="0.25">
      <c r="A141" s="327"/>
      <c r="B141" s="306"/>
      <c r="E141" s="78"/>
      <c r="F141" s="78"/>
      <c r="G141" s="268" t="s">
        <v>420</v>
      </c>
      <c r="H141" s="269">
        <f>(H4)/(1-0.0369)-H4</f>
        <v>0.12624389990655205</v>
      </c>
      <c r="I141" s="78"/>
      <c r="J141" s="243"/>
      <c r="K141" s="244"/>
      <c r="L141" s="78"/>
    </row>
    <row r="142" spans="1:35" x14ac:dyDescent="0.25">
      <c r="A142" s="336" t="s">
        <v>620</v>
      </c>
      <c r="B142" s="306"/>
      <c r="E142" s="78"/>
      <c r="F142" s="78"/>
      <c r="G142" s="270"/>
      <c r="H142" s="215">
        <f>SUM(H139:H141)</f>
        <v>0.52624389990655196</v>
      </c>
      <c r="I142" s="78"/>
      <c r="J142" s="243"/>
      <c r="K142" s="245"/>
      <c r="L142" s="78"/>
    </row>
    <row r="143" spans="1:35" x14ac:dyDescent="0.25">
      <c r="A143" s="322" t="s">
        <v>621</v>
      </c>
      <c r="B143" s="306"/>
      <c r="E143" s="78"/>
      <c r="F143" s="78"/>
      <c r="G143" s="268" t="s">
        <v>47</v>
      </c>
      <c r="H143" s="213" t="s">
        <v>47</v>
      </c>
      <c r="I143" s="78"/>
      <c r="J143" s="243"/>
      <c r="K143" s="243"/>
      <c r="L143" s="78"/>
    </row>
    <row r="144" spans="1:35" x14ac:dyDescent="0.25">
      <c r="A144" s="322" t="s">
        <v>384</v>
      </c>
      <c r="B144" s="306">
        <v>4.4999999999999998E-2</v>
      </c>
      <c r="E144" s="78"/>
      <c r="F144" s="78"/>
      <c r="G144" s="271" t="s">
        <v>36</v>
      </c>
      <c r="H144" s="273" t="s">
        <v>243</v>
      </c>
      <c r="I144" s="78"/>
      <c r="J144" s="243"/>
      <c r="K144" s="243"/>
      <c r="L144" s="78"/>
    </row>
    <row r="145" spans="1:12" x14ac:dyDescent="0.25">
      <c r="A145" s="324" t="s">
        <v>60</v>
      </c>
      <c r="B145" s="306">
        <f>0.0022+0.0072</f>
        <v>9.4000000000000004E-3</v>
      </c>
      <c r="E145" s="78"/>
      <c r="F145" s="78"/>
      <c r="G145" s="270" t="s">
        <v>153</v>
      </c>
      <c r="H145" s="488">
        <v>0.1764</v>
      </c>
      <c r="I145" s="78"/>
      <c r="J145" s="244"/>
      <c r="K145" s="244"/>
      <c r="L145" s="78"/>
    </row>
    <row r="146" spans="1:12" x14ac:dyDescent="0.25">
      <c r="A146" s="327" t="s">
        <v>872</v>
      </c>
      <c r="B146" s="306">
        <f>ROUND(+B4/(1-0.0706)-B4,4)</f>
        <v>0.27039999999999997</v>
      </c>
      <c r="G146" s="270" t="s">
        <v>60</v>
      </c>
      <c r="H146" s="213">
        <f>0.0022+0.0072</f>
        <v>9.4000000000000004E-3</v>
      </c>
      <c r="J146" s="245"/>
      <c r="K146" s="245"/>
    </row>
    <row r="147" spans="1:12" ht="13.8" thickBot="1" x14ac:dyDescent="0.3">
      <c r="A147" s="306"/>
      <c r="B147" s="392">
        <f>SUM(B144:B146)</f>
        <v>0.32479999999999998</v>
      </c>
      <c r="G147" s="270" t="s">
        <v>425</v>
      </c>
      <c r="H147" s="214">
        <f>(H5)/(1-0.0117)-H5</f>
        <v>4.1493979560862204E-2</v>
      </c>
      <c r="J147" s="246"/>
      <c r="K147" s="246"/>
    </row>
    <row r="148" spans="1:12" ht="13.8" thickTop="1" x14ac:dyDescent="0.25">
      <c r="A148" s="306"/>
      <c r="B148" s="306"/>
      <c r="G148" s="270"/>
      <c r="H148" s="215">
        <f>SUM(H145:H147)</f>
        <v>0.2272939795608622</v>
      </c>
      <c r="J148" s="243"/>
      <c r="K148" s="243"/>
    </row>
    <row r="149" spans="1:12" x14ac:dyDescent="0.25">
      <c r="A149" s="306" t="s">
        <v>623</v>
      </c>
      <c r="B149" s="393"/>
      <c r="G149" s="199"/>
      <c r="H149" s="199"/>
      <c r="J149" s="243"/>
      <c r="K149" s="243"/>
    </row>
    <row r="150" spans="1:12" x14ac:dyDescent="0.25">
      <c r="A150" s="332" t="s">
        <v>624</v>
      </c>
      <c r="B150" s="306"/>
      <c r="G150" s="268" t="s">
        <v>47</v>
      </c>
      <c r="H150" s="213" t="s">
        <v>47</v>
      </c>
      <c r="J150" s="244"/>
      <c r="K150" s="244"/>
    </row>
    <row r="151" spans="1:12" x14ac:dyDescent="0.25">
      <c r="A151" s="332" t="s">
        <v>22</v>
      </c>
      <c r="B151" s="326" t="s">
        <v>229</v>
      </c>
      <c r="G151" s="268" t="s">
        <v>47</v>
      </c>
      <c r="H151" s="213" t="s">
        <v>47</v>
      </c>
      <c r="J151" s="245"/>
      <c r="K151" s="245"/>
    </row>
    <row r="152" spans="1:12" x14ac:dyDescent="0.25">
      <c r="A152" s="332" t="s">
        <v>153</v>
      </c>
      <c r="B152" s="391">
        <v>5.4999999999999997E-3</v>
      </c>
      <c r="G152" s="199"/>
      <c r="H152" s="199"/>
      <c r="J152" s="245"/>
      <c r="K152" s="245"/>
    </row>
    <row r="153" spans="1:12" x14ac:dyDescent="0.25">
      <c r="A153" s="324" t="s">
        <v>60</v>
      </c>
      <c r="B153" s="391">
        <v>1.67E-2</v>
      </c>
      <c r="G153" s="409"/>
      <c r="H153" s="409"/>
      <c r="J153" s="247"/>
      <c r="K153" s="247"/>
    </row>
    <row r="154" spans="1:12" x14ac:dyDescent="0.25">
      <c r="A154" s="327" t="s">
        <v>633</v>
      </c>
      <c r="B154" s="323">
        <f>B7/(1-0.0084)-B7</f>
        <v>2.9649052037111545E-2</v>
      </c>
      <c r="G154" s="410"/>
      <c r="H154" s="410"/>
      <c r="J154" s="247"/>
      <c r="K154" s="247"/>
    </row>
    <row r="155" spans="1:12" x14ac:dyDescent="0.25">
      <c r="A155" s="336" t="s">
        <v>232</v>
      </c>
      <c r="B155" s="326">
        <f>SUM(B152:B154)</f>
        <v>5.1849052037111543E-2</v>
      </c>
      <c r="G155" s="411" t="s">
        <v>47</v>
      </c>
      <c r="H155" s="243" t="s">
        <v>47</v>
      </c>
      <c r="J155" s="247"/>
      <c r="K155" s="247"/>
    </row>
    <row r="156" spans="1:12" x14ac:dyDescent="0.25">
      <c r="A156" s="327"/>
      <c r="B156" s="306"/>
      <c r="G156" s="411" t="s">
        <v>47</v>
      </c>
      <c r="H156" s="243" t="s">
        <v>47</v>
      </c>
      <c r="J156" s="244"/>
      <c r="K156" s="244"/>
    </row>
    <row r="157" spans="1:12" x14ac:dyDescent="0.25">
      <c r="G157" s="410"/>
      <c r="H157" s="410"/>
      <c r="J157" s="245"/>
      <c r="K157" s="245"/>
    </row>
    <row r="158" spans="1:12" x14ac:dyDescent="0.25">
      <c r="G158" s="410"/>
      <c r="H158" s="410"/>
      <c r="J158" s="246"/>
      <c r="K158" s="246"/>
    </row>
    <row r="159" spans="1:12" x14ac:dyDescent="0.25">
      <c r="G159" s="410"/>
      <c r="H159" s="410"/>
      <c r="J159" s="243"/>
      <c r="K159" s="243"/>
    </row>
    <row r="160" spans="1:12" x14ac:dyDescent="0.25">
      <c r="G160" s="410"/>
      <c r="H160" s="410"/>
      <c r="J160" s="243"/>
      <c r="K160" s="243"/>
    </row>
    <row r="161" spans="10:11" x14ac:dyDescent="0.25">
      <c r="J161" s="244"/>
      <c r="K161" s="244"/>
    </row>
    <row r="162" spans="10:11" x14ac:dyDescent="0.25">
      <c r="J162" s="245"/>
      <c r="K162" s="245"/>
    </row>
    <row r="164" spans="10:11" x14ac:dyDescent="0.25">
      <c r="J164" s="246"/>
      <c r="K164" s="246"/>
    </row>
    <row r="165" spans="10:11" x14ac:dyDescent="0.25">
      <c r="J165" s="243"/>
      <c r="K165" s="243"/>
    </row>
    <row r="166" spans="10:11" x14ac:dyDescent="0.25">
      <c r="J166" s="243"/>
      <c r="K166" s="243"/>
    </row>
    <row r="167" spans="10:11" x14ac:dyDescent="0.25">
      <c r="J167" s="244"/>
      <c r="K167" s="244"/>
    </row>
    <row r="168" spans="10:11" x14ac:dyDescent="0.25">
      <c r="J168" s="245"/>
      <c r="K168" s="245"/>
    </row>
    <row r="169" spans="10:11" x14ac:dyDescent="0.25">
      <c r="J169" s="246"/>
      <c r="K169" s="246"/>
    </row>
    <row r="170" spans="10:11" x14ac:dyDescent="0.25">
      <c r="J170" s="243"/>
      <c r="K170" s="243"/>
    </row>
    <row r="171" spans="10:11" x14ac:dyDescent="0.25">
      <c r="J171" s="243"/>
      <c r="K171" s="243"/>
    </row>
    <row r="172" spans="10:11" x14ac:dyDescent="0.25">
      <c r="J172" s="244"/>
      <c r="K172" s="244"/>
    </row>
    <row r="173" spans="10:11" x14ac:dyDescent="0.25">
      <c r="J173" s="245"/>
      <c r="K173" s="24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3.2" x14ac:dyDescent="0.25"/>
  <cols>
    <col min="1" max="2" width="10.88671875" style="199" customWidth="1"/>
    <col min="3" max="3" width="2.88671875" style="36" customWidth="1"/>
    <col min="4" max="5" width="10.88671875" style="199" customWidth="1"/>
    <col min="6" max="6" width="2.88671875" style="36" customWidth="1"/>
    <col min="7" max="8" width="10.88671875" style="191" customWidth="1"/>
    <col min="9" max="9" width="2.88671875" style="36" customWidth="1"/>
    <col min="10" max="11" width="9.109375" style="199" customWidth="1"/>
    <col min="12" max="12" width="3.44140625" style="36" customWidth="1"/>
    <col min="13" max="14" width="9.109375" style="199" customWidth="1"/>
    <col min="15" max="15" width="3.44140625" style="36" customWidth="1"/>
  </cols>
  <sheetData>
    <row r="1" spans="1:15" ht="13.8" thickBot="1" x14ac:dyDescent="0.3"/>
    <row r="2" spans="1:15" ht="13.8" thickTop="1" x14ac:dyDescent="0.25">
      <c r="A2" s="200" t="s">
        <v>47</v>
      </c>
      <c r="B2" s="285"/>
      <c r="C2" s="115"/>
      <c r="D2" s="200" t="s">
        <v>47</v>
      </c>
      <c r="E2" s="201"/>
      <c r="F2" s="115"/>
      <c r="G2" s="224"/>
      <c r="H2" s="283" t="s">
        <v>121</v>
      </c>
      <c r="I2" s="115"/>
      <c r="K2" s="281" t="s">
        <v>652</v>
      </c>
    </row>
    <row r="3" spans="1:15" x14ac:dyDescent="0.25">
      <c r="A3" s="204" t="s">
        <v>123</v>
      </c>
      <c r="B3" s="286">
        <f>+Rates!H3</f>
        <v>3.2549999999999999</v>
      </c>
      <c r="C3" s="115"/>
      <c r="D3" s="202" t="s">
        <v>78</v>
      </c>
      <c r="E3" s="203">
        <v>2.5</v>
      </c>
      <c r="F3" s="115"/>
      <c r="G3" s="225" t="s">
        <v>78</v>
      </c>
      <c r="H3" s="284">
        <f>+E3</f>
        <v>2.5</v>
      </c>
      <c r="I3" s="115"/>
      <c r="J3" s="277" t="s">
        <v>405</v>
      </c>
      <c r="K3" s="282">
        <f>+Rates!AF3</f>
        <v>3.35</v>
      </c>
      <c r="M3" s="202" t="s">
        <v>126</v>
      </c>
      <c r="N3" s="203">
        <v>2.97</v>
      </c>
    </row>
    <row r="4" spans="1:15" x14ac:dyDescent="0.25">
      <c r="A4" s="204" t="s">
        <v>128</v>
      </c>
      <c r="B4" s="287">
        <f>+Rates!H4</f>
        <v>3.2949999999999999</v>
      </c>
      <c r="C4" s="115"/>
      <c r="D4" s="202" t="s">
        <v>79</v>
      </c>
      <c r="E4" s="203">
        <v>2.165</v>
      </c>
      <c r="F4" s="115"/>
      <c r="G4" s="225" t="s">
        <v>79</v>
      </c>
      <c r="H4" s="284">
        <f>+E4</f>
        <v>2.165</v>
      </c>
      <c r="I4" s="115"/>
      <c r="J4" s="277" t="s">
        <v>406</v>
      </c>
      <c r="M4" s="277" t="s">
        <v>406</v>
      </c>
    </row>
    <row r="5" spans="1:15" x14ac:dyDescent="0.25">
      <c r="A5" s="204" t="s">
        <v>77</v>
      </c>
      <c r="B5" s="288">
        <f>+Rates!H5</f>
        <v>3.5049999999999999</v>
      </c>
      <c r="C5" s="115"/>
      <c r="D5" s="202" t="s">
        <v>131</v>
      </c>
      <c r="E5" s="203">
        <f>2.815-0.0635</f>
        <v>2.7515000000000001</v>
      </c>
      <c r="F5" s="115"/>
      <c r="G5" s="225" t="s">
        <v>131</v>
      </c>
      <c r="H5" s="284">
        <f>+E5</f>
        <v>2.7515000000000001</v>
      </c>
      <c r="I5" s="115"/>
    </row>
    <row r="6" spans="1:15" x14ac:dyDescent="0.25">
      <c r="A6" s="263"/>
      <c r="B6" s="263"/>
      <c r="C6" s="150"/>
      <c r="D6" s="204" t="s">
        <v>133</v>
      </c>
      <c r="E6" s="205">
        <v>2.6</v>
      </c>
      <c r="F6" s="150"/>
      <c r="G6" s="227" t="s">
        <v>133</v>
      </c>
      <c r="H6" s="284">
        <f>+E6</f>
        <v>2.6</v>
      </c>
      <c r="I6" s="150"/>
      <c r="J6" s="263"/>
      <c r="K6" s="263"/>
      <c r="L6" s="108"/>
      <c r="M6" s="263"/>
      <c r="N6" s="263"/>
      <c r="O6" s="108"/>
    </row>
    <row r="7" spans="1:15" x14ac:dyDescent="0.25">
      <c r="A7" s="264"/>
      <c r="B7" s="264"/>
      <c r="C7" s="152"/>
      <c r="D7" s="206" t="s">
        <v>126</v>
      </c>
      <c r="E7" s="207">
        <v>3.0649999999999999</v>
      </c>
      <c r="F7" s="152"/>
      <c r="G7" s="229" t="s">
        <v>126</v>
      </c>
      <c r="H7" s="284">
        <f>+E7</f>
        <v>3.0649999999999999</v>
      </c>
      <c r="I7" s="152"/>
      <c r="J7" s="278"/>
      <c r="K7" s="278"/>
      <c r="L7" s="171"/>
      <c r="M7" s="278"/>
      <c r="N7" s="278"/>
      <c r="O7" s="171"/>
    </row>
    <row r="8" spans="1:15" x14ac:dyDescent="0.25">
      <c r="A8" s="276" t="s">
        <v>642</v>
      </c>
      <c r="B8" s="252"/>
      <c r="C8" s="172"/>
      <c r="D8" s="227" t="s">
        <v>640</v>
      </c>
      <c r="E8" s="228"/>
      <c r="F8" s="115"/>
      <c r="G8" s="227" t="s">
        <v>640</v>
      </c>
      <c r="H8" s="228"/>
      <c r="I8" s="115"/>
      <c r="J8" s="199" t="s">
        <v>404</v>
      </c>
      <c r="M8" s="199" t="s">
        <v>837</v>
      </c>
    </row>
    <row r="9" spans="1:15" x14ac:dyDescent="0.25">
      <c r="A9" s="252" t="s">
        <v>135</v>
      </c>
      <c r="B9" s="252"/>
      <c r="C9" s="173"/>
      <c r="D9" s="230" t="s">
        <v>380</v>
      </c>
      <c r="E9" s="228"/>
      <c r="F9" s="115"/>
      <c r="G9" s="230" t="s">
        <v>690</v>
      </c>
      <c r="H9" s="228"/>
      <c r="I9" s="115"/>
      <c r="J9" s="199" t="s">
        <v>408</v>
      </c>
      <c r="M9" s="199" t="s">
        <v>651</v>
      </c>
    </row>
    <row r="10" spans="1:15" x14ac:dyDescent="0.25">
      <c r="A10" s="252" t="s">
        <v>410</v>
      </c>
      <c r="B10" s="252"/>
      <c r="C10" s="173"/>
      <c r="D10" s="231" t="s">
        <v>409</v>
      </c>
      <c r="E10" s="228"/>
      <c r="F10" s="115"/>
      <c r="G10" s="231" t="s">
        <v>409</v>
      </c>
      <c r="H10" s="228"/>
      <c r="I10" s="115"/>
      <c r="J10" s="199" t="s">
        <v>401</v>
      </c>
      <c r="M10" s="199" t="s">
        <v>650</v>
      </c>
    </row>
    <row r="11" spans="1:15" x14ac:dyDescent="0.25">
      <c r="A11" s="230" t="s">
        <v>643</v>
      </c>
      <c r="B11" s="252"/>
      <c r="C11" s="173"/>
      <c r="D11" s="231" t="s">
        <v>692</v>
      </c>
      <c r="E11" s="228"/>
      <c r="F11" s="115"/>
      <c r="G11" s="231" t="s">
        <v>814</v>
      </c>
      <c r="H11" s="228"/>
      <c r="I11" s="115"/>
      <c r="J11" s="199" t="s">
        <v>402</v>
      </c>
    </row>
    <row r="12" spans="1:15" x14ac:dyDescent="0.25">
      <c r="A12" s="225"/>
      <c r="B12" s="253"/>
      <c r="C12" s="115"/>
      <c r="D12" s="225" t="s">
        <v>691</v>
      </c>
      <c r="E12" s="226"/>
      <c r="F12" s="115"/>
      <c r="G12" s="225" t="s">
        <v>456</v>
      </c>
      <c r="H12" s="226"/>
      <c r="I12" s="115"/>
      <c r="J12" s="191" t="s">
        <v>848</v>
      </c>
      <c r="M12" s="199" t="s">
        <v>838</v>
      </c>
    </row>
    <row r="13" spans="1:15" x14ac:dyDescent="0.25">
      <c r="A13" s="254" t="s">
        <v>36</v>
      </c>
      <c r="B13" s="255" t="s">
        <v>141</v>
      </c>
      <c r="C13" s="132"/>
      <c r="D13" s="232" t="s">
        <v>142</v>
      </c>
      <c r="E13" s="233" t="s">
        <v>143</v>
      </c>
      <c r="F13" s="132"/>
      <c r="G13" s="232" t="s">
        <v>142</v>
      </c>
      <c r="H13" s="233" t="s">
        <v>182</v>
      </c>
      <c r="I13" s="132"/>
      <c r="J13" s="199" t="s">
        <v>148</v>
      </c>
      <c r="M13" s="266" t="s">
        <v>151</v>
      </c>
      <c r="N13" s="267" t="s">
        <v>152</v>
      </c>
    </row>
    <row r="14" spans="1:15" x14ac:dyDescent="0.25">
      <c r="A14" s="256" t="s">
        <v>153</v>
      </c>
      <c r="B14" s="235">
        <v>4.3900000000000002E-2</v>
      </c>
      <c r="C14" s="122"/>
      <c r="D14" s="234" t="s">
        <v>153</v>
      </c>
      <c r="E14" s="235">
        <v>1.78E-2</v>
      </c>
      <c r="F14" s="122"/>
      <c r="G14" s="234" t="s">
        <v>153</v>
      </c>
      <c r="H14" s="235">
        <v>0.56030000000000002</v>
      </c>
      <c r="I14" s="122"/>
      <c r="J14" s="268" t="s">
        <v>153</v>
      </c>
      <c r="K14" s="213">
        <f>0.005+0.002</f>
        <v>7.0000000000000001E-3</v>
      </c>
      <c r="M14" s="268" t="s">
        <v>153</v>
      </c>
      <c r="N14" s="213">
        <v>1.12E-2</v>
      </c>
    </row>
    <row r="15" spans="1:15" x14ac:dyDescent="0.25">
      <c r="A15" s="256" t="s">
        <v>60</v>
      </c>
      <c r="B15" s="235">
        <f>0.0022+0.0072+0.0225</f>
        <v>3.1899999999999998E-2</v>
      </c>
      <c r="C15" s="122"/>
      <c r="D15" s="234" t="s">
        <v>60</v>
      </c>
      <c r="E15" s="235">
        <f>0.0022+0.0072</f>
        <v>9.4000000000000004E-3</v>
      </c>
      <c r="F15" s="122"/>
      <c r="G15" s="234" t="s">
        <v>60</v>
      </c>
      <c r="H15" s="235">
        <f>0.0022+0.0072</f>
        <v>9.4000000000000004E-3</v>
      </c>
      <c r="I15" s="122"/>
      <c r="J15" s="268" t="s">
        <v>60</v>
      </c>
      <c r="K15" s="213">
        <f>0.0022+0.0072</f>
        <v>9.4000000000000004E-3</v>
      </c>
      <c r="M15" s="268" t="s">
        <v>60</v>
      </c>
      <c r="N15" s="213">
        <f>0.0022+0.0072</f>
        <v>9.4000000000000004E-3</v>
      </c>
    </row>
    <row r="16" spans="1:15" x14ac:dyDescent="0.25">
      <c r="A16" s="256" t="s">
        <v>304</v>
      </c>
      <c r="B16" s="257">
        <f>(B3)/(1-0.0089)-B3</f>
        <v>2.9229643830087859E-2</v>
      </c>
      <c r="C16" s="124"/>
      <c r="D16" s="234" t="s">
        <v>648</v>
      </c>
      <c r="E16" s="236">
        <f>(E5)/(1-0.0268)-E5</f>
        <v>7.5770859021783821E-2</v>
      </c>
      <c r="F16" s="124"/>
      <c r="G16" s="234" t="s">
        <v>671</v>
      </c>
      <c r="H16" s="236">
        <f>(H5)/(1-0.0926)-H5</f>
        <v>0.2807900595106898</v>
      </c>
      <c r="I16" s="124"/>
      <c r="J16" s="268" t="s">
        <v>647</v>
      </c>
      <c r="K16" s="214">
        <f>+K3/(1-0.0022)-K3</f>
        <v>7.3862497494485702E-3</v>
      </c>
      <c r="M16" s="268" t="s">
        <v>839</v>
      </c>
      <c r="N16" s="214">
        <f>+N3/(1-0.0058)-N3</f>
        <v>1.73264936632469E-2</v>
      </c>
    </row>
    <row r="17" spans="1:14" x14ac:dyDescent="0.25">
      <c r="A17" s="258"/>
      <c r="B17" s="237">
        <f>SUM(B14:B16)</f>
        <v>0.10502964383008787</v>
      </c>
      <c r="C17" s="127"/>
      <c r="D17" s="234"/>
      <c r="E17" s="237">
        <f>SUM(E14:E16)</f>
        <v>0.10297085902178382</v>
      </c>
      <c r="F17" s="127"/>
      <c r="G17" s="234"/>
      <c r="H17" s="237">
        <f>SUM(H14:H16)</f>
        <v>0.85049005951068979</v>
      </c>
      <c r="I17" s="127"/>
      <c r="J17" s="270"/>
      <c r="K17" s="215">
        <f>SUM(K14:K16)</f>
        <v>2.3786249749448572E-2</v>
      </c>
      <c r="M17" s="270"/>
      <c r="N17" s="215">
        <f>SUM(N14:N16)</f>
        <v>3.79264936632469E-2</v>
      </c>
    </row>
    <row r="18" spans="1:14" x14ac:dyDescent="0.25">
      <c r="A18" s="259" t="s">
        <v>36</v>
      </c>
      <c r="B18" s="260" t="s">
        <v>157</v>
      </c>
      <c r="C18" s="132"/>
      <c r="D18" s="232" t="s">
        <v>142</v>
      </c>
      <c r="E18" s="233" t="s">
        <v>158</v>
      </c>
      <c r="F18" s="132"/>
      <c r="G18" s="232" t="s">
        <v>142</v>
      </c>
      <c r="H18" s="233" t="s">
        <v>188</v>
      </c>
      <c r="I18" s="132"/>
    </row>
    <row r="19" spans="1:14" x14ac:dyDescent="0.25">
      <c r="A19" s="256" t="s">
        <v>153</v>
      </c>
      <c r="B19" s="235">
        <v>6.6900000000000001E-2</v>
      </c>
      <c r="C19" s="122"/>
      <c r="D19" s="234" t="s">
        <v>153</v>
      </c>
      <c r="E19" s="235">
        <v>1.8700000000000001E-2</v>
      </c>
      <c r="F19" s="122"/>
      <c r="G19" s="234" t="s">
        <v>153</v>
      </c>
      <c r="H19" s="235">
        <v>0.66490000000000005</v>
      </c>
      <c r="I19" s="122"/>
      <c r="J19" s="199" t="s">
        <v>163</v>
      </c>
      <c r="M19" s="266" t="s">
        <v>151</v>
      </c>
      <c r="N19" s="267" t="s">
        <v>162</v>
      </c>
    </row>
    <row r="20" spans="1:14" x14ac:dyDescent="0.25">
      <c r="A20" s="256" t="s">
        <v>60</v>
      </c>
      <c r="B20" s="235">
        <f>0.0022+0.0072+0.0225</f>
        <v>3.1899999999999998E-2</v>
      </c>
      <c r="C20" s="122"/>
      <c r="D20" s="234" t="s">
        <v>60</v>
      </c>
      <c r="E20" s="235">
        <f>0.0022</f>
        <v>2.2000000000000001E-3</v>
      </c>
      <c r="F20" s="122"/>
      <c r="G20" s="234" t="s">
        <v>60</v>
      </c>
      <c r="H20" s="235">
        <f>0.0022+0.0072</f>
        <v>9.4000000000000004E-3</v>
      </c>
      <c r="I20" s="122"/>
      <c r="J20" s="268" t="s">
        <v>153</v>
      </c>
      <c r="K20" s="213">
        <f>0.0303+0.002</f>
        <v>3.2300000000000002E-2</v>
      </c>
      <c r="M20" s="268" t="s">
        <v>153</v>
      </c>
      <c r="N20" s="213">
        <v>0</v>
      </c>
    </row>
    <row r="21" spans="1:14" x14ac:dyDescent="0.25">
      <c r="A21" s="256" t="s">
        <v>169</v>
      </c>
      <c r="B21" s="257">
        <f>(B3)/(1-0.0279)-B3</f>
        <v>9.3420944347289314E-2</v>
      </c>
      <c r="C21" s="124"/>
      <c r="D21" s="234" t="s">
        <v>669</v>
      </c>
      <c r="E21" s="236">
        <f>(E5)/(1-0.0293)-E5</f>
        <v>8.3052384876892926E-2</v>
      </c>
      <c r="F21" s="124"/>
      <c r="G21" s="234" t="s">
        <v>672</v>
      </c>
      <c r="H21" s="236">
        <f>(H5)/(1-0.1089)-H5</f>
        <v>0.3362567051958254</v>
      </c>
      <c r="I21" s="124"/>
      <c r="J21" s="268" t="s">
        <v>60</v>
      </c>
      <c r="K21" s="213">
        <f>0.0072+0.0022</f>
        <v>9.4000000000000004E-3</v>
      </c>
      <c r="M21" s="268" t="s">
        <v>60</v>
      </c>
      <c r="N21" s="213">
        <f>0.0022+0.0072</f>
        <v>9.4000000000000004E-3</v>
      </c>
    </row>
    <row r="22" spans="1:14" x14ac:dyDescent="0.25">
      <c r="A22" s="258"/>
      <c r="B22" s="237">
        <f>SUM(B19:B21)</f>
        <v>0.19222094434728931</v>
      </c>
      <c r="C22" s="127"/>
      <c r="D22" s="234"/>
      <c r="E22" s="237">
        <f>SUM(E19:E21)</f>
        <v>0.10395238487689293</v>
      </c>
      <c r="F22" s="127"/>
      <c r="G22" s="234"/>
      <c r="H22" s="237">
        <f>SUM(H19:H21)</f>
        <v>1.0105567051958255</v>
      </c>
      <c r="I22" s="127"/>
      <c r="J22" s="268" t="s">
        <v>648</v>
      </c>
      <c r="K22" s="214">
        <f>+K3/(1-0.0268)-K3</f>
        <v>9.2252363337443466E-2</v>
      </c>
      <c r="M22" s="268" t="s">
        <v>839</v>
      </c>
      <c r="N22" s="214">
        <f>+N3/(1-0.0058)-N3</f>
        <v>1.73264936632469E-2</v>
      </c>
    </row>
    <row r="23" spans="1:14" x14ac:dyDescent="0.25">
      <c r="A23" s="259" t="s">
        <v>36</v>
      </c>
      <c r="B23" s="260" t="s">
        <v>166</v>
      </c>
      <c r="C23" s="127"/>
      <c r="D23" s="238" t="s">
        <v>142</v>
      </c>
      <c r="E23" s="239" t="s">
        <v>167</v>
      </c>
      <c r="F23" s="127"/>
      <c r="G23" s="232" t="s">
        <v>142</v>
      </c>
      <c r="H23" s="233" t="s">
        <v>203</v>
      </c>
      <c r="I23" s="127"/>
      <c r="J23" s="270"/>
      <c r="K23" s="215">
        <f>SUM(K20:K22)</f>
        <v>0.13395236333744348</v>
      </c>
      <c r="M23" s="270"/>
      <c r="N23" s="215">
        <f>SUM(N20:N22)</f>
        <v>2.6726493663246899E-2</v>
      </c>
    </row>
    <row r="24" spans="1:14" x14ac:dyDescent="0.25">
      <c r="A24" s="256" t="s">
        <v>153</v>
      </c>
      <c r="B24" s="235">
        <v>8.7999999999999995E-2</v>
      </c>
      <c r="C24" s="129"/>
      <c r="D24" s="234" t="s">
        <v>153</v>
      </c>
      <c r="E24" s="235">
        <v>2.3599999999999999E-2</v>
      </c>
      <c r="F24" s="129"/>
      <c r="G24" s="234" t="s">
        <v>153</v>
      </c>
      <c r="H24" s="235">
        <v>0.41639999999999999</v>
      </c>
      <c r="I24" s="129"/>
    </row>
    <row r="25" spans="1:14" x14ac:dyDescent="0.25">
      <c r="A25" s="256" t="s">
        <v>60</v>
      </c>
      <c r="B25" s="235">
        <f>0.0022+0.0072</f>
        <v>9.4000000000000004E-3</v>
      </c>
      <c r="C25" s="129"/>
      <c r="D25" s="234" t="s">
        <v>60</v>
      </c>
      <c r="E25" s="235">
        <f>0.0022+0.0072</f>
        <v>9.4000000000000004E-3</v>
      </c>
      <c r="F25" s="129"/>
      <c r="G25" s="234" t="s">
        <v>60</v>
      </c>
      <c r="H25" s="235">
        <f>0.0022+0.0072</f>
        <v>9.4000000000000004E-3</v>
      </c>
      <c r="I25" s="129"/>
      <c r="J25" s="199" t="s">
        <v>176</v>
      </c>
    </row>
    <row r="26" spans="1:14" x14ac:dyDescent="0.25">
      <c r="A26" s="256" t="s">
        <v>305</v>
      </c>
      <c r="B26" s="257">
        <f>(B3)/(1-0.0516)-B3</f>
        <v>0.17709616195697997</v>
      </c>
      <c r="C26" s="124"/>
      <c r="D26" s="234" t="s">
        <v>310</v>
      </c>
      <c r="E26" s="236">
        <f>(E5)/(1-0.0428)-E5</f>
        <v>0.12302987881320515</v>
      </c>
      <c r="F26" s="124"/>
      <c r="G26" s="234" t="s">
        <v>676</v>
      </c>
      <c r="H26" s="236">
        <f>(H4)/(1-0.0812)-H4</f>
        <v>0.19133434915106662</v>
      </c>
      <c r="I26" s="124"/>
      <c r="J26" s="268" t="s">
        <v>153</v>
      </c>
      <c r="K26" s="213">
        <f>0.0275+0.002</f>
        <v>2.9499999999999998E-2</v>
      </c>
    </row>
    <row r="27" spans="1:14" x14ac:dyDescent="0.25">
      <c r="A27" s="258"/>
      <c r="B27" s="237">
        <f>SUM(B24:B26)</f>
        <v>0.27449616195697996</v>
      </c>
      <c r="C27" s="127"/>
      <c r="D27" s="234"/>
      <c r="E27" s="237">
        <f>SUM(E24:E26)</f>
        <v>0.15602987881320515</v>
      </c>
      <c r="F27" s="127"/>
      <c r="G27" s="234"/>
      <c r="H27" s="237">
        <f>SUM(H24:H26)</f>
        <v>0.61713434915106657</v>
      </c>
      <c r="I27" s="127"/>
      <c r="J27" s="268" t="s">
        <v>60</v>
      </c>
      <c r="K27" s="213">
        <f>0.0072+0.0022</f>
        <v>9.4000000000000004E-3</v>
      </c>
    </row>
    <row r="28" spans="1:14" x14ac:dyDescent="0.25">
      <c r="A28" s="259" t="s">
        <v>36</v>
      </c>
      <c r="B28" s="261" t="s">
        <v>172</v>
      </c>
      <c r="C28" s="119"/>
      <c r="D28" s="232" t="s">
        <v>142</v>
      </c>
      <c r="E28" s="233" t="s">
        <v>173</v>
      </c>
      <c r="F28" s="119"/>
      <c r="G28" s="232" t="s">
        <v>142</v>
      </c>
      <c r="H28" s="233" t="s">
        <v>207</v>
      </c>
      <c r="I28" s="119"/>
      <c r="J28" s="268" t="s">
        <v>648</v>
      </c>
      <c r="K28" s="214">
        <f>+K3/(1-0.0268)-K3</f>
        <v>9.2252363337443466E-2</v>
      </c>
    </row>
    <row r="29" spans="1:14" x14ac:dyDescent="0.25">
      <c r="A29" s="258" t="s">
        <v>153</v>
      </c>
      <c r="B29" s="235">
        <v>9.7799999999999998E-2</v>
      </c>
      <c r="C29" s="122"/>
      <c r="D29" s="234" t="s">
        <v>153</v>
      </c>
      <c r="E29" s="235">
        <v>7.0800000000000002E-2</v>
      </c>
      <c r="F29" s="122"/>
      <c r="G29" s="234" t="s">
        <v>153</v>
      </c>
      <c r="H29" s="235">
        <v>0.52100000000000002</v>
      </c>
      <c r="I29" s="122"/>
      <c r="J29" s="270"/>
      <c r="K29" s="215">
        <f>SUM(K26:K28)</f>
        <v>0.13115236333744346</v>
      </c>
    </row>
    <row r="30" spans="1:14" x14ac:dyDescent="0.25">
      <c r="A30" s="258" t="s">
        <v>60</v>
      </c>
      <c r="B30" s="235">
        <f>0.0022</f>
        <v>2.2000000000000001E-3</v>
      </c>
      <c r="C30" s="122"/>
      <c r="D30" s="234" t="s">
        <v>60</v>
      </c>
      <c r="E30" s="235">
        <f>0.0022+0.0072</f>
        <v>9.4000000000000004E-3</v>
      </c>
      <c r="F30" s="122"/>
      <c r="G30" s="234" t="s">
        <v>60</v>
      </c>
      <c r="H30" s="235">
        <f>0.0022+0.0072</f>
        <v>9.4000000000000004E-3</v>
      </c>
      <c r="I30" s="122"/>
    </row>
    <row r="31" spans="1:14" x14ac:dyDescent="0.25">
      <c r="A31" s="258" t="s">
        <v>306</v>
      </c>
      <c r="B31" s="257">
        <f>(B3)/(1-0.0588)-B3</f>
        <v>0.20335104122396919</v>
      </c>
      <c r="C31" s="124"/>
      <c r="D31" s="234" t="s">
        <v>670</v>
      </c>
      <c r="E31" s="236">
        <f>(E5)/(1-0.0677)-E5</f>
        <v>0.19980322857449329</v>
      </c>
      <c r="F31" s="124"/>
      <c r="G31" s="234" t="s">
        <v>677</v>
      </c>
      <c r="H31" s="236">
        <f>(H4)/(1-0.0975)-H4</f>
        <v>0.23389196675900292</v>
      </c>
      <c r="I31" s="124"/>
      <c r="J31" s="199" t="s">
        <v>184</v>
      </c>
    </row>
    <row r="32" spans="1:14" x14ac:dyDescent="0.25">
      <c r="A32" s="258"/>
      <c r="B32" s="237">
        <f>SUM(B29:B31)</f>
        <v>0.30335104122396916</v>
      </c>
      <c r="C32" s="127"/>
      <c r="D32" s="234"/>
      <c r="E32" s="237">
        <f>SUM(E29:E31)</f>
        <v>0.28000322857449328</v>
      </c>
      <c r="F32" s="127"/>
      <c r="G32" s="234"/>
      <c r="H32" s="237">
        <f>SUM(H29:H31)</f>
        <v>0.76429196675900291</v>
      </c>
      <c r="I32" s="127"/>
      <c r="J32" s="268" t="s">
        <v>153</v>
      </c>
      <c r="K32" s="213">
        <f>0.0152+0.002</f>
        <v>1.72E-2</v>
      </c>
    </row>
    <row r="33" spans="1:11" x14ac:dyDescent="0.25">
      <c r="A33" s="259" t="s">
        <v>36</v>
      </c>
      <c r="B33" s="261" t="s">
        <v>181</v>
      </c>
      <c r="C33" s="119"/>
      <c r="D33" s="232" t="s">
        <v>142</v>
      </c>
      <c r="E33" s="233" t="s">
        <v>182</v>
      </c>
      <c r="F33" s="119"/>
      <c r="G33" s="232" t="s">
        <v>142</v>
      </c>
      <c r="H33" s="233" t="s">
        <v>225</v>
      </c>
      <c r="I33" s="119"/>
      <c r="J33" s="268" t="s">
        <v>60</v>
      </c>
      <c r="K33" s="213">
        <f>0.002+0.0072+0.0022</f>
        <v>1.14E-2</v>
      </c>
    </row>
    <row r="34" spans="1:11" x14ac:dyDescent="0.25">
      <c r="A34" s="258" t="s">
        <v>153</v>
      </c>
      <c r="B34" s="235">
        <v>0.1118</v>
      </c>
      <c r="C34" s="122"/>
      <c r="D34" s="234" t="s">
        <v>153</v>
      </c>
      <c r="E34" s="235">
        <v>9.2200000000000004E-2</v>
      </c>
      <c r="F34" s="122"/>
      <c r="G34" s="234" t="s">
        <v>153</v>
      </c>
      <c r="H34" s="235">
        <v>0.39829999999999999</v>
      </c>
      <c r="I34" s="122"/>
      <c r="J34" s="268" t="s">
        <v>649</v>
      </c>
      <c r="K34" s="214">
        <f>+K3/(1-0.0169)-K3</f>
        <v>5.7588241277591212E-2</v>
      </c>
    </row>
    <row r="35" spans="1:11" x14ac:dyDescent="0.25">
      <c r="A35" s="258" t="s">
        <v>60</v>
      </c>
      <c r="B35" s="235">
        <f>0.0022+0.0072</f>
        <v>9.4000000000000004E-3</v>
      </c>
      <c r="C35" s="122"/>
      <c r="D35" s="234" t="s">
        <v>60</v>
      </c>
      <c r="E35" s="235">
        <f>0.0022+0.0072</f>
        <v>9.4000000000000004E-3</v>
      </c>
      <c r="F35" s="122"/>
      <c r="G35" s="234" t="s">
        <v>60</v>
      </c>
      <c r="H35" s="235">
        <f>0.0022+0.0072</f>
        <v>9.4000000000000004E-3</v>
      </c>
      <c r="I35" s="122"/>
      <c r="J35" s="270"/>
      <c r="K35" s="215">
        <f>SUM(K32:K34)</f>
        <v>8.6188241277591213E-2</v>
      </c>
    </row>
    <row r="36" spans="1:11" x14ac:dyDescent="0.25">
      <c r="A36" s="258" t="s">
        <v>307</v>
      </c>
      <c r="B36" s="257">
        <f>(B3)/(1-0.0679)-B3</f>
        <v>0.23711457998068841</v>
      </c>
      <c r="C36" s="124"/>
      <c r="D36" s="234" t="s">
        <v>671</v>
      </c>
      <c r="E36" s="236">
        <f>(E5)/(1-0.0926)-E5</f>
        <v>0.2807900595106898</v>
      </c>
      <c r="F36" s="124"/>
      <c r="G36" s="234" t="s">
        <v>680</v>
      </c>
      <c r="H36" s="236">
        <f>(H3)/(1-0.0761)-H3</f>
        <v>0.20592055417252952</v>
      </c>
      <c r="I36" s="124"/>
    </row>
    <row r="37" spans="1:11" x14ac:dyDescent="0.25">
      <c r="A37" s="258"/>
      <c r="B37" s="237">
        <f>SUM(B34:B36)</f>
        <v>0.35831457998068839</v>
      </c>
      <c r="C37" s="127"/>
      <c r="D37" s="234"/>
      <c r="E37" s="237">
        <f>SUM(E34:E36)</f>
        <v>0.38239005951068983</v>
      </c>
      <c r="F37" s="127"/>
      <c r="G37" s="234"/>
      <c r="H37" s="237">
        <f>SUM(H34:H36)</f>
        <v>0.61362055417252948</v>
      </c>
      <c r="I37" s="127"/>
      <c r="J37" s="199" t="s">
        <v>497</v>
      </c>
    </row>
    <row r="38" spans="1:11" x14ac:dyDescent="0.25">
      <c r="A38" s="259" t="s">
        <v>36</v>
      </c>
      <c r="B38" s="261" t="s">
        <v>187</v>
      </c>
      <c r="C38" s="119"/>
      <c r="D38" s="232" t="s">
        <v>142</v>
      </c>
      <c r="E38" s="233" t="s">
        <v>188</v>
      </c>
      <c r="F38" s="119"/>
      <c r="G38" s="232" t="s">
        <v>142</v>
      </c>
      <c r="H38" s="233" t="s">
        <v>228</v>
      </c>
      <c r="I38" s="119"/>
      <c r="J38" s="268" t="s">
        <v>153</v>
      </c>
      <c r="K38" s="213">
        <f>0.0152+0.002</f>
        <v>1.72E-2</v>
      </c>
    </row>
    <row r="39" spans="1:11" x14ac:dyDescent="0.25">
      <c r="A39" s="258" t="s">
        <v>153</v>
      </c>
      <c r="B39" s="235">
        <v>0.1231</v>
      </c>
      <c r="C39" s="122"/>
      <c r="D39" s="234" t="s">
        <v>153</v>
      </c>
      <c r="E39" s="235">
        <v>0.1071</v>
      </c>
      <c r="F39" s="122"/>
      <c r="G39" s="234" t="s">
        <v>153</v>
      </c>
      <c r="H39" s="235">
        <v>0.50290000000000001</v>
      </c>
      <c r="I39" s="122"/>
      <c r="J39" s="268" t="s">
        <v>60</v>
      </c>
      <c r="K39" s="213">
        <f>0.0072+0.0022</f>
        <v>9.4000000000000004E-3</v>
      </c>
    </row>
    <row r="40" spans="1:11" x14ac:dyDescent="0.25">
      <c r="A40" s="258" t="s">
        <v>60</v>
      </c>
      <c r="B40" s="235">
        <f>0.0022+0.0072</f>
        <v>9.4000000000000004E-3</v>
      </c>
      <c r="C40" s="122"/>
      <c r="D40" s="234" t="s">
        <v>60</v>
      </c>
      <c r="E40" s="235">
        <f>0.0022+0.0072</f>
        <v>9.4000000000000004E-3</v>
      </c>
      <c r="F40" s="122"/>
      <c r="G40" s="234" t="s">
        <v>60</v>
      </c>
      <c r="H40" s="235">
        <f>0.0022+0.0072</f>
        <v>9.4000000000000004E-3</v>
      </c>
      <c r="I40" s="122"/>
      <c r="J40" s="268" t="s">
        <v>217</v>
      </c>
      <c r="K40" s="214">
        <v>0</v>
      </c>
    </row>
    <row r="41" spans="1:11" x14ac:dyDescent="0.25">
      <c r="A41" s="258" t="s">
        <v>308</v>
      </c>
      <c r="B41" s="257">
        <f>(B3)/(1-0.0788)-B3</f>
        <v>0.27843465045592719</v>
      </c>
      <c r="C41" s="124"/>
      <c r="D41" s="234" t="s">
        <v>672</v>
      </c>
      <c r="E41" s="236">
        <f>(E5)/(1-0.1089)-E5</f>
        <v>0.3362567051958254</v>
      </c>
      <c r="F41" s="124"/>
      <c r="G41" s="234" t="s">
        <v>681</v>
      </c>
      <c r="H41" s="236">
        <f>(H3)/(1-0.0924)-H3</f>
        <v>0.25451740855002214</v>
      </c>
      <c r="I41" s="124"/>
      <c r="J41" s="270"/>
      <c r="K41" s="215">
        <f>SUM(K38:K40)</f>
        <v>2.6599999999999999E-2</v>
      </c>
    </row>
    <row r="42" spans="1:11" x14ac:dyDescent="0.25">
      <c r="A42" s="258"/>
      <c r="B42" s="237">
        <f>SUM(B39:B41)</f>
        <v>0.4109346504559272</v>
      </c>
      <c r="C42" s="127"/>
      <c r="D42" s="234"/>
      <c r="E42" s="237">
        <f>SUM(E39:E41)</f>
        <v>0.45275670519582539</v>
      </c>
      <c r="F42" s="127"/>
      <c r="G42" s="234"/>
      <c r="H42" s="237">
        <f>SUM(H39:H41)</f>
        <v>0.76681740855002212</v>
      </c>
      <c r="I42" s="127"/>
    </row>
    <row r="43" spans="1:11" x14ac:dyDescent="0.25">
      <c r="A43" s="259" t="s">
        <v>36</v>
      </c>
      <c r="B43" s="261" t="s">
        <v>191</v>
      </c>
      <c r="C43" s="119"/>
      <c r="D43" s="232" t="s">
        <v>142</v>
      </c>
      <c r="E43" s="233" t="s">
        <v>192</v>
      </c>
      <c r="F43" s="119"/>
      <c r="G43" s="232" t="s">
        <v>142</v>
      </c>
      <c r="H43" s="233" t="s">
        <v>234</v>
      </c>
      <c r="I43" s="119"/>
    </row>
    <row r="44" spans="1:11" x14ac:dyDescent="0.25">
      <c r="A44" s="258" t="s">
        <v>153</v>
      </c>
      <c r="B44" s="235">
        <v>0.1608</v>
      </c>
      <c r="C44" s="122"/>
      <c r="D44" s="234" t="s">
        <v>153</v>
      </c>
      <c r="E44" s="235">
        <v>1.47E-2</v>
      </c>
      <c r="F44" s="122"/>
      <c r="G44" s="234" t="s">
        <v>153</v>
      </c>
      <c r="H44" s="235">
        <v>0.31380000000000002</v>
      </c>
      <c r="I44" s="122"/>
    </row>
    <row r="45" spans="1:11" x14ac:dyDescent="0.25">
      <c r="A45" s="258" t="s">
        <v>60</v>
      </c>
      <c r="B45" s="235">
        <f>0.0022+0.0072</f>
        <v>9.4000000000000004E-3</v>
      </c>
      <c r="C45" s="122"/>
      <c r="D45" s="234" t="s">
        <v>60</v>
      </c>
      <c r="E45" s="235">
        <f>0.0022</f>
        <v>2.2000000000000001E-3</v>
      </c>
      <c r="F45" s="122"/>
      <c r="G45" s="234" t="s">
        <v>60</v>
      </c>
      <c r="H45" s="235">
        <f>0.0022+0.0072</f>
        <v>9.4000000000000004E-3</v>
      </c>
      <c r="I45" s="122"/>
    </row>
    <row r="46" spans="1:11" x14ac:dyDescent="0.25">
      <c r="A46" s="258" t="s">
        <v>309</v>
      </c>
      <c r="B46" s="257">
        <f>(B3)/(1-0.0871)-B3</f>
        <v>0.31056030233322351</v>
      </c>
      <c r="C46" s="124"/>
      <c r="D46" s="234" t="s">
        <v>673</v>
      </c>
      <c r="E46" s="236">
        <f>(E4)/(1-0.0175)-E4</f>
        <v>3.8562340966921127E-2</v>
      </c>
      <c r="F46" s="124"/>
      <c r="G46" s="234" t="s">
        <v>683</v>
      </c>
      <c r="H46" s="236">
        <f>(H6)/(1-0.0498)-(H6)</f>
        <v>0.13626604925278896</v>
      </c>
      <c r="I46" s="124"/>
    </row>
    <row r="47" spans="1:11" x14ac:dyDescent="0.25">
      <c r="A47" s="258"/>
      <c r="B47" s="237">
        <f>SUM(B44:B46)</f>
        <v>0.48076030233322353</v>
      </c>
      <c r="C47" s="127"/>
      <c r="D47" s="234"/>
      <c r="E47" s="237">
        <f>SUM(E44:E46)</f>
        <v>5.5462340966921125E-2</v>
      </c>
      <c r="F47" s="127"/>
      <c r="G47" s="234"/>
      <c r="H47" s="237">
        <f>SUM(H44:H46)</f>
        <v>0.459466049252789</v>
      </c>
      <c r="I47" s="127"/>
    </row>
    <row r="48" spans="1:11" x14ac:dyDescent="0.25">
      <c r="A48" s="259" t="s">
        <v>36</v>
      </c>
      <c r="B48" s="260" t="s">
        <v>195</v>
      </c>
      <c r="C48" s="130"/>
      <c r="D48" s="232" t="s">
        <v>142</v>
      </c>
      <c r="E48" s="233" t="s">
        <v>196</v>
      </c>
      <c r="F48" s="130"/>
      <c r="G48" s="232" t="s">
        <v>142</v>
      </c>
      <c r="H48" s="233" t="s">
        <v>236</v>
      </c>
      <c r="I48" s="130"/>
    </row>
    <row r="49" spans="1:9" x14ac:dyDescent="0.25">
      <c r="A49" s="256" t="s">
        <v>153</v>
      </c>
      <c r="B49" s="235">
        <v>2.86E-2</v>
      </c>
      <c r="C49" s="122"/>
      <c r="D49" s="234" t="s">
        <v>153</v>
      </c>
      <c r="E49" s="235">
        <v>1.95E-2</v>
      </c>
      <c r="F49" s="122"/>
      <c r="G49" s="234" t="s">
        <v>153</v>
      </c>
      <c r="H49" s="235">
        <v>0.41839999999999999</v>
      </c>
      <c r="I49" s="122"/>
    </row>
    <row r="50" spans="1:9" x14ac:dyDescent="0.25">
      <c r="A50" s="256" t="s">
        <v>60</v>
      </c>
      <c r="B50" s="235">
        <f>0.0022+0.0072+0.0225</f>
        <v>3.1899999999999998E-2</v>
      </c>
      <c r="C50" s="122"/>
      <c r="D50" s="234" t="s">
        <v>60</v>
      </c>
      <c r="E50" s="235">
        <f>0.0022+0.0072</f>
        <v>9.4000000000000004E-3</v>
      </c>
      <c r="F50" s="122"/>
      <c r="G50" s="234" t="s">
        <v>60</v>
      </c>
      <c r="H50" s="235">
        <f>0.0022+0.0072</f>
        <v>9.4000000000000004E-3</v>
      </c>
      <c r="I50" s="122"/>
    </row>
    <row r="51" spans="1:9" x14ac:dyDescent="0.25">
      <c r="A51" s="256" t="s">
        <v>222</v>
      </c>
      <c r="B51" s="262">
        <f>(B4)/(1-0.0101)-B4</f>
        <v>3.3619052429538332E-2</v>
      </c>
      <c r="C51" s="124"/>
      <c r="D51" s="234" t="s">
        <v>674</v>
      </c>
      <c r="E51" s="236">
        <f>(E4)/(1-0.0314)-E4</f>
        <v>7.0184802808176627E-2</v>
      </c>
      <c r="F51" s="124"/>
      <c r="G51" s="234" t="s">
        <v>684</v>
      </c>
      <c r="H51" s="236">
        <f>(H6)/(1-0.0661)-(H6)</f>
        <v>0.18402398543741327</v>
      </c>
      <c r="I51" s="124"/>
    </row>
    <row r="52" spans="1:9" x14ac:dyDescent="0.25">
      <c r="A52" s="258"/>
      <c r="B52" s="237">
        <f>SUM(B49:B51)</f>
        <v>9.411905242953833E-2</v>
      </c>
      <c r="C52" s="127"/>
      <c r="D52" s="234"/>
      <c r="E52" s="237">
        <f>SUM(E49:E51)</f>
        <v>9.9084802808176636E-2</v>
      </c>
      <c r="F52" s="127"/>
      <c r="G52" s="234"/>
      <c r="H52" s="237">
        <f>SUM(H49:H51)</f>
        <v>0.61182398543741323</v>
      </c>
      <c r="I52" s="127"/>
    </row>
    <row r="53" spans="1:9" x14ac:dyDescent="0.25">
      <c r="A53" s="259" t="s">
        <v>36</v>
      </c>
      <c r="B53" s="260" t="s">
        <v>139</v>
      </c>
      <c r="C53" s="130"/>
      <c r="D53" s="232" t="s">
        <v>142</v>
      </c>
      <c r="E53" s="233" t="s">
        <v>199</v>
      </c>
      <c r="F53" s="130"/>
      <c r="G53" s="232" t="s">
        <v>142</v>
      </c>
      <c r="H53" s="237" t="s">
        <v>240</v>
      </c>
      <c r="I53" s="130"/>
    </row>
    <row r="54" spans="1:9" x14ac:dyDescent="0.25">
      <c r="A54" s="256" t="s">
        <v>153</v>
      </c>
      <c r="B54" s="235">
        <v>5.7200000000000001E-2</v>
      </c>
      <c r="C54" s="122"/>
      <c r="D54" s="234" t="s">
        <v>153</v>
      </c>
      <c r="E54" s="235">
        <v>6.6699999999999995E-2</v>
      </c>
      <c r="F54" s="122"/>
      <c r="G54" s="234" t="s">
        <v>153</v>
      </c>
      <c r="H54" s="240">
        <v>0.34389999999999998</v>
      </c>
      <c r="I54" s="122"/>
    </row>
    <row r="55" spans="1:9" x14ac:dyDescent="0.25">
      <c r="A55" s="256" t="s">
        <v>60</v>
      </c>
      <c r="B55" s="235">
        <f>0.0022+0.0072+0.0225</f>
        <v>3.1899999999999998E-2</v>
      </c>
      <c r="C55" s="122"/>
      <c r="D55" s="234" t="s">
        <v>60</v>
      </c>
      <c r="E55" s="235">
        <f>0.0022+0.0072</f>
        <v>9.4000000000000004E-3</v>
      </c>
      <c r="F55" s="122"/>
      <c r="G55" s="234" t="s">
        <v>60</v>
      </c>
      <c r="H55" s="235">
        <f>0.0022+0.0072</f>
        <v>9.4000000000000004E-3</v>
      </c>
      <c r="I55" s="122"/>
    </row>
    <row r="56" spans="1:9" x14ac:dyDescent="0.25">
      <c r="A56" s="256" t="s">
        <v>242</v>
      </c>
      <c r="B56" s="262">
        <f>(B4)/(1-0.0191)-B4</f>
        <v>6.4159955143235692E-2</v>
      </c>
      <c r="C56" s="124"/>
      <c r="D56" s="234" t="s">
        <v>675</v>
      </c>
      <c r="E56" s="236">
        <f>(E4)/(1-0.0563)-E4</f>
        <v>0.12916128006781813</v>
      </c>
      <c r="F56" s="124"/>
      <c r="G56" s="234" t="s">
        <v>686</v>
      </c>
      <c r="H56" s="236">
        <f>(H6)/(1-0.0545)-H6</f>
        <v>0.14986779481755663</v>
      </c>
      <c r="I56" s="124"/>
    </row>
    <row r="57" spans="1:9" x14ac:dyDescent="0.25">
      <c r="A57" s="258"/>
      <c r="B57" s="237">
        <f>SUM(B54:B56)</f>
        <v>0.1532599551432357</v>
      </c>
      <c r="C57" s="127"/>
      <c r="D57" s="234"/>
      <c r="E57" s="237">
        <f>SUM(E54:E56)</f>
        <v>0.20526128006781813</v>
      </c>
      <c r="F57" s="127"/>
      <c r="G57" s="234"/>
      <c r="H57" s="237">
        <f>SUM(H54:H56)</f>
        <v>0.50316779481755658</v>
      </c>
      <c r="I57" s="127"/>
    </row>
    <row r="58" spans="1:9" x14ac:dyDescent="0.25">
      <c r="A58" s="259" t="s">
        <v>36</v>
      </c>
      <c r="B58" s="260" t="s">
        <v>155</v>
      </c>
      <c r="C58" s="119"/>
      <c r="D58" s="232" t="s">
        <v>142</v>
      </c>
      <c r="E58" s="233" t="s">
        <v>203</v>
      </c>
      <c r="F58" s="119"/>
      <c r="G58" s="232" t="s">
        <v>142</v>
      </c>
      <c r="H58" s="237" t="s">
        <v>241</v>
      </c>
      <c r="I58" s="119"/>
    </row>
    <row r="59" spans="1:9" x14ac:dyDescent="0.25">
      <c r="A59" s="256" t="s">
        <v>153</v>
      </c>
      <c r="B59" s="235">
        <v>7.7600000000000002E-2</v>
      </c>
      <c r="C59" s="122"/>
      <c r="D59" s="234" t="s">
        <v>153</v>
      </c>
      <c r="E59" s="235">
        <v>8.8099999999999998E-2</v>
      </c>
      <c r="F59" s="122"/>
      <c r="G59" s="234" t="s">
        <v>153</v>
      </c>
      <c r="H59" s="240">
        <v>0.1908</v>
      </c>
      <c r="I59" s="122"/>
    </row>
    <row r="60" spans="1:9" x14ac:dyDescent="0.25">
      <c r="A60" s="256" t="s">
        <v>60</v>
      </c>
      <c r="B60" s="235">
        <f>0.0022+0.0072</f>
        <v>9.4000000000000004E-3</v>
      </c>
      <c r="C60" s="122"/>
      <c r="D60" s="234" t="s">
        <v>60</v>
      </c>
      <c r="E60" s="235">
        <f>0.0022+0.0072</f>
        <v>9.4000000000000004E-3</v>
      </c>
      <c r="F60" s="122"/>
      <c r="G60" s="234" t="s">
        <v>60</v>
      </c>
      <c r="H60" s="235">
        <f>0.0022+0.0072</f>
        <v>9.4000000000000004E-3</v>
      </c>
      <c r="I60" s="122"/>
    </row>
    <row r="61" spans="1:9" x14ac:dyDescent="0.25">
      <c r="A61" s="256" t="s">
        <v>310</v>
      </c>
      <c r="B61" s="257">
        <f>(B4)/(1-0.0428)-B4</f>
        <v>0.1473318010865019</v>
      </c>
      <c r="C61" s="124"/>
      <c r="D61" s="234" t="s">
        <v>676</v>
      </c>
      <c r="E61" s="236">
        <f>(E4)/(1-0.0812)-E4</f>
        <v>0.19133434915106662</v>
      </c>
      <c r="F61" s="124"/>
      <c r="G61" s="234" t="s">
        <v>687</v>
      </c>
      <c r="H61" s="236">
        <f>(H7)/(1-0.0299)-H7</f>
        <v>9.4468096072569896E-2</v>
      </c>
      <c r="I61" s="124"/>
    </row>
    <row r="62" spans="1:9" x14ac:dyDescent="0.25">
      <c r="A62" s="258"/>
      <c r="B62" s="237">
        <f>SUM(B59:B61)</f>
        <v>0.23433180108650192</v>
      </c>
      <c r="C62" s="127"/>
      <c r="D62" s="234"/>
      <c r="E62" s="237">
        <f>SUM(E59:E61)</f>
        <v>0.28883434915106665</v>
      </c>
      <c r="F62" s="127"/>
      <c r="G62" s="234"/>
      <c r="H62" s="237">
        <f>SUM(H59:H61)</f>
        <v>0.29466809607256989</v>
      </c>
      <c r="I62" s="127"/>
    </row>
    <row r="63" spans="1:9" x14ac:dyDescent="0.25">
      <c r="A63" s="259" t="s">
        <v>36</v>
      </c>
      <c r="B63" s="260" t="s">
        <v>164</v>
      </c>
      <c r="C63" s="119"/>
      <c r="D63" s="232" t="s">
        <v>142</v>
      </c>
      <c r="E63" s="233" t="s">
        <v>207</v>
      </c>
      <c r="F63" s="119"/>
      <c r="G63" s="295"/>
      <c r="H63" s="245"/>
      <c r="I63" s="119"/>
    </row>
    <row r="64" spans="1:9" x14ac:dyDescent="0.25">
      <c r="A64" s="256" t="s">
        <v>153</v>
      </c>
      <c r="B64" s="235">
        <v>8.7400000000000005E-2</v>
      </c>
      <c r="C64" s="122"/>
      <c r="D64" s="234" t="s">
        <v>153</v>
      </c>
      <c r="E64" s="235">
        <v>0.10299999999999999</v>
      </c>
      <c r="F64" s="122"/>
      <c r="G64" s="243"/>
      <c r="H64" s="247"/>
      <c r="I64" s="122"/>
    </row>
    <row r="65" spans="1:9" x14ac:dyDescent="0.25">
      <c r="A65" s="256" t="s">
        <v>60</v>
      </c>
      <c r="B65" s="235">
        <f>0.0022</f>
        <v>2.2000000000000001E-3</v>
      </c>
      <c r="C65" s="122"/>
      <c r="D65" s="234" t="s">
        <v>60</v>
      </c>
      <c r="E65" s="235">
        <f>0.0022+0.0072</f>
        <v>9.4000000000000004E-3</v>
      </c>
      <c r="F65" s="122"/>
      <c r="G65" s="243"/>
      <c r="H65" s="243"/>
      <c r="I65" s="122"/>
    </row>
    <row r="66" spans="1:9" x14ac:dyDescent="0.25">
      <c r="A66" s="256" t="s">
        <v>311</v>
      </c>
      <c r="B66" s="236">
        <f>(B4)/(1-0.0499)-B4</f>
        <v>0.17305599410588357</v>
      </c>
      <c r="C66" s="124"/>
      <c r="D66" s="234" t="s">
        <v>677</v>
      </c>
      <c r="E66" s="236">
        <f>(E4)/(1-0.0975)-E4</f>
        <v>0.23389196675900292</v>
      </c>
      <c r="F66" s="124"/>
      <c r="G66" s="243"/>
      <c r="H66" s="244"/>
      <c r="I66" s="124"/>
    </row>
    <row r="67" spans="1:9" x14ac:dyDescent="0.25">
      <c r="A67" s="258"/>
      <c r="B67" s="237">
        <f>SUM(B64:B66)</f>
        <v>0.26265599410588358</v>
      </c>
      <c r="C67" s="127"/>
      <c r="D67" s="234"/>
      <c r="E67" s="237">
        <f>SUM(E64:E66)</f>
        <v>0.34629196675900292</v>
      </c>
      <c r="F67" s="127"/>
      <c r="G67" s="243"/>
      <c r="H67" s="245"/>
      <c r="I67" s="127"/>
    </row>
    <row r="68" spans="1:9" x14ac:dyDescent="0.25">
      <c r="A68" s="259" t="s">
        <v>36</v>
      </c>
      <c r="B68" s="260" t="s">
        <v>209</v>
      </c>
      <c r="C68" s="132"/>
      <c r="D68" s="232" t="s">
        <v>142</v>
      </c>
      <c r="E68" s="233" t="s">
        <v>302</v>
      </c>
      <c r="F68" s="132"/>
      <c r="G68" s="243"/>
      <c r="H68" s="243"/>
      <c r="I68" s="132"/>
    </row>
    <row r="69" spans="1:9" x14ac:dyDescent="0.25">
      <c r="A69" s="256" t="s">
        <v>153</v>
      </c>
      <c r="B69" s="235">
        <v>0.10150000000000001</v>
      </c>
      <c r="C69" s="122"/>
      <c r="D69" s="234" t="s">
        <v>153</v>
      </c>
      <c r="E69" s="235">
        <v>2.3599999999999999E-2</v>
      </c>
      <c r="F69" s="122"/>
      <c r="G69" s="243"/>
      <c r="H69" s="243"/>
      <c r="I69" s="122"/>
    </row>
    <row r="70" spans="1:9" x14ac:dyDescent="0.25">
      <c r="A70" s="256" t="s">
        <v>60</v>
      </c>
      <c r="B70" s="235">
        <f>0.0022+0.0072</f>
        <v>9.4000000000000004E-3</v>
      </c>
      <c r="C70" s="122"/>
      <c r="D70" s="234" t="s">
        <v>60</v>
      </c>
      <c r="E70" s="235">
        <f>0.0022+0.0072</f>
        <v>9.4000000000000004E-3</v>
      </c>
      <c r="F70" s="122"/>
      <c r="G70" s="244"/>
      <c r="H70" s="244"/>
      <c r="I70" s="122"/>
    </row>
    <row r="71" spans="1:9" x14ac:dyDescent="0.25">
      <c r="A71" s="256" t="s">
        <v>644</v>
      </c>
      <c r="B71" s="262">
        <f>(B4)/(1-0.059)-B4</f>
        <v>0.20659404888416555</v>
      </c>
      <c r="C71" s="124"/>
      <c r="D71" s="234" t="s">
        <v>648</v>
      </c>
      <c r="E71" s="236">
        <f>(E3)/(1-0.0268)-E3</f>
        <v>6.8845047266748782E-2</v>
      </c>
      <c r="F71" s="124"/>
      <c r="G71" s="245"/>
      <c r="H71" s="245"/>
      <c r="I71" s="124"/>
    </row>
    <row r="72" spans="1:9" x14ac:dyDescent="0.25">
      <c r="A72" s="258"/>
      <c r="B72" s="237">
        <f>SUM(B69:B71)</f>
        <v>0.31749404888416555</v>
      </c>
      <c r="C72" s="127"/>
      <c r="D72" s="234"/>
      <c r="E72" s="237">
        <f>SUM(E69:E71)</f>
        <v>0.10184504726674878</v>
      </c>
      <c r="F72" s="127"/>
      <c r="G72" s="246"/>
      <c r="H72" s="246"/>
      <c r="I72" s="127"/>
    </row>
    <row r="73" spans="1:9" x14ac:dyDescent="0.25">
      <c r="A73" s="259" t="s">
        <v>36</v>
      </c>
      <c r="B73" s="260" t="s">
        <v>170</v>
      </c>
      <c r="C73" s="132"/>
      <c r="D73" s="232" t="s">
        <v>142</v>
      </c>
      <c r="E73" s="233" t="s">
        <v>301</v>
      </c>
      <c r="F73" s="132"/>
      <c r="G73" s="243"/>
      <c r="H73" s="243"/>
      <c r="I73" s="132"/>
    </row>
    <row r="74" spans="1:9" x14ac:dyDescent="0.25">
      <c r="A74" s="256" t="s">
        <v>153</v>
      </c>
      <c r="B74" s="235">
        <v>0.11260000000000001</v>
      </c>
      <c r="C74" s="122"/>
      <c r="D74" s="234" t="s">
        <v>153</v>
      </c>
      <c r="E74" s="235">
        <v>1.95E-2</v>
      </c>
      <c r="F74" s="122"/>
      <c r="G74" s="243"/>
      <c r="H74" s="243"/>
      <c r="I74" s="122"/>
    </row>
    <row r="75" spans="1:9" x14ac:dyDescent="0.25">
      <c r="A75" s="256" t="s">
        <v>60</v>
      </c>
      <c r="B75" s="235">
        <f>0.0022+0.0072</f>
        <v>9.4000000000000004E-3</v>
      </c>
      <c r="C75" s="122"/>
      <c r="D75" s="234" t="s">
        <v>60</v>
      </c>
      <c r="E75" s="235">
        <f>0.0022</f>
        <v>2.2000000000000001E-3</v>
      </c>
      <c r="F75" s="122"/>
      <c r="G75" s="244"/>
      <c r="H75" s="244"/>
      <c r="I75" s="122"/>
    </row>
    <row r="76" spans="1:9" x14ac:dyDescent="0.25">
      <c r="A76" s="256" t="s">
        <v>312</v>
      </c>
      <c r="B76" s="262">
        <f>(B4)/(1-0.0699)-B4</f>
        <v>0.24762982475002682</v>
      </c>
      <c r="C76" s="124"/>
      <c r="D76" s="234" t="s">
        <v>678</v>
      </c>
      <c r="E76" s="236">
        <f>(E3)/(1-0.0263)-E3</f>
        <v>6.7525932011913259E-2</v>
      </c>
      <c r="F76" s="124"/>
      <c r="G76" s="245"/>
      <c r="H76" s="245"/>
      <c r="I76" s="124"/>
    </row>
    <row r="77" spans="1:9" x14ac:dyDescent="0.25">
      <c r="A77" s="258"/>
      <c r="B77" s="237">
        <f>SUM(B74:B76)</f>
        <v>0.36962982475002681</v>
      </c>
      <c r="C77" s="127"/>
      <c r="D77" s="234"/>
      <c r="E77" s="237">
        <f>SUM(E74:E76)</f>
        <v>8.9225932011913256E-2</v>
      </c>
      <c r="F77" s="127"/>
      <c r="G77" s="245"/>
      <c r="H77" s="245"/>
      <c r="I77" s="127"/>
    </row>
    <row r="78" spans="1:9" x14ac:dyDescent="0.25">
      <c r="A78" s="259" t="s">
        <v>36</v>
      </c>
      <c r="B78" s="260" t="s">
        <v>179</v>
      </c>
      <c r="C78" s="132"/>
      <c r="D78" s="232" t="s">
        <v>142</v>
      </c>
      <c r="E78" s="233" t="s">
        <v>210</v>
      </c>
      <c r="F78" s="132"/>
      <c r="G78" s="247"/>
      <c r="H78" s="247"/>
      <c r="I78" s="132"/>
    </row>
    <row r="79" spans="1:9" x14ac:dyDescent="0.25">
      <c r="A79" s="256" t="s">
        <v>153</v>
      </c>
      <c r="B79" s="235">
        <v>0.15040000000000001</v>
      </c>
      <c r="C79" s="122"/>
      <c r="D79" s="234" t="s">
        <v>153</v>
      </c>
      <c r="E79" s="235">
        <v>1.77E-2</v>
      </c>
      <c r="F79" s="122"/>
      <c r="G79" s="247"/>
      <c r="H79" s="247"/>
      <c r="I79" s="122"/>
    </row>
    <row r="80" spans="1:9" x14ac:dyDescent="0.25">
      <c r="A80" s="256" t="s">
        <v>60</v>
      </c>
      <c r="B80" s="235">
        <f>0.0022+0.0072</f>
        <v>9.4000000000000004E-3</v>
      </c>
      <c r="C80" s="122"/>
      <c r="D80" s="234" t="s">
        <v>60</v>
      </c>
      <c r="E80" s="235">
        <f>0.0022+0.0072</f>
        <v>9.4000000000000004E-3</v>
      </c>
      <c r="F80" s="122"/>
      <c r="G80" s="247"/>
      <c r="H80" s="247"/>
      <c r="I80" s="122"/>
    </row>
    <row r="81" spans="1:9" x14ac:dyDescent="0.25">
      <c r="A81" s="256" t="s">
        <v>313</v>
      </c>
      <c r="B81" s="257">
        <f>(B4)/(1-0.0782)-B4</f>
        <v>0.27952809720112848</v>
      </c>
      <c r="C81" s="124"/>
      <c r="D81" s="234" t="s">
        <v>678</v>
      </c>
      <c r="E81" s="236">
        <f>(E3)/(1-0.0263)-E3</f>
        <v>6.7525932011913259E-2</v>
      </c>
      <c r="F81" s="124"/>
      <c r="G81" s="244"/>
      <c r="H81" s="244"/>
      <c r="I81" s="124"/>
    </row>
    <row r="82" spans="1:9" x14ac:dyDescent="0.25">
      <c r="A82" s="258"/>
      <c r="B82" s="237">
        <f>SUM(B79:B81)</f>
        <v>0.43932809720112848</v>
      </c>
      <c r="C82" s="127"/>
      <c r="D82" s="234"/>
      <c r="E82" s="237">
        <f>SUM(E79:E81)</f>
        <v>9.4625932011913258E-2</v>
      </c>
      <c r="F82" s="127"/>
      <c r="G82" s="245"/>
      <c r="H82" s="245"/>
      <c r="I82" s="127"/>
    </row>
    <row r="83" spans="1:9" x14ac:dyDescent="0.25">
      <c r="A83" s="259" t="s">
        <v>36</v>
      </c>
      <c r="B83" s="260" t="s">
        <v>193</v>
      </c>
      <c r="C83" s="132"/>
      <c r="D83" s="232" t="s">
        <v>142</v>
      </c>
      <c r="E83" s="233" t="s">
        <v>214</v>
      </c>
      <c r="F83" s="132"/>
      <c r="G83" s="246"/>
      <c r="H83" s="246"/>
      <c r="I83" s="132"/>
    </row>
    <row r="84" spans="1:9" x14ac:dyDescent="0.25">
      <c r="A84" s="256" t="s">
        <v>153</v>
      </c>
      <c r="B84" s="235">
        <v>7.8299999999999995E-2</v>
      </c>
      <c r="C84" s="122"/>
      <c r="D84" s="234" t="s">
        <v>153</v>
      </c>
      <c r="E84" s="235">
        <v>1.77E-2</v>
      </c>
      <c r="F84" s="122"/>
      <c r="G84" s="243"/>
      <c r="H84" s="243"/>
      <c r="I84" s="122"/>
    </row>
    <row r="85" spans="1:9" x14ac:dyDescent="0.25">
      <c r="A85" s="256" t="s">
        <v>60</v>
      </c>
      <c r="B85" s="235">
        <f>0.0022+0.0072</f>
        <v>9.4000000000000004E-3</v>
      </c>
      <c r="C85" s="122"/>
      <c r="D85" s="234" t="s">
        <v>60</v>
      </c>
      <c r="E85" s="235">
        <f>0.0022+0.0072</f>
        <v>9.4000000000000004E-3</v>
      </c>
      <c r="F85" s="122"/>
      <c r="G85" s="243"/>
      <c r="H85" s="243"/>
      <c r="I85" s="122"/>
    </row>
    <row r="86" spans="1:9" x14ac:dyDescent="0.25">
      <c r="A86" s="256" t="s">
        <v>433</v>
      </c>
      <c r="B86" s="257">
        <f>(B4)/(1-0.0415)-B4</f>
        <v>0.14266301512780366</v>
      </c>
      <c r="C86" s="124"/>
      <c r="D86" s="234" t="s">
        <v>678</v>
      </c>
      <c r="E86" s="236">
        <f>(E4)/(1-0.0263)-E4</f>
        <v>5.8477457122316778E-2</v>
      </c>
      <c r="F86" s="124"/>
      <c r="G86" s="244"/>
      <c r="H86" s="244"/>
      <c r="I86" s="124"/>
    </row>
    <row r="87" spans="1:9" x14ac:dyDescent="0.25">
      <c r="A87" s="258"/>
      <c r="B87" s="237">
        <f>SUM(B84:B86)</f>
        <v>0.23036301512780366</v>
      </c>
      <c r="C87" s="127"/>
      <c r="D87" s="234"/>
      <c r="E87" s="237">
        <f>SUM(E84:E86)</f>
        <v>8.5577457122316777E-2</v>
      </c>
      <c r="F87" s="127"/>
      <c r="G87" s="245"/>
      <c r="H87" s="245"/>
      <c r="I87" s="127"/>
    </row>
    <row r="88" spans="1:9" x14ac:dyDescent="0.25">
      <c r="A88" s="259" t="s">
        <v>36</v>
      </c>
      <c r="B88" s="260" t="s">
        <v>220</v>
      </c>
      <c r="C88" s="132"/>
      <c r="D88" s="232" t="s">
        <v>142</v>
      </c>
      <c r="E88" s="233" t="s">
        <v>218</v>
      </c>
      <c r="F88" s="132"/>
      <c r="I88" s="132"/>
    </row>
    <row r="89" spans="1:9" x14ac:dyDescent="0.25">
      <c r="A89" s="256" t="s">
        <v>153</v>
      </c>
      <c r="B89" s="235">
        <f>0.0511-0.0022-0.0088</f>
        <v>4.0099999999999997E-2</v>
      </c>
      <c r="C89" s="122"/>
      <c r="D89" s="234" t="s">
        <v>153</v>
      </c>
      <c r="E89" s="235">
        <v>1.77E-2</v>
      </c>
      <c r="F89" s="122"/>
      <c r="G89" s="246"/>
      <c r="H89" s="246"/>
      <c r="I89" s="122"/>
    </row>
    <row r="90" spans="1:9" x14ac:dyDescent="0.25">
      <c r="A90" s="256" t="s">
        <v>60</v>
      </c>
      <c r="B90" s="235">
        <f>0.0022+0.0072</f>
        <v>9.4000000000000004E-3</v>
      </c>
      <c r="C90" s="122"/>
      <c r="D90" s="234" t="s">
        <v>60</v>
      </c>
      <c r="E90" s="235">
        <f>0.0022+0.0072</f>
        <v>9.4000000000000004E-3</v>
      </c>
      <c r="F90" s="122"/>
      <c r="G90" s="243"/>
      <c r="H90" s="243"/>
      <c r="I90" s="122"/>
    </row>
    <row r="91" spans="1:9" x14ac:dyDescent="0.25">
      <c r="A91" s="256" t="s">
        <v>178</v>
      </c>
      <c r="B91" s="236">
        <f>(B5)/(1-0.0109)-B5</f>
        <v>3.8625518147811011E-2</v>
      </c>
      <c r="C91" s="124"/>
      <c r="D91" s="234" t="s">
        <v>678</v>
      </c>
      <c r="E91" s="236">
        <f>(E3)/(1-0.0263)-E3</f>
        <v>6.7525932011913259E-2</v>
      </c>
      <c r="F91" s="124"/>
      <c r="G91" s="243"/>
      <c r="H91" s="243"/>
      <c r="I91" s="124"/>
    </row>
    <row r="92" spans="1:9" x14ac:dyDescent="0.25">
      <c r="A92" s="258"/>
      <c r="B92" s="237">
        <f>SUM(B89:B91)</f>
        <v>8.8125518147810999E-2</v>
      </c>
      <c r="C92" s="127"/>
      <c r="D92" s="234"/>
      <c r="E92" s="237">
        <f>SUM(E89:E91)</f>
        <v>9.4625932011913258E-2</v>
      </c>
      <c r="F92" s="127"/>
      <c r="G92" s="244"/>
      <c r="H92" s="244"/>
      <c r="I92" s="127"/>
    </row>
    <row r="93" spans="1:9" x14ac:dyDescent="0.25">
      <c r="A93" s="259" t="s">
        <v>36</v>
      </c>
      <c r="B93" s="260" t="s">
        <v>224</v>
      </c>
      <c r="C93" s="127"/>
      <c r="D93" s="232" t="s">
        <v>142</v>
      </c>
      <c r="E93" s="233" t="s">
        <v>221</v>
      </c>
      <c r="F93" s="127"/>
      <c r="G93" s="245"/>
      <c r="H93" s="245"/>
      <c r="I93" s="127"/>
    </row>
    <row r="94" spans="1:9" x14ac:dyDescent="0.25">
      <c r="A94" s="256" t="s">
        <v>153</v>
      </c>
      <c r="B94" s="235">
        <f>0.0945-0.0022-0.0088</f>
        <v>8.3500000000000005E-2</v>
      </c>
      <c r="C94" s="129"/>
      <c r="D94" s="234" t="s">
        <v>153</v>
      </c>
      <c r="E94" s="235">
        <v>6.4899999999999999E-2</v>
      </c>
      <c r="F94" s="129"/>
      <c r="G94" s="246"/>
      <c r="H94" s="246"/>
      <c r="I94" s="129"/>
    </row>
    <row r="95" spans="1:9" x14ac:dyDescent="0.25">
      <c r="A95" s="256" t="s">
        <v>60</v>
      </c>
      <c r="B95" s="235">
        <f>0.0022+0.0072</f>
        <v>9.4000000000000004E-3</v>
      </c>
      <c r="C95" s="129" t="s">
        <v>47</v>
      </c>
      <c r="D95" s="234" t="s">
        <v>60</v>
      </c>
      <c r="E95" s="235">
        <f>0.0022+0.0072</f>
        <v>9.4000000000000004E-3</v>
      </c>
      <c r="F95" s="129"/>
      <c r="G95" s="243"/>
      <c r="H95" s="243"/>
      <c r="I95" s="129"/>
    </row>
    <row r="96" spans="1:9" x14ac:dyDescent="0.25">
      <c r="A96" s="256" t="s">
        <v>314</v>
      </c>
      <c r="B96" s="236">
        <f>(B5)/(1-0.0217)-B5</f>
        <v>7.7745579065726655E-2</v>
      </c>
      <c r="C96" s="124"/>
      <c r="D96" s="234" t="s">
        <v>679</v>
      </c>
      <c r="E96" s="236">
        <f>(E3)/(1-0.0512)-E3</f>
        <v>0.13490725126475533</v>
      </c>
      <c r="F96" s="124"/>
      <c r="G96" s="243"/>
      <c r="H96" s="243"/>
      <c r="I96" s="124"/>
    </row>
    <row r="97" spans="1:9" x14ac:dyDescent="0.25">
      <c r="A97" s="258"/>
      <c r="B97" s="237">
        <f>SUM(B94:B96)</f>
        <v>0.17064557906572667</v>
      </c>
      <c r="C97" s="127"/>
      <c r="D97" s="234"/>
      <c r="E97" s="237">
        <f>SUM(E94:E96)</f>
        <v>0.20920725126475534</v>
      </c>
      <c r="F97" s="127"/>
      <c r="G97" s="244"/>
      <c r="H97" s="244"/>
      <c r="I97" s="127"/>
    </row>
    <row r="98" spans="1:9" x14ac:dyDescent="0.25">
      <c r="A98" s="259" t="s">
        <v>36</v>
      </c>
      <c r="B98" s="261" t="s">
        <v>227</v>
      </c>
      <c r="C98" s="132"/>
      <c r="D98" s="232" t="s">
        <v>142</v>
      </c>
      <c r="E98" s="233" t="s">
        <v>225</v>
      </c>
      <c r="F98" s="132"/>
      <c r="G98" s="245"/>
      <c r="H98" s="245"/>
      <c r="I98" s="132"/>
    </row>
    <row r="99" spans="1:9" x14ac:dyDescent="0.25">
      <c r="A99" s="258" t="s">
        <v>153</v>
      </c>
      <c r="B99" s="235">
        <v>4.2700000000000002E-2</v>
      </c>
      <c r="C99" s="122"/>
      <c r="D99" s="234" t="s">
        <v>153</v>
      </c>
      <c r="E99" s="235">
        <v>8.6300000000000002E-2</v>
      </c>
      <c r="F99" s="122"/>
      <c r="I99" s="122"/>
    </row>
    <row r="100" spans="1:9" x14ac:dyDescent="0.25">
      <c r="A100" s="258" t="s">
        <v>60</v>
      </c>
      <c r="B100" s="235">
        <f>0.0022+0.0072</f>
        <v>9.4000000000000004E-3</v>
      </c>
      <c r="C100" s="122"/>
      <c r="D100" s="234" t="s">
        <v>60</v>
      </c>
      <c r="E100" s="235">
        <f>0.0022+0.0072</f>
        <v>9.4000000000000004E-3</v>
      </c>
      <c r="F100" s="122"/>
      <c r="I100" s="122"/>
    </row>
    <row r="101" spans="1:9" x14ac:dyDescent="0.25">
      <c r="A101" s="258" t="s">
        <v>315</v>
      </c>
      <c r="B101" s="236">
        <f>(+B5)/(1-0.0128)-B5</f>
        <v>4.5445705024311334E-2</v>
      </c>
      <c r="C101" s="122"/>
      <c r="D101" s="234" t="s">
        <v>680</v>
      </c>
      <c r="E101" s="236">
        <f>(E3)/(1-0.0761)-E3</f>
        <v>0.20592055417252952</v>
      </c>
      <c r="F101" s="122"/>
      <c r="I101" s="122"/>
    </row>
    <row r="102" spans="1:9" x14ac:dyDescent="0.25">
      <c r="A102" s="258"/>
      <c r="B102" s="237">
        <f>SUM(B99:B101)</f>
        <v>9.7545705024311341E-2</v>
      </c>
      <c r="C102" s="124"/>
      <c r="D102" s="234"/>
      <c r="E102" s="237">
        <f>SUM(E99:E101)</f>
        <v>0.30162055417252953</v>
      </c>
      <c r="F102" s="124"/>
      <c r="I102" s="124"/>
    </row>
    <row r="103" spans="1:9" x14ac:dyDescent="0.25">
      <c r="A103" s="259" t="s">
        <v>36</v>
      </c>
      <c r="B103" s="261" t="s">
        <v>230</v>
      </c>
      <c r="C103" s="127"/>
      <c r="D103" s="232" t="s">
        <v>142</v>
      </c>
      <c r="E103" s="233" t="s">
        <v>228</v>
      </c>
      <c r="F103" s="127"/>
      <c r="I103" s="127"/>
    </row>
    <row r="104" spans="1:9" x14ac:dyDescent="0.25">
      <c r="A104" s="258" t="s">
        <v>153</v>
      </c>
      <c r="B104" s="235">
        <v>7.6600000000000001E-2</v>
      </c>
      <c r="D104" s="234" t="s">
        <v>153</v>
      </c>
      <c r="E104" s="235">
        <v>0.1012</v>
      </c>
    </row>
    <row r="105" spans="1:9" x14ac:dyDescent="0.25">
      <c r="A105" s="258" t="s">
        <v>60</v>
      </c>
      <c r="B105" s="235">
        <f>0.0022+0.0072</f>
        <v>9.4000000000000004E-3</v>
      </c>
      <c r="C105" s="132"/>
      <c r="D105" s="234" t="s">
        <v>60</v>
      </c>
      <c r="E105" s="235">
        <f>0.0022+0.0072</f>
        <v>9.4000000000000004E-3</v>
      </c>
      <c r="F105" s="132"/>
      <c r="I105" s="132"/>
    </row>
    <row r="106" spans="1:9" x14ac:dyDescent="0.25">
      <c r="A106" s="258" t="s">
        <v>316</v>
      </c>
      <c r="B106" s="236">
        <f>(+B5)/(1-0.0209)-B5</f>
        <v>7.4818200388111489E-2</v>
      </c>
      <c r="C106" s="122"/>
      <c r="D106" s="234" t="s">
        <v>681</v>
      </c>
      <c r="E106" s="236">
        <f>(E3)/(1-0.0924)-E3</f>
        <v>0.25451740855002214</v>
      </c>
      <c r="F106" s="122"/>
      <c r="I106" s="122"/>
    </row>
    <row r="107" spans="1:9" x14ac:dyDescent="0.25">
      <c r="A107" s="258"/>
      <c r="B107" s="237">
        <f>SUM(B104:B106)</f>
        <v>0.16081820038811151</v>
      </c>
      <c r="C107" s="122"/>
      <c r="D107" s="234"/>
      <c r="E107" s="237">
        <f>SUM(E104:E106)</f>
        <v>0.36511740855002217</v>
      </c>
      <c r="F107" s="122"/>
      <c r="I107" s="122"/>
    </row>
    <row r="108" spans="1:9" x14ac:dyDescent="0.25">
      <c r="A108" s="259" t="s">
        <v>36</v>
      </c>
      <c r="B108" s="260" t="s">
        <v>233</v>
      </c>
      <c r="C108" s="124"/>
      <c r="D108" s="232" t="s">
        <v>142</v>
      </c>
      <c r="E108" s="233" t="s">
        <v>231</v>
      </c>
      <c r="F108" s="124"/>
      <c r="I108" s="124"/>
    </row>
    <row r="109" spans="1:9" x14ac:dyDescent="0.25">
      <c r="A109" s="256" t="s">
        <v>153</v>
      </c>
      <c r="B109" s="235">
        <v>4.5900000000000003E-2</v>
      </c>
      <c r="C109" s="127"/>
      <c r="D109" s="234" t="s">
        <v>153</v>
      </c>
      <c r="E109" s="235">
        <v>4.7199999999999999E-2</v>
      </c>
      <c r="F109" s="127"/>
      <c r="I109" s="127"/>
    </row>
    <row r="110" spans="1:9" x14ac:dyDescent="0.25">
      <c r="A110" s="256" t="s">
        <v>60</v>
      </c>
      <c r="B110" s="235">
        <f>0.0022+0.0072</f>
        <v>9.4000000000000004E-3</v>
      </c>
      <c r="C110" s="132"/>
      <c r="D110" s="234" t="s">
        <v>60</v>
      </c>
      <c r="E110" s="235">
        <f>0.0022+0.0072</f>
        <v>9.4000000000000004E-3</v>
      </c>
      <c r="F110" s="132"/>
      <c r="I110" s="132"/>
    </row>
    <row r="111" spans="1:9" x14ac:dyDescent="0.25">
      <c r="A111" s="256" t="s">
        <v>317</v>
      </c>
      <c r="B111" s="236">
        <f>(+B$5)/(1-0.0116)-B$5</f>
        <v>4.1135167948199491E-2</v>
      </c>
      <c r="C111" s="122"/>
      <c r="D111" s="234" t="s">
        <v>682</v>
      </c>
      <c r="E111" s="236">
        <f>(E6)/(1-0.0249)-(E6)</f>
        <v>6.6393190442005867E-2</v>
      </c>
      <c r="F111" s="122"/>
      <c r="I111" s="122"/>
    </row>
    <row r="112" spans="1:9" x14ac:dyDescent="0.25">
      <c r="A112" s="258"/>
      <c r="B112" s="237">
        <f>SUM(B109:B111)</f>
        <v>9.6435167948199493E-2</v>
      </c>
      <c r="C112" s="122"/>
      <c r="D112" s="234"/>
      <c r="E112" s="237">
        <f>SUM(E109:E111)</f>
        <v>0.12299319044200586</v>
      </c>
      <c r="F112" s="122"/>
      <c r="I112" s="122"/>
    </row>
    <row r="113" spans="1:9" x14ac:dyDescent="0.25">
      <c r="A113" s="259" t="s">
        <v>815</v>
      </c>
      <c r="B113" s="260"/>
      <c r="C113" s="124"/>
      <c r="D113" s="232" t="s">
        <v>142</v>
      </c>
      <c r="E113" s="233" t="s">
        <v>234</v>
      </c>
      <c r="F113" s="124"/>
      <c r="I113" s="124"/>
    </row>
    <row r="114" spans="1:9" x14ac:dyDescent="0.25">
      <c r="A114" s="256" t="s">
        <v>153</v>
      </c>
      <c r="B114" s="235">
        <v>0</v>
      </c>
      <c r="C114" s="127"/>
      <c r="D114" s="234" t="s">
        <v>153</v>
      </c>
      <c r="E114" s="235">
        <v>6.8599999999999994E-2</v>
      </c>
      <c r="F114" s="127"/>
      <c r="I114" s="127"/>
    </row>
    <row r="115" spans="1:9" x14ac:dyDescent="0.25">
      <c r="A115" s="256" t="s">
        <v>60</v>
      </c>
      <c r="B115" s="235">
        <f>0.0022+0.0072</f>
        <v>9.4000000000000004E-3</v>
      </c>
      <c r="D115" s="234" t="s">
        <v>60</v>
      </c>
      <c r="E115" s="235">
        <f>0.0022+0.0072</f>
        <v>9.4000000000000004E-3</v>
      </c>
    </row>
    <row r="116" spans="1:9" x14ac:dyDescent="0.25">
      <c r="A116" s="256" t="s">
        <v>816</v>
      </c>
      <c r="B116" s="236">
        <f>((+V$3+V$17-0.0072)/(1-0.0131)-(+V$3+V$17-0.0072))</f>
        <v>-9.5571993109737699E-5</v>
      </c>
      <c r="D116" s="234" t="s">
        <v>683</v>
      </c>
      <c r="E116" s="236">
        <f>(E6)/(1-0.0498)-(E6)</f>
        <v>0.13626604925278896</v>
      </c>
    </row>
    <row r="117" spans="1:9" x14ac:dyDescent="0.25">
      <c r="A117" s="258"/>
      <c r="B117" s="237">
        <f>SUM(B114:B116)</f>
        <v>9.3044280068902627E-3</v>
      </c>
      <c r="D117" s="234"/>
      <c r="E117" s="237">
        <f>SUM(E114:E116)</f>
        <v>0.21426604925278897</v>
      </c>
    </row>
    <row r="118" spans="1:9" x14ac:dyDescent="0.25">
      <c r="A118" s="259" t="s">
        <v>36</v>
      </c>
      <c r="B118" s="260" t="s">
        <v>235</v>
      </c>
      <c r="D118" s="232" t="s">
        <v>142</v>
      </c>
      <c r="E118" s="233" t="s">
        <v>236</v>
      </c>
    </row>
    <row r="119" spans="1:9" x14ac:dyDescent="0.25">
      <c r="A119" s="256" t="s">
        <v>153</v>
      </c>
      <c r="B119" s="235">
        <v>0.1618</v>
      </c>
      <c r="D119" s="234" t="s">
        <v>153</v>
      </c>
      <c r="E119" s="235">
        <v>8.3500000000000005E-2</v>
      </c>
    </row>
    <row r="120" spans="1:9" x14ac:dyDescent="0.25">
      <c r="A120" s="256" t="s">
        <v>60</v>
      </c>
      <c r="B120" s="235">
        <f>0.0022+0+0.0225+0.0072</f>
        <v>3.1899999999999998E-2</v>
      </c>
      <c r="D120" s="234" t="s">
        <v>60</v>
      </c>
      <c r="E120" s="235">
        <f>0.0022+0.0072</f>
        <v>9.4000000000000004E-3</v>
      </c>
    </row>
    <row r="121" spans="1:9" x14ac:dyDescent="0.25">
      <c r="A121" s="256" t="s">
        <v>222</v>
      </c>
      <c r="B121" s="257">
        <f>(B4)/(1-0.0101)-B4</f>
        <v>3.3619052429538332E-2</v>
      </c>
      <c r="D121" s="234" t="s">
        <v>684</v>
      </c>
      <c r="E121" s="236">
        <f>(E6)/(1-0.0661)-(E6)</f>
        <v>0.18402398543741327</v>
      </c>
    </row>
    <row r="122" spans="1:9" x14ac:dyDescent="0.25">
      <c r="A122" s="258"/>
      <c r="B122" s="237">
        <f>SUM(B119:B121)</f>
        <v>0.22731905242953832</v>
      </c>
      <c r="D122" s="234"/>
      <c r="E122" s="237">
        <f>SUM(E119:E121)</f>
        <v>0.27692398543741326</v>
      </c>
    </row>
    <row r="123" spans="1:9" x14ac:dyDescent="0.25">
      <c r="A123" s="259" t="s">
        <v>36</v>
      </c>
      <c r="B123" s="260" t="s">
        <v>237</v>
      </c>
      <c r="D123" s="232" t="s">
        <v>142</v>
      </c>
      <c r="E123" s="237" t="s">
        <v>238</v>
      </c>
    </row>
    <row r="124" spans="1:9" x14ac:dyDescent="0.25">
      <c r="A124" s="256" t="s">
        <v>153</v>
      </c>
      <c r="B124" s="235">
        <v>0.32879999999999998</v>
      </c>
      <c r="D124" s="234" t="s">
        <v>153</v>
      </c>
      <c r="E124" s="240">
        <v>5.8299999999999998E-2</v>
      </c>
    </row>
    <row r="125" spans="1:9" x14ac:dyDescent="0.25">
      <c r="A125" s="256" t="s">
        <v>60</v>
      </c>
      <c r="B125" s="235">
        <f>0.0022+0+0.0225+0.0072</f>
        <v>3.1899999999999998E-2</v>
      </c>
      <c r="D125" s="234" t="s">
        <v>60</v>
      </c>
      <c r="E125" s="235">
        <f>0.0022</f>
        <v>2.2000000000000001E-3</v>
      </c>
    </row>
    <row r="126" spans="1:9" x14ac:dyDescent="0.25">
      <c r="A126" s="256" t="s">
        <v>169</v>
      </c>
      <c r="B126" s="257">
        <f>(B3)/(1-0.0279)-B3</f>
        <v>9.3420944347289314E-2</v>
      </c>
      <c r="D126" s="234" t="s">
        <v>685</v>
      </c>
      <c r="E126" s="236">
        <f>(E6)/(1-0.0378)-E6</f>
        <v>0.10214092704219535</v>
      </c>
    </row>
    <row r="127" spans="1:9" x14ac:dyDescent="0.25">
      <c r="A127" s="258"/>
      <c r="B127" s="237">
        <f>SUM(B124:B126)</f>
        <v>0.45412094434728928</v>
      </c>
      <c r="D127" s="234"/>
      <c r="E127" s="237">
        <f>SUM(E124:E126)</f>
        <v>0.16264092704219535</v>
      </c>
    </row>
    <row r="128" spans="1:9" x14ac:dyDescent="0.25">
      <c r="A128" s="259" t="s">
        <v>36</v>
      </c>
      <c r="B128" s="260" t="s">
        <v>239</v>
      </c>
      <c r="D128" s="232" t="s">
        <v>142</v>
      </c>
      <c r="E128" s="237" t="s">
        <v>240</v>
      </c>
    </row>
    <row r="129" spans="1:5" x14ac:dyDescent="0.25">
      <c r="A129" s="256" t="s">
        <v>153</v>
      </c>
      <c r="B129" s="235">
        <v>0.37859999999999999</v>
      </c>
      <c r="D129" s="234" t="s">
        <v>153</v>
      </c>
      <c r="E129" s="240">
        <v>7.3099999999999998E-2</v>
      </c>
    </row>
    <row r="130" spans="1:5" x14ac:dyDescent="0.25">
      <c r="A130" s="256" t="s">
        <v>60</v>
      </c>
      <c r="B130" s="235">
        <f>0.0022+0+0.0225+0.0072</f>
        <v>3.1899999999999998E-2</v>
      </c>
      <c r="D130" s="234" t="s">
        <v>60</v>
      </c>
      <c r="E130" s="235">
        <f>0.0022+0.0072</f>
        <v>9.4000000000000004E-3</v>
      </c>
    </row>
    <row r="131" spans="1:5" x14ac:dyDescent="0.25">
      <c r="A131" s="256" t="s">
        <v>310</v>
      </c>
      <c r="B131" s="257">
        <f>(B4)/(1-0.0428)-B4</f>
        <v>0.1473318010865019</v>
      </c>
      <c r="D131" s="234" t="s">
        <v>686</v>
      </c>
      <c r="E131" s="236">
        <f>(E6)/(1-0.0545)-E6</f>
        <v>0.14986779481755663</v>
      </c>
    </row>
    <row r="132" spans="1:5" x14ac:dyDescent="0.25">
      <c r="A132" s="258"/>
      <c r="B132" s="237">
        <f>SUM(B129:B131)</f>
        <v>0.55783180108650188</v>
      </c>
      <c r="D132" s="234"/>
      <c r="E132" s="237">
        <f>SUM(E129:E131)</f>
        <v>0.23236779481755665</v>
      </c>
    </row>
    <row r="133" spans="1:5" x14ac:dyDescent="0.25">
      <c r="A133" s="256" t="s">
        <v>47</v>
      </c>
      <c r="B133" s="235" t="s">
        <v>47</v>
      </c>
      <c r="D133" s="232" t="s">
        <v>142</v>
      </c>
      <c r="E133" s="237" t="s">
        <v>241</v>
      </c>
    </row>
    <row r="134" spans="1:5" x14ac:dyDescent="0.25">
      <c r="A134" s="259" t="s">
        <v>36</v>
      </c>
      <c r="B134" s="261" t="s">
        <v>243</v>
      </c>
      <c r="D134" s="234" t="s">
        <v>153</v>
      </c>
      <c r="E134" s="240">
        <v>5.1499999999999997E-2</v>
      </c>
    </row>
    <row r="135" spans="1:5" x14ac:dyDescent="0.25">
      <c r="A135" s="258" t="s">
        <v>153</v>
      </c>
      <c r="B135" s="235">
        <v>0.18260000000000001</v>
      </c>
      <c r="D135" s="234" t="s">
        <v>60</v>
      </c>
      <c r="E135" s="235">
        <f>0.0022+0.0072</f>
        <v>9.4000000000000004E-3</v>
      </c>
    </row>
    <row r="136" spans="1:5" x14ac:dyDescent="0.25">
      <c r="A136" s="258" t="s">
        <v>60</v>
      </c>
      <c r="B136" s="235">
        <f>0.0022+0.0072</f>
        <v>9.4000000000000004E-3</v>
      </c>
      <c r="D136" s="234" t="s">
        <v>687</v>
      </c>
      <c r="E136" s="236">
        <f>(E7)/(1-0.0299)-E7</f>
        <v>9.4468096072569896E-2</v>
      </c>
    </row>
    <row r="137" spans="1:5" x14ac:dyDescent="0.25">
      <c r="A137" s="258" t="s">
        <v>315</v>
      </c>
      <c r="B137" s="236">
        <f>(B5)/(1-0.0128)-B5</f>
        <v>4.5445705024311334E-2</v>
      </c>
      <c r="D137" s="241"/>
      <c r="E137" s="242">
        <f>SUM(E134:E136)</f>
        <v>0.15536809607256991</v>
      </c>
    </row>
    <row r="138" spans="1:5" x14ac:dyDescent="0.25">
      <c r="A138" s="258"/>
      <c r="B138" s="237">
        <f>SUM(B135:B137)</f>
        <v>0.23744570502431134</v>
      </c>
      <c r="D138" s="232"/>
      <c r="E138" s="237"/>
    </row>
    <row r="139" spans="1:5" x14ac:dyDescent="0.25">
      <c r="D139" s="219"/>
      <c r="E139" s="219"/>
    </row>
    <row r="140" spans="1:5" x14ac:dyDescent="0.25">
      <c r="D140" s="220"/>
      <c r="E140" s="220"/>
    </row>
    <row r="141" spans="1:5" x14ac:dyDescent="0.25">
      <c r="D141" s="221"/>
      <c r="E141" s="221"/>
    </row>
    <row r="142" spans="1:5" x14ac:dyDescent="0.25">
      <c r="D142" s="222"/>
      <c r="E142" s="222"/>
    </row>
    <row r="143" spans="1:5" x14ac:dyDescent="0.25">
      <c r="D143" s="219"/>
      <c r="E143" s="219"/>
    </row>
    <row r="144" spans="1:5" x14ac:dyDescent="0.25">
      <c r="D144" s="219"/>
      <c r="E144" s="219"/>
    </row>
    <row r="145" spans="4:5" x14ac:dyDescent="0.25">
      <c r="D145" s="220"/>
      <c r="E145" s="220"/>
    </row>
    <row r="146" spans="4:5" x14ac:dyDescent="0.25">
      <c r="D146" s="221"/>
      <c r="E146" s="221"/>
    </row>
    <row r="147" spans="4:5" x14ac:dyDescent="0.25">
      <c r="D147" s="222"/>
      <c r="E147" s="222"/>
    </row>
    <row r="148" spans="4:5" x14ac:dyDescent="0.25">
      <c r="D148" s="219"/>
      <c r="E148" s="219"/>
    </row>
    <row r="149" spans="4:5" x14ac:dyDescent="0.25">
      <c r="D149" s="219"/>
      <c r="E149" s="219"/>
    </row>
    <row r="150" spans="4:5" x14ac:dyDescent="0.25">
      <c r="D150" s="220"/>
      <c r="E150" s="220"/>
    </row>
    <row r="151" spans="4:5" x14ac:dyDescent="0.25">
      <c r="D151" s="221"/>
      <c r="E151" s="221"/>
    </row>
    <row r="152" spans="4:5" x14ac:dyDescent="0.25">
      <c r="D152" s="221"/>
      <c r="E152" s="221"/>
    </row>
    <row r="153" spans="4:5" x14ac:dyDescent="0.25">
      <c r="D153" s="223"/>
      <c r="E153" s="223"/>
    </row>
    <row r="154" spans="4:5" x14ac:dyDescent="0.25">
      <c r="D154" s="223"/>
      <c r="E154" s="223"/>
    </row>
    <row r="155" spans="4:5" x14ac:dyDescent="0.25">
      <c r="D155" s="223"/>
      <c r="E155" s="223"/>
    </row>
    <row r="156" spans="4:5" x14ac:dyDescent="0.25">
      <c r="D156" s="220"/>
      <c r="E156" s="220"/>
    </row>
    <row r="157" spans="4:5" x14ac:dyDescent="0.25">
      <c r="D157" s="221"/>
      <c r="E157" s="221"/>
    </row>
    <row r="158" spans="4:5" x14ac:dyDescent="0.25">
      <c r="D158" s="222"/>
      <c r="E158" s="222"/>
    </row>
    <row r="159" spans="4:5" x14ac:dyDescent="0.25">
      <c r="D159" s="219"/>
      <c r="E159" s="219"/>
    </row>
    <row r="160" spans="4:5" x14ac:dyDescent="0.25">
      <c r="D160" s="219"/>
      <c r="E160" s="219"/>
    </row>
    <row r="161" spans="4:5" x14ac:dyDescent="0.25">
      <c r="D161" s="220"/>
      <c r="E161" s="220"/>
    </row>
    <row r="162" spans="4:5" x14ac:dyDescent="0.25">
      <c r="D162" s="221"/>
      <c r="E162" s="221"/>
    </row>
    <row r="164" spans="4:5" x14ac:dyDescent="0.25">
      <c r="D164" s="222"/>
      <c r="E164" s="222"/>
    </row>
    <row r="165" spans="4:5" x14ac:dyDescent="0.25">
      <c r="D165" s="219"/>
      <c r="E165" s="219"/>
    </row>
    <row r="166" spans="4:5" x14ac:dyDescent="0.25">
      <c r="D166" s="219"/>
      <c r="E166" s="219"/>
    </row>
    <row r="167" spans="4:5" x14ac:dyDescent="0.25">
      <c r="D167" s="220"/>
      <c r="E167" s="220"/>
    </row>
    <row r="168" spans="4:5" x14ac:dyDescent="0.25">
      <c r="D168" s="221"/>
      <c r="E168" s="221"/>
    </row>
    <row r="169" spans="4:5" x14ac:dyDescent="0.25">
      <c r="D169" s="222"/>
      <c r="E169" s="222"/>
    </row>
    <row r="170" spans="4:5" x14ac:dyDescent="0.25">
      <c r="D170" s="219"/>
      <c r="E170" s="219"/>
    </row>
    <row r="171" spans="4:5" x14ac:dyDescent="0.25">
      <c r="D171" s="219"/>
      <c r="E171" s="219"/>
    </row>
    <row r="172" spans="4:5" x14ac:dyDescent="0.25">
      <c r="D172" s="220"/>
      <c r="E172" s="220"/>
    </row>
    <row r="173" spans="4:5" x14ac:dyDescent="0.25">
      <c r="D173" s="221"/>
      <c r="E173" s="22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59" t="s">
        <v>22</v>
      </c>
      <c r="C1" s="59"/>
    </row>
    <row r="3" spans="1:7" x14ac:dyDescent="0.25">
      <c r="B3" t="s">
        <v>455</v>
      </c>
      <c r="G3" s="52"/>
    </row>
    <row r="5" spans="1:7" x14ac:dyDescent="0.25">
      <c r="B5" t="s">
        <v>464</v>
      </c>
    </row>
    <row r="7" spans="1:7" x14ac:dyDescent="0.25">
      <c r="C7" t="s">
        <v>428</v>
      </c>
    </row>
    <row r="8" spans="1:7" x14ac:dyDescent="0.25">
      <c r="D8" t="s">
        <v>465</v>
      </c>
      <c r="E8" t="s">
        <v>466</v>
      </c>
      <c r="F8" s="93">
        <v>3.88</v>
      </c>
    </row>
    <row r="9" spans="1:7" x14ac:dyDescent="0.25">
      <c r="D9" t="s">
        <v>428</v>
      </c>
      <c r="F9" s="94">
        <v>3.3300000000000003E-2</v>
      </c>
    </row>
    <row r="10" spans="1:7" x14ac:dyDescent="0.25">
      <c r="D10" t="s">
        <v>467</v>
      </c>
      <c r="F10" s="95">
        <v>4.7404500000000002E-2</v>
      </c>
      <c r="G10" t="s">
        <v>579</v>
      </c>
    </row>
    <row r="11" spans="1:7" x14ac:dyDescent="0.25">
      <c r="D11" t="s">
        <v>468</v>
      </c>
      <c r="F11" s="96">
        <f>+F8/(1-F10)-F8</f>
        <v>0.19308243635415057</v>
      </c>
    </row>
    <row r="12" spans="1:7" ht="13.8" thickBot="1" x14ac:dyDescent="0.3">
      <c r="D12" t="s">
        <v>469</v>
      </c>
      <c r="F12" s="97">
        <f>+F11+F9</f>
        <v>0.22638243635415056</v>
      </c>
    </row>
    <row r="13" spans="1:7" ht="13.8" thickTop="1" x14ac:dyDescent="0.25"/>
    <row r="14" spans="1:7" x14ac:dyDescent="0.25">
      <c r="C14" t="s">
        <v>429</v>
      </c>
    </row>
    <row r="15" spans="1:7" x14ac:dyDescent="0.25">
      <c r="D15" t="s">
        <v>465</v>
      </c>
      <c r="E15" t="s">
        <v>466</v>
      </c>
      <c r="F15" s="93">
        <v>3.88</v>
      </c>
    </row>
    <row r="16" spans="1:7" x14ac:dyDescent="0.25">
      <c r="D16" t="s">
        <v>429</v>
      </c>
      <c r="F16" s="94">
        <v>3.2500000000000001E-2</v>
      </c>
    </row>
    <row r="17" spans="2:6" x14ac:dyDescent="0.25">
      <c r="D17" t="s">
        <v>470</v>
      </c>
      <c r="F17" s="95">
        <v>0</v>
      </c>
    </row>
    <row r="18" spans="2:6" x14ac:dyDescent="0.25">
      <c r="D18" t="s">
        <v>468</v>
      </c>
      <c r="F18" s="96">
        <f>+F15/(1-F17)-F15</f>
        <v>0</v>
      </c>
    </row>
    <row r="19" spans="2:6" ht="13.8" thickBot="1" x14ac:dyDescent="0.3">
      <c r="D19" t="s">
        <v>469</v>
      </c>
      <c r="F19" s="97">
        <f>+F18+F16</f>
        <v>3.2500000000000001E-2</v>
      </c>
    </row>
    <row r="20" spans="2:6" ht="13.8" thickTop="1" x14ac:dyDescent="0.25"/>
    <row r="22" spans="2:6" x14ac:dyDescent="0.25">
      <c r="B22" t="s">
        <v>592</v>
      </c>
    </row>
    <row r="24" spans="2:6" x14ac:dyDescent="0.25">
      <c r="C24" t="s">
        <v>428</v>
      </c>
    </row>
    <row r="25" spans="2:6" x14ac:dyDescent="0.25">
      <c r="D25" t="s">
        <v>465</v>
      </c>
      <c r="E25" t="s">
        <v>466</v>
      </c>
      <c r="F25" s="93">
        <v>2.2000000000000002</v>
      </c>
    </row>
    <row r="26" spans="2:6" x14ac:dyDescent="0.25">
      <c r="D26" t="s">
        <v>428</v>
      </c>
      <c r="F26" s="94">
        <v>5.4000000000000003E-3</v>
      </c>
    </row>
    <row r="27" spans="2:6" x14ac:dyDescent="0.25">
      <c r="D27" t="s">
        <v>467</v>
      </c>
      <c r="F27" s="95">
        <v>1.9800000000000002E-2</v>
      </c>
    </row>
    <row r="28" spans="2:6" x14ac:dyDescent="0.25">
      <c r="D28" t="s">
        <v>468</v>
      </c>
      <c r="F28" s="96">
        <f>+F25/(1-F27)-F25</f>
        <v>4.4439910222403789E-2</v>
      </c>
    </row>
    <row r="29" spans="2:6" ht="13.8" thickBot="1" x14ac:dyDescent="0.3">
      <c r="D29" t="s">
        <v>469</v>
      </c>
      <c r="F29" s="97">
        <f>+F28+F26</f>
        <v>4.9839910222403791E-2</v>
      </c>
    </row>
    <row r="30" spans="2:6" ht="13.8" thickTop="1" x14ac:dyDescent="0.25"/>
    <row r="31" spans="2:6" x14ac:dyDescent="0.25">
      <c r="C31" t="s">
        <v>429</v>
      </c>
    </row>
    <row r="32" spans="2:6" x14ac:dyDescent="0.25">
      <c r="D32" t="s">
        <v>465</v>
      </c>
      <c r="E32" t="s">
        <v>466</v>
      </c>
      <c r="F32" s="93">
        <v>1.95</v>
      </c>
    </row>
    <row r="33" spans="2:7" x14ac:dyDescent="0.25">
      <c r="D33" t="s">
        <v>429</v>
      </c>
      <c r="F33" s="94">
        <v>5.4000000000000003E-3</v>
      </c>
    </row>
    <row r="34" spans="2:7" x14ac:dyDescent="0.25">
      <c r="D34" t="s">
        <v>470</v>
      </c>
      <c r="F34" s="95">
        <v>0</v>
      </c>
    </row>
    <row r="35" spans="2:7" x14ac:dyDescent="0.25">
      <c r="D35" t="s">
        <v>468</v>
      </c>
      <c r="F35" s="96">
        <f>+F32/(1-F34)-F32</f>
        <v>0</v>
      </c>
    </row>
    <row r="36" spans="2:7" ht="13.8" thickBot="1" x14ac:dyDescent="0.3">
      <c r="D36" t="s">
        <v>469</v>
      </c>
      <c r="F36" s="97">
        <f>+F35+F33</f>
        <v>5.4000000000000003E-3</v>
      </c>
    </row>
    <row r="37" spans="2:7" ht="13.8" thickTop="1" x14ac:dyDescent="0.25"/>
    <row r="39" spans="2:7" x14ac:dyDescent="0.25">
      <c r="B39" t="s">
        <v>471</v>
      </c>
    </row>
    <row r="41" spans="2:7" x14ac:dyDescent="0.25">
      <c r="C41" t="s">
        <v>428</v>
      </c>
    </row>
    <row r="42" spans="2:7" x14ac:dyDescent="0.25">
      <c r="D42" t="s">
        <v>465</v>
      </c>
      <c r="E42" t="s">
        <v>466</v>
      </c>
      <c r="F42" s="93">
        <v>2.2000000000000002</v>
      </c>
    </row>
    <row r="43" spans="2:7" x14ac:dyDescent="0.25">
      <c r="D43" t="s">
        <v>428</v>
      </c>
      <c r="F43" s="94">
        <v>2.1899999999999999E-2</v>
      </c>
    </row>
    <row r="44" spans="2:7" x14ac:dyDescent="0.25">
      <c r="D44" t="s">
        <v>467</v>
      </c>
      <c r="F44" s="95">
        <v>2.375E-2</v>
      </c>
      <c r="G44" t="s">
        <v>472</v>
      </c>
    </row>
    <row r="45" spans="2:7" x14ac:dyDescent="0.25">
      <c r="D45" t="s">
        <v>468</v>
      </c>
      <c r="F45" s="96">
        <f>+F42/(1-F44)-F42</f>
        <v>5.3521126760563309E-2</v>
      </c>
    </row>
    <row r="46" spans="2:7" ht="13.8" thickBot="1" x14ac:dyDescent="0.3">
      <c r="D46" t="s">
        <v>469</v>
      </c>
      <c r="F46" s="97">
        <f>+F45+F43</f>
        <v>7.5421126760563312E-2</v>
      </c>
    </row>
    <row r="47" spans="2:7" ht="13.8" thickTop="1" x14ac:dyDescent="0.25"/>
    <row r="48" spans="2:7" x14ac:dyDescent="0.25">
      <c r="C48" t="s">
        <v>429</v>
      </c>
    </row>
    <row r="49" spans="2:7" x14ac:dyDescent="0.25">
      <c r="D49" t="s">
        <v>465</v>
      </c>
      <c r="E49" t="s">
        <v>466</v>
      </c>
      <c r="F49" s="93">
        <v>1.95</v>
      </c>
    </row>
    <row r="50" spans="2:7" x14ac:dyDescent="0.25">
      <c r="D50" t="s">
        <v>429</v>
      </c>
      <c r="F50" s="94">
        <v>2.0899999999999998E-2</v>
      </c>
    </row>
    <row r="51" spans="2:7" x14ac:dyDescent="0.25">
      <c r="D51" t="s">
        <v>470</v>
      </c>
      <c r="F51" s="95">
        <v>4.7000000000000002E-3</v>
      </c>
    </row>
    <row r="52" spans="2:7" x14ac:dyDescent="0.25">
      <c r="D52" t="s">
        <v>468</v>
      </c>
      <c r="F52" s="96">
        <f>+F49/(1-F51)-F49</f>
        <v>9.2082789108811625E-3</v>
      </c>
    </row>
    <row r="53" spans="2:7" ht="13.8" thickBot="1" x14ac:dyDescent="0.3">
      <c r="D53" t="s">
        <v>469</v>
      </c>
      <c r="F53" s="97">
        <f>+F52+F50</f>
        <v>3.0108278910881161E-2</v>
      </c>
    </row>
    <row r="54" spans="2:7" ht="13.8" thickTop="1" x14ac:dyDescent="0.25"/>
    <row r="55" spans="2:7" x14ac:dyDescent="0.25">
      <c r="B55" t="s">
        <v>580</v>
      </c>
    </row>
    <row r="57" spans="2:7" x14ac:dyDescent="0.25">
      <c r="C57" t="s">
        <v>428</v>
      </c>
    </row>
    <row r="58" spans="2:7" x14ac:dyDescent="0.25">
      <c r="D58" t="s">
        <v>465</v>
      </c>
      <c r="E58" t="s">
        <v>466</v>
      </c>
      <c r="F58" s="93">
        <v>2.2000000000000002</v>
      </c>
    </row>
    <row r="59" spans="2:7" x14ac:dyDescent="0.25">
      <c r="D59" t="s">
        <v>428</v>
      </c>
      <c r="F59" s="94">
        <v>3.3399999999999999E-2</v>
      </c>
      <c r="G59" t="s">
        <v>581</v>
      </c>
    </row>
    <row r="60" spans="2:7" x14ac:dyDescent="0.25">
      <c r="D60" t="s">
        <v>582</v>
      </c>
      <c r="F60" s="94">
        <v>7.2700000000000001E-2</v>
      </c>
      <c r="G60" t="s">
        <v>583</v>
      </c>
    </row>
    <row r="61" spans="2:7" x14ac:dyDescent="0.25">
      <c r="D61" t="s">
        <v>467</v>
      </c>
      <c r="F61" s="95">
        <v>0</v>
      </c>
    </row>
    <row r="62" spans="2:7" x14ac:dyDescent="0.25">
      <c r="D62" t="s">
        <v>468</v>
      </c>
      <c r="F62" s="96">
        <f>+F58/(1-F61)-F58</f>
        <v>0</v>
      </c>
    </row>
    <row r="63" spans="2:7" ht="13.8" thickBot="1" x14ac:dyDescent="0.3">
      <c r="D63" t="s">
        <v>469</v>
      </c>
      <c r="F63" s="97">
        <f>SUM(F59:F60,F62)</f>
        <v>0.1061</v>
      </c>
    </row>
    <row r="64" spans="2:7" ht="13.8" thickTop="1" x14ac:dyDescent="0.25"/>
    <row r="65" spans="2:7" x14ac:dyDescent="0.25">
      <c r="C65" t="s">
        <v>429</v>
      </c>
    </row>
    <row r="66" spans="2:7" x14ac:dyDescent="0.25">
      <c r="D66" t="s">
        <v>465</v>
      </c>
      <c r="E66" t="s">
        <v>466</v>
      </c>
      <c r="F66" s="93">
        <v>1.95</v>
      </c>
    </row>
    <row r="67" spans="2:7" x14ac:dyDescent="0.25">
      <c r="D67" t="s">
        <v>582</v>
      </c>
      <c r="F67" s="94">
        <v>7.2700000000000001E-2</v>
      </c>
      <c r="G67" t="s">
        <v>584</v>
      </c>
    </row>
    <row r="68" spans="2:7" x14ac:dyDescent="0.25">
      <c r="D68" t="s">
        <v>429</v>
      </c>
      <c r="F68" s="94">
        <v>2.64E-2</v>
      </c>
      <c r="G68" t="s">
        <v>585</v>
      </c>
    </row>
    <row r="69" spans="2:7" x14ac:dyDescent="0.25">
      <c r="D69" t="s">
        <v>470</v>
      </c>
      <c r="F69" s="95">
        <v>0</v>
      </c>
    </row>
    <row r="70" spans="2:7" x14ac:dyDescent="0.25">
      <c r="D70" t="s">
        <v>468</v>
      </c>
      <c r="F70" s="96">
        <f>+F66/(1-F69)-F66</f>
        <v>0</v>
      </c>
    </row>
    <row r="71" spans="2:7" ht="13.8" thickBot="1" x14ac:dyDescent="0.3">
      <c r="D71" t="s">
        <v>469</v>
      </c>
      <c r="F71" s="97">
        <f>SUM(F67:F68,F70)</f>
        <v>9.9099999999999994E-2</v>
      </c>
    </row>
    <row r="72" spans="2:7" ht="13.8" thickTop="1" x14ac:dyDescent="0.25"/>
    <row r="74" spans="2:7" x14ac:dyDescent="0.25">
      <c r="B74" s="59" t="s">
        <v>549</v>
      </c>
    </row>
    <row r="76" spans="2:7" x14ac:dyDescent="0.25">
      <c r="D76" t="s">
        <v>465</v>
      </c>
      <c r="E76" t="s">
        <v>466</v>
      </c>
      <c r="F76" s="93">
        <v>2.8</v>
      </c>
    </row>
    <row r="77" spans="2:7" x14ac:dyDescent="0.25">
      <c r="D77" t="s">
        <v>384</v>
      </c>
      <c r="F77" s="94">
        <v>5.7000000000000002E-3</v>
      </c>
    </row>
    <row r="78" spans="2:7" x14ac:dyDescent="0.25">
      <c r="D78" t="s">
        <v>550</v>
      </c>
      <c r="F78" s="94">
        <f>0.0022+0.0075</f>
        <v>9.7000000000000003E-3</v>
      </c>
      <c r="G78" t="s">
        <v>551</v>
      </c>
    </row>
    <row r="79" spans="2:7" x14ac:dyDescent="0.25">
      <c r="D79" t="s">
        <v>303</v>
      </c>
      <c r="F79" s="95">
        <v>7.1999999999999998E-3</v>
      </c>
    </row>
    <row r="80" spans="2:7" x14ac:dyDescent="0.25">
      <c r="D80" t="s">
        <v>468</v>
      </c>
      <c r="F80" s="96">
        <f>+F76/(1-F79)-F76</f>
        <v>2.0306204673650186E-2</v>
      </c>
    </row>
    <row r="81" spans="1:6" ht="13.8" thickBot="1" x14ac:dyDescent="0.3">
      <c r="D81" t="s">
        <v>469</v>
      </c>
      <c r="F81" s="97">
        <f>SUM(F80,F78,F77)</f>
        <v>3.5706204673650183E-2</v>
      </c>
    </row>
    <row r="82" spans="1:6" ht="13.8" thickTop="1" x14ac:dyDescent="0.25"/>
    <row r="96" spans="1:6" x14ac:dyDescent="0.25">
      <c r="A96" s="59" t="s">
        <v>147</v>
      </c>
    </row>
    <row r="98" spans="2:6" x14ac:dyDescent="0.25">
      <c r="B98" t="s">
        <v>455</v>
      </c>
    </row>
    <row r="100" spans="2:6" x14ac:dyDescent="0.25">
      <c r="B100" t="s">
        <v>479</v>
      </c>
    </row>
    <row r="101" spans="2:6" x14ac:dyDescent="0.25">
      <c r="C101" t="s">
        <v>428</v>
      </c>
    </row>
    <row r="102" spans="2:6" x14ac:dyDescent="0.25">
      <c r="D102" t="s">
        <v>465</v>
      </c>
      <c r="E102" t="s">
        <v>480</v>
      </c>
      <c r="F102" s="93">
        <f>0.18+2.27</f>
        <v>2.4500000000000002</v>
      </c>
    </row>
    <row r="103" spans="2:6" x14ac:dyDescent="0.25">
      <c r="D103" t="s">
        <v>428</v>
      </c>
      <c r="F103" s="94">
        <v>1.6199999999999999E-2</v>
      </c>
    </row>
    <row r="104" spans="2:6" x14ac:dyDescent="0.25">
      <c r="D104" t="s">
        <v>467</v>
      </c>
      <c r="F104" s="95">
        <v>2.7799999999999998E-2</v>
      </c>
    </row>
    <row r="105" spans="2:6" x14ac:dyDescent="0.25">
      <c r="D105" t="s">
        <v>468</v>
      </c>
      <c r="F105" s="96">
        <f>+F102/(1-F104)-F102</f>
        <v>7.0057601316601659E-2</v>
      </c>
    </row>
    <row r="106" spans="2:6" ht="13.8" thickBot="1" x14ac:dyDescent="0.3">
      <c r="D106" t="s">
        <v>469</v>
      </c>
      <c r="F106" s="97">
        <f>+F105+F103</f>
        <v>8.6257601316601651E-2</v>
      </c>
    </row>
    <row r="107" spans="2:6" ht="13.8" thickTop="1" x14ac:dyDescent="0.25"/>
    <row r="108" spans="2:6" x14ac:dyDescent="0.25">
      <c r="C108" t="s">
        <v>429</v>
      </c>
    </row>
    <row r="109" spans="2:6" x14ac:dyDescent="0.25">
      <c r="D109" t="s">
        <v>465</v>
      </c>
      <c r="E109" t="s">
        <v>480</v>
      </c>
      <c r="F109" s="93">
        <v>1.95</v>
      </c>
    </row>
    <row r="110" spans="2:6" x14ac:dyDescent="0.25">
      <c r="D110" t="s">
        <v>429</v>
      </c>
      <c r="F110" s="94">
        <v>1.47E-2</v>
      </c>
    </row>
    <row r="111" spans="2:6" x14ac:dyDescent="0.25">
      <c r="D111" t="s">
        <v>481</v>
      </c>
      <c r="F111" s="94">
        <v>-5.9999999999999995E-4</v>
      </c>
    </row>
    <row r="112" spans="2:6" x14ac:dyDescent="0.25">
      <c r="D112" t="s">
        <v>470</v>
      </c>
      <c r="F112" s="95">
        <v>0</v>
      </c>
    </row>
    <row r="113" spans="2:6" x14ac:dyDescent="0.25">
      <c r="D113" t="s">
        <v>468</v>
      </c>
      <c r="F113" s="96">
        <f>+F109/(1-F112)-F109</f>
        <v>0</v>
      </c>
    </row>
    <row r="114" spans="2:6" ht="13.8" thickBot="1" x14ac:dyDescent="0.3">
      <c r="D114" t="s">
        <v>469</v>
      </c>
      <c r="F114" s="97">
        <f>SUM(F110:F111,F113)</f>
        <v>1.41E-2</v>
      </c>
    </row>
    <row r="115" spans="2:6" ht="13.8" thickTop="1" x14ac:dyDescent="0.25"/>
    <row r="116" spans="2:6" x14ac:dyDescent="0.25">
      <c r="C116" t="s">
        <v>482</v>
      </c>
    </row>
    <row r="117" spans="2:6" x14ac:dyDescent="0.25">
      <c r="C117" t="s">
        <v>483</v>
      </c>
    </row>
    <row r="121" spans="2:6" x14ac:dyDescent="0.25">
      <c r="B121" s="59" t="s">
        <v>544</v>
      </c>
    </row>
    <row r="123" spans="2:6" x14ac:dyDescent="0.25">
      <c r="B123" t="s">
        <v>455</v>
      </c>
    </row>
    <row r="125" spans="2:6" x14ac:dyDescent="0.25">
      <c r="B125" t="s">
        <v>545</v>
      </c>
    </row>
    <row r="126" spans="2:6" x14ac:dyDescent="0.25">
      <c r="C126" t="s">
        <v>428</v>
      </c>
    </row>
    <row r="127" spans="2:6" x14ac:dyDescent="0.25">
      <c r="D127" t="s">
        <v>465</v>
      </c>
      <c r="E127" t="s">
        <v>480</v>
      </c>
      <c r="F127" s="93">
        <v>2.48</v>
      </c>
    </row>
    <row r="128" spans="2:6" x14ac:dyDescent="0.25">
      <c r="D128" t="s">
        <v>428</v>
      </c>
      <c r="F128" s="94">
        <v>8.8999999999999999E-3</v>
      </c>
    </row>
    <row r="129" spans="2:6" x14ac:dyDescent="0.25">
      <c r="D129" t="s">
        <v>467</v>
      </c>
      <c r="F129" s="95">
        <v>6.4999999999999997E-3</v>
      </c>
    </row>
    <row r="130" spans="2:6" x14ac:dyDescent="0.25">
      <c r="D130" t="s">
        <v>468</v>
      </c>
      <c r="F130" s="96">
        <f>+F127/(1-F129)-F127</f>
        <v>1.6225465525918192E-2</v>
      </c>
    </row>
    <row r="131" spans="2:6" ht="13.8" thickBot="1" x14ac:dyDescent="0.3">
      <c r="D131" t="s">
        <v>469</v>
      </c>
      <c r="F131" s="97">
        <f>+F130+F128</f>
        <v>2.5125465525918191E-2</v>
      </c>
    </row>
    <row r="132" spans="2:6" ht="13.8" thickTop="1" x14ac:dyDescent="0.25"/>
    <row r="133" spans="2:6" x14ac:dyDescent="0.25">
      <c r="B133" t="s">
        <v>547</v>
      </c>
    </row>
    <row r="134" spans="2:6" x14ac:dyDescent="0.25">
      <c r="C134" t="s">
        <v>428</v>
      </c>
    </row>
    <row r="135" spans="2:6" x14ac:dyDescent="0.25">
      <c r="D135" t="s">
        <v>465</v>
      </c>
      <c r="E135" t="s">
        <v>480</v>
      </c>
      <c r="F135" s="93">
        <v>2.48</v>
      </c>
    </row>
    <row r="136" spans="2:6" x14ac:dyDescent="0.25">
      <c r="D136" t="s">
        <v>546</v>
      </c>
      <c r="F136" s="94">
        <v>7.9000000000000008E-3</v>
      </c>
    </row>
    <row r="137" spans="2:6" x14ac:dyDescent="0.25">
      <c r="D137" t="s">
        <v>485</v>
      </c>
      <c r="F137" s="94">
        <v>2.2000000000000001E-3</v>
      </c>
    </row>
    <row r="138" spans="2:6" x14ac:dyDescent="0.25">
      <c r="D138" t="s">
        <v>467</v>
      </c>
      <c r="F138" s="144">
        <v>3.2500000000000001E-2</v>
      </c>
    </row>
    <row r="139" spans="2:6" x14ac:dyDescent="0.25">
      <c r="D139" t="s">
        <v>468</v>
      </c>
      <c r="F139" s="145">
        <f>+F135/(1-F138)-F135</f>
        <v>8.3307493540051514E-2</v>
      </c>
    </row>
    <row r="140" spans="2:6" ht="13.8" thickBot="1" x14ac:dyDescent="0.3">
      <c r="D140" t="s">
        <v>469</v>
      </c>
      <c r="F140" s="97">
        <f>SUM(F136:F137,F139)</f>
        <v>9.3407493540051512E-2</v>
      </c>
    </row>
    <row r="141" spans="2:6" ht="13.8" thickTop="1" x14ac:dyDescent="0.25">
      <c r="F141" s="142"/>
    </row>
    <row r="142" spans="2:6" x14ac:dyDescent="0.25">
      <c r="F142" s="142"/>
    </row>
    <row r="143" spans="2:6" x14ac:dyDescent="0.25">
      <c r="B143" t="s">
        <v>545</v>
      </c>
    </row>
    <row r="144" spans="2:6" x14ac:dyDescent="0.25">
      <c r="C144" t="s">
        <v>429</v>
      </c>
    </row>
    <row r="145" spans="2:6" x14ac:dyDescent="0.25">
      <c r="D145" t="s">
        <v>465</v>
      </c>
      <c r="E145" t="s">
        <v>480</v>
      </c>
      <c r="F145" s="93">
        <v>1.95</v>
      </c>
    </row>
    <row r="146" spans="2:6" x14ac:dyDescent="0.25">
      <c r="D146" t="s">
        <v>429</v>
      </c>
      <c r="F146" s="94">
        <v>8.8999999999999999E-3</v>
      </c>
    </row>
    <row r="147" spans="2:6" x14ac:dyDescent="0.25">
      <c r="D147" t="s">
        <v>470</v>
      </c>
      <c r="F147" s="95">
        <v>0</v>
      </c>
    </row>
    <row r="148" spans="2:6" x14ac:dyDescent="0.25">
      <c r="D148" t="s">
        <v>468</v>
      </c>
      <c r="F148" s="96">
        <f>+F145/(1-F147)-F145</f>
        <v>0</v>
      </c>
    </row>
    <row r="149" spans="2:6" ht="13.8" thickBot="1" x14ac:dyDescent="0.3">
      <c r="D149" t="s">
        <v>469</v>
      </c>
      <c r="F149" s="97">
        <f>SUM(F146,F148)</f>
        <v>8.8999999999999999E-3</v>
      </c>
    </row>
    <row r="150" spans="2:6" ht="13.8" thickTop="1" x14ac:dyDescent="0.25"/>
    <row r="151" spans="2:6" x14ac:dyDescent="0.25">
      <c r="B151" t="s">
        <v>547</v>
      </c>
    </row>
    <row r="152" spans="2:6" x14ac:dyDescent="0.25">
      <c r="C152" t="s">
        <v>429</v>
      </c>
    </row>
    <row r="153" spans="2:6" x14ac:dyDescent="0.25">
      <c r="D153" t="s">
        <v>465</v>
      </c>
      <c r="E153" t="s">
        <v>480</v>
      </c>
      <c r="F153" s="93">
        <v>2.48</v>
      </c>
    </row>
    <row r="154" spans="2:6" x14ac:dyDescent="0.25">
      <c r="D154" t="s">
        <v>546</v>
      </c>
      <c r="F154" s="94">
        <v>7.9000000000000008E-3</v>
      </c>
    </row>
    <row r="155" spans="2:6" x14ac:dyDescent="0.25">
      <c r="D155" t="s">
        <v>485</v>
      </c>
      <c r="F155" s="94">
        <v>2.2000000000000001E-3</v>
      </c>
    </row>
    <row r="156" spans="2:6" x14ac:dyDescent="0.25">
      <c r="D156" t="s">
        <v>470</v>
      </c>
      <c r="F156" s="144">
        <v>0</v>
      </c>
    </row>
    <row r="157" spans="2:6" x14ac:dyDescent="0.25">
      <c r="D157" t="s">
        <v>468</v>
      </c>
      <c r="F157" s="145">
        <f>+F153/(1-F156)-F153</f>
        <v>0</v>
      </c>
    </row>
    <row r="158" spans="2:6" ht="13.8" thickBot="1" x14ac:dyDescent="0.3">
      <c r="D158" t="s">
        <v>469</v>
      </c>
      <c r="F158" s="97">
        <f>SUM(F154:F155,F157)</f>
        <v>1.0100000000000001E-2</v>
      </c>
    </row>
    <row r="159" spans="2:6" ht="13.8" thickTop="1" x14ac:dyDescent="0.25"/>
    <row r="161" spans="3:7" x14ac:dyDescent="0.25">
      <c r="C161" s="135"/>
      <c r="D161" s="135"/>
      <c r="E161" s="135"/>
      <c r="F161" s="135"/>
      <c r="G161" s="135"/>
    </row>
    <row r="162" spans="3:7" x14ac:dyDescent="0.25">
      <c r="C162" s="135"/>
      <c r="D162" s="135"/>
      <c r="E162" s="135"/>
      <c r="F162" s="142"/>
      <c r="G162" s="135"/>
    </row>
    <row r="163" spans="3:7" x14ac:dyDescent="0.25">
      <c r="C163" s="135"/>
      <c r="D163" s="135"/>
      <c r="E163" s="135"/>
      <c r="F163" s="143"/>
      <c r="G163" s="135"/>
    </row>
    <row r="164" spans="3:7" x14ac:dyDescent="0.25">
      <c r="C164" s="135"/>
      <c r="D164" s="135"/>
      <c r="E164" s="135"/>
      <c r="F164" s="144"/>
      <c r="G164" s="135"/>
    </row>
    <row r="165" spans="3:7" x14ac:dyDescent="0.25">
      <c r="C165" s="135"/>
      <c r="D165" s="135"/>
      <c r="E165" s="135"/>
      <c r="F165" s="142"/>
      <c r="G165" s="135"/>
    </row>
    <row r="166" spans="3:7" x14ac:dyDescent="0.25">
      <c r="C166" s="135"/>
      <c r="D166" s="135"/>
      <c r="E166" s="135"/>
      <c r="F166" s="142"/>
      <c r="G166" s="135"/>
    </row>
    <row r="167" spans="3:7" x14ac:dyDescent="0.25">
      <c r="C167" s="135"/>
      <c r="D167" s="135"/>
      <c r="E167" s="135"/>
      <c r="F167" s="135"/>
      <c r="G167" s="135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ColWidth="9.109375" defaultRowHeight="13.2" x14ac:dyDescent="0.25"/>
  <cols>
    <col min="1" max="5" width="9.109375" style="36"/>
    <col min="6" max="6" width="11.109375" style="36" customWidth="1"/>
    <col min="7" max="16384" width="9.109375" style="36"/>
  </cols>
  <sheetData>
    <row r="4" spans="1:12" x14ac:dyDescent="0.25">
      <c r="A4" s="38" t="s">
        <v>392</v>
      </c>
      <c r="B4" s="38"/>
      <c r="C4" s="38"/>
      <c r="D4" s="38"/>
      <c r="E4" s="38"/>
      <c r="F4" s="38"/>
      <c r="G4" s="38"/>
      <c r="H4" s="38"/>
    </row>
    <row r="5" spans="1:12" x14ac:dyDescent="0.25">
      <c r="A5" s="38"/>
      <c r="B5" s="38"/>
      <c r="C5" s="38"/>
      <c r="D5" s="38"/>
      <c r="E5" s="38"/>
      <c r="F5" s="38"/>
      <c r="G5" s="38"/>
      <c r="H5" s="38"/>
    </row>
    <row r="6" spans="1:12" x14ac:dyDescent="0.25">
      <c r="A6" s="38" t="s">
        <v>0</v>
      </c>
      <c r="B6" s="38"/>
      <c r="C6" s="38"/>
      <c r="D6" s="38"/>
      <c r="E6" s="38"/>
      <c r="F6" s="38"/>
      <c r="G6" s="38"/>
      <c r="H6" s="38"/>
    </row>
    <row r="7" spans="1:12" x14ac:dyDescent="0.25">
      <c r="A7" s="38"/>
      <c r="C7" s="38" t="s">
        <v>96</v>
      </c>
      <c r="D7" s="38">
        <f>(12/365)*'ECT Trans'!I1</f>
        <v>1.0191780821917806</v>
      </c>
      <c r="E7" s="38" t="s">
        <v>97</v>
      </c>
      <c r="F7" s="38"/>
      <c r="G7" s="38"/>
      <c r="H7" s="38"/>
    </row>
    <row r="8" spans="1:12" x14ac:dyDescent="0.25">
      <c r="A8" s="38"/>
      <c r="B8" s="38"/>
      <c r="C8" s="38"/>
      <c r="D8" s="38"/>
      <c r="E8" s="38"/>
      <c r="F8" s="38"/>
      <c r="G8" s="38"/>
      <c r="H8" s="38"/>
    </row>
    <row r="9" spans="1:12" x14ac:dyDescent="0.25">
      <c r="A9" s="38"/>
      <c r="B9" s="38"/>
      <c r="C9" s="38"/>
      <c r="D9" s="38"/>
      <c r="E9" s="38"/>
      <c r="F9" s="38"/>
      <c r="G9" s="38"/>
      <c r="H9" s="38"/>
    </row>
    <row r="10" spans="1:12" x14ac:dyDescent="0.25">
      <c r="A10" s="65" t="s">
        <v>98</v>
      </c>
      <c r="B10" s="65">
        <v>889108</v>
      </c>
      <c r="C10" s="65"/>
      <c r="D10" s="38"/>
      <c r="E10" s="38"/>
      <c r="F10" s="38"/>
      <c r="G10" s="38"/>
      <c r="H10" s="38"/>
    </row>
    <row r="11" spans="1:12" x14ac:dyDescent="0.25">
      <c r="A11" s="65" t="s">
        <v>99</v>
      </c>
      <c r="B11" s="65" t="s">
        <v>72</v>
      </c>
      <c r="F11" s="38"/>
      <c r="G11" s="38"/>
      <c r="H11" s="38"/>
    </row>
    <row r="12" spans="1:12" x14ac:dyDescent="0.25">
      <c r="A12" s="38"/>
      <c r="B12" s="38" t="s">
        <v>37</v>
      </c>
      <c r="C12" s="38" t="s">
        <v>388</v>
      </c>
      <c r="D12" s="38" t="s">
        <v>96</v>
      </c>
      <c r="E12" s="38" t="s">
        <v>100</v>
      </c>
      <c r="F12" s="38"/>
      <c r="G12" s="38"/>
    </row>
    <row r="13" spans="1:12" x14ac:dyDescent="0.25">
      <c r="A13" s="38" t="s">
        <v>101</v>
      </c>
      <c r="B13" s="64">
        <v>3.41</v>
      </c>
      <c r="C13" s="38">
        <v>108</v>
      </c>
      <c r="D13" s="38">
        <f t="shared" ref="D13:D21" si="0">+D$7</f>
        <v>1.0191780821917806</v>
      </c>
      <c r="E13" s="66">
        <f t="shared" ref="E13:E21" si="1">(+C13)*B13*D13</f>
        <v>375.34290410958903</v>
      </c>
      <c r="F13" s="38"/>
      <c r="G13" s="38"/>
      <c r="I13" s="64"/>
      <c r="J13" s="38"/>
      <c r="K13" s="38"/>
      <c r="L13" s="66"/>
    </row>
    <row r="14" spans="1:12" x14ac:dyDescent="0.25">
      <c r="A14" s="38" t="s">
        <v>102</v>
      </c>
      <c r="B14" s="64">
        <v>3.2170000000000001</v>
      </c>
      <c r="C14" s="38">
        <v>29</v>
      </c>
      <c r="D14" s="38">
        <f t="shared" si="0"/>
        <v>1.0191780821917806</v>
      </c>
      <c r="E14" s="66">
        <f t="shared" si="1"/>
        <v>95.082180821917802</v>
      </c>
      <c r="F14" s="38"/>
      <c r="G14" s="38"/>
      <c r="I14" s="64"/>
      <c r="J14" s="38"/>
      <c r="K14" s="38"/>
      <c r="L14" s="66"/>
    </row>
    <row r="15" spans="1:12" x14ac:dyDescent="0.25">
      <c r="A15" s="38" t="s">
        <v>103</v>
      </c>
      <c r="B15" s="64">
        <v>6.9649999999999999</v>
      </c>
      <c r="C15" s="38">
        <v>46</v>
      </c>
      <c r="D15" s="38">
        <f t="shared" si="0"/>
        <v>1.0191780821917806</v>
      </c>
      <c r="E15" s="66">
        <f t="shared" si="1"/>
        <v>326.53446575342457</v>
      </c>
      <c r="F15" s="38"/>
      <c r="G15" s="38"/>
      <c r="I15" s="64"/>
      <c r="J15" s="38"/>
      <c r="K15" s="38"/>
      <c r="L15" s="66"/>
    </row>
    <row r="16" spans="1:12" x14ac:dyDescent="0.25">
      <c r="A16" s="38" t="s">
        <v>104</v>
      </c>
      <c r="B16" s="64">
        <v>2.9220000000000002</v>
      </c>
      <c r="C16" s="38">
        <v>70</v>
      </c>
      <c r="D16" s="38">
        <f t="shared" si="0"/>
        <v>1.0191780821917806</v>
      </c>
      <c r="E16" s="66">
        <f t="shared" si="1"/>
        <v>208.46268493150683</v>
      </c>
      <c r="F16" s="38"/>
      <c r="G16" s="38"/>
      <c r="I16" s="64"/>
      <c r="J16" s="38"/>
      <c r="K16" s="38"/>
      <c r="L16" s="66"/>
    </row>
    <row r="17" spans="1:12" x14ac:dyDescent="0.25">
      <c r="A17" s="67" t="s">
        <v>105</v>
      </c>
      <c r="B17" s="64">
        <v>1.9119999999999999</v>
      </c>
      <c r="C17" s="38">
        <v>170</v>
      </c>
      <c r="D17" s="38">
        <f t="shared" si="0"/>
        <v>1.0191780821917806</v>
      </c>
      <c r="E17" s="66">
        <f t="shared" si="1"/>
        <v>331.27364383561633</v>
      </c>
      <c r="F17" s="38"/>
      <c r="G17" s="38"/>
      <c r="I17" s="64"/>
      <c r="J17" s="38"/>
      <c r="K17" s="38"/>
      <c r="L17" s="66"/>
    </row>
    <row r="18" spans="1:12" x14ac:dyDescent="0.25">
      <c r="A18" s="68" t="s">
        <v>106</v>
      </c>
      <c r="B18" s="64">
        <v>3.9420000000000002</v>
      </c>
      <c r="C18" s="38">
        <v>170</v>
      </c>
      <c r="D18" s="38">
        <f t="shared" si="0"/>
        <v>1.0191780821917806</v>
      </c>
      <c r="E18" s="66">
        <f t="shared" si="1"/>
        <v>682.99199999999985</v>
      </c>
      <c r="F18" s="38"/>
      <c r="G18" s="38"/>
      <c r="I18" s="64"/>
      <c r="J18" s="38"/>
      <c r="K18" s="38"/>
      <c r="L18" s="66"/>
    </row>
    <row r="19" spans="1:12" x14ac:dyDescent="0.25">
      <c r="A19" s="68" t="s">
        <v>107</v>
      </c>
      <c r="B19" s="64">
        <v>2.6909999999999998</v>
      </c>
      <c r="C19" s="38">
        <v>168</v>
      </c>
      <c r="D19" s="38">
        <f t="shared" si="0"/>
        <v>1.0191780821917806</v>
      </c>
      <c r="E19" s="66">
        <f t="shared" si="1"/>
        <v>460.75818082191768</v>
      </c>
      <c r="F19" s="38"/>
      <c r="G19" s="38"/>
      <c r="I19" s="64"/>
      <c r="J19" s="38"/>
      <c r="K19" s="38"/>
      <c r="L19" s="66"/>
    </row>
    <row r="20" spans="1:12" x14ac:dyDescent="0.25">
      <c r="A20" s="68" t="s">
        <v>108</v>
      </c>
      <c r="B20" s="64">
        <v>3.8530000000000002</v>
      </c>
      <c r="C20" s="38">
        <v>170</v>
      </c>
      <c r="D20" s="38">
        <f t="shared" si="0"/>
        <v>1.0191780821917806</v>
      </c>
      <c r="E20" s="66">
        <f t="shared" si="1"/>
        <v>667.57183561643819</v>
      </c>
      <c r="F20" s="38"/>
      <c r="G20" s="38"/>
      <c r="I20" s="64"/>
      <c r="J20" s="38"/>
      <c r="K20" s="38"/>
      <c r="L20" s="66"/>
    </row>
    <row r="21" spans="1:12" x14ac:dyDescent="0.25">
      <c r="A21" s="38" t="s">
        <v>109</v>
      </c>
      <c r="B21" s="64">
        <v>5.3278999999999996</v>
      </c>
      <c r="C21" s="38">
        <v>170</v>
      </c>
      <c r="D21" s="38">
        <f t="shared" si="0"/>
        <v>1.0191780821917806</v>
      </c>
      <c r="E21" s="66">
        <f t="shared" si="1"/>
        <v>923.11341369862987</v>
      </c>
      <c r="F21" s="38"/>
      <c r="G21" s="38"/>
      <c r="I21" s="64"/>
      <c r="J21" s="38"/>
      <c r="K21" s="38"/>
      <c r="L21" s="66"/>
    </row>
    <row r="22" spans="1:12" ht="13.8" thickBot="1" x14ac:dyDescent="0.3">
      <c r="A22" s="38"/>
      <c r="B22" s="38"/>
      <c r="C22" s="38"/>
      <c r="D22" s="38"/>
      <c r="E22" s="69">
        <f>SUM(E13:E21)</f>
        <v>4071.1313095890396</v>
      </c>
      <c r="F22" s="38"/>
      <c r="G22" s="38"/>
      <c r="L22" s="79"/>
    </row>
    <row r="23" spans="1:12" ht="13.8" thickTop="1" x14ac:dyDescent="0.25">
      <c r="A23" s="38"/>
      <c r="B23" s="38"/>
      <c r="C23" s="38"/>
      <c r="D23" s="38" t="s">
        <v>110</v>
      </c>
      <c r="E23" s="38">
        <f>+C19</f>
        <v>168</v>
      </c>
      <c r="F23" s="38"/>
      <c r="G23" s="38"/>
    </row>
    <row r="24" spans="1:12" x14ac:dyDescent="0.25">
      <c r="A24" s="38"/>
      <c r="B24" s="38"/>
      <c r="C24" s="38"/>
      <c r="D24" s="38" t="s">
        <v>71</v>
      </c>
      <c r="E24" s="70">
        <f>+'ECT Trans'!I1</f>
        <v>31</v>
      </c>
      <c r="F24" s="38"/>
      <c r="G24" s="38"/>
    </row>
    <row r="25" spans="1:12" ht="13.8" thickBot="1" x14ac:dyDescent="0.3">
      <c r="A25" s="38"/>
      <c r="B25" s="38"/>
      <c r="C25" s="38"/>
      <c r="D25" s="38" t="s">
        <v>111</v>
      </c>
      <c r="E25" s="71">
        <f>ROUND(+E22/E23/E24,4)</f>
        <v>0.78169999999999995</v>
      </c>
      <c r="F25" s="38"/>
      <c r="G25" s="38"/>
      <c r="L25" s="77"/>
    </row>
    <row r="26" spans="1:12" ht="13.8" thickTop="1" x14ac:dyDescent="0.25">
      <c r="A26" s="38"/>
      <c r="B26" s="38"/>
      <c r="C26" s="38"/>
      <c r="D26" s="38"/>
      <c r="E26" s="38"/>
      <c r="F26" s="38"/>
      <c r="G26" s="38"/>
      <c r="H26" s="38"/>
    </row>
    <row r="27" spans="1:12" x14ac:dyDescent="0.25">
      <c r="A27" s="65" t="s">
        <v>98</v>
      </c>
      <c r="B27" s="65">
        <v>889088</v>
      </c>
      <c r="F27" s="38"/>
      <c r="G27" s="38"/>
      <c r="H27" s="38"/>
    </row>
    <row r="28" spans="1:12" x14ac:dyDescent="0.25">
      <c r="A28" s="65" t="s">
        <v>113</v>
      </c>
      <c r="B28" s="65" t="s">
        <v>72</v>
      </c>
      <c r="C28" s="65" t="s">
        <v>112</v>
      </c>
      <c r="D28" s="65"/>
      <c r="E28" s="65"/>
      <c r="F28" s="38"/>
      <c r="G28" s="38"/>
      <c r="H28" s="38"/>
    </row>
    <row r="29" spans="1:12" x14ac:dyDescent="0.25">
      <c r="A29" s="38"/>
      <c r="B29" s="38" t="s">
        <v>37</v>
      </c>
      <c r="C29" s="38" t="s">
        <v>114</v>
      </c>
      <c r="D29" s="38" t="s">
        <v>115</v>
      </c>
      <c r="E29" s="38" t="s">
        <v>96</v>
      </c>
      <c r="F29" s="38" t="s">
        <v>100</v>
      </c>
      <c r="G29" s="38"/>
      <c r="H29" s="38"/>
    </row>
    <row r="30" spans="1:12" x14ac:dyDescent="0.25">
      <c r="A30" s="38" t="s">
        <v>101</v>
      </c>
      <c r="B30" s="64">
        <v>3.633</v>
      </c>
      <c r="C30" s="38">
        <v>62</v>
      </c>
      <c r="D30" s="38">
        <v>32</v>
      </c>
      <c r="E30" s="38">
        <f>+D$7</f>
        <v>1.0191780821917806</v>
      </c>
      <c r="F30" s="66">
        <f t="shared" ref="F30:F37" si="2">(+C30+D30)*B30*E30</f>
        <v>348.05135342465746</v>
      </c>
      <c r="G30" s="38"/>
      <c r="H30" s="38"/>
    </row>
    <row r="31" spans="1:12" x14ac:dyDescent="0.25">
      <c r="A31" s="38" t="s">
        <v>102</v>
      </c>
      <c r="B31" s="64">
        <v>3.44</v>
      </c>
      <c r="C31" s="38">
        <v>17</v>
      </c>
      <c r="D31" s="38">
        <v>8</v>
      </c>
      <c r="E31" s="38">
        <f t="shared" ref="E31:E37" si="3">+D$7</f>
        <v>1.0191780821917806</v>
      </c>
      <c r="F31" s="66">
        <f t="shared" si="2"/>
        <v>87.649315068493138</v>
      </c>
      <c r="G31" s="38"/>
      <c r="H31" s="38"/>
    </row>
    <row r="32" spans="1:12" x14ac:dyDescent="0.25">
      <c r="A32" s="38" t="s">
        <v>103</v>
      </c>
      <c r="B32" s="64">
        <v>7.1879999999999997</v>
      </c>
      <c r="C32" s="38">
        <v>28</v>
      </c>
      <c r="D32" s="38">
        <v>14</v>
      </c>
      <c r="E32" s="38">
        <f t="shared" si="3"/>
        <v>1.0191780821917806</v>
      </c>
      <c r="F32" s="66">
        <f t="shared" si="2"/>
        <v>307.68578630136983</v>
      </c>
      <c r="G32" s="38"/>
      <c r="H32" s="38"/>
    </row>
    <row r="33" spans="1:8" x14ac:dyDescent="0.25">
      <c r="A33" s="38" t="s">
        <v>104</v>
      </c>
      <c r="B33" s="64">
        <v>3.145</v>
      </c>
      <c r="C33" s="38">
        <v>41</v>
      </c>
      <c r="D33" s="38">
        <v>21</v>
      </c>
      <c r="E33" s="38">
        <f t="shared" si="3"/>
        <v>1.0191780821917806</v>
      </c>
      <c r="F33" s="66">
        <f t="shared" si="2"/>
        <v>198.72953424657533</v>
      </c>
      <c r="G33" s="38"/>
      <c r="H33" s="38"/>
    </row>
    <row r="34" spans="1:8" x14ac:dyDescent="0.25">
      <c r="A34" s="67" t="s">
        <v>105</v>
      </c>
      <c r="B34" s="64">
        <v>1.9119999999999999</v>
      </c>
      <c r="C34" s="38">
        <v>102</v>
      </c>
      <c r="D34" s="38">
        <v>52</v>
      </c>
      <c r="E34" s="38">
        <f t="shared" si="3"/>
        <v>1.0191780821917806</v>
      </c>
      <c r="F34" s="66">
        <f t="shared" si="2"/>
        <v>300.09494794520538</v>
      </c>
      <c r="G34" s="38"/>
      <c r="H34" s="38"/>
    </row>
    <row r="35" spans="1:8" x14ac:dyDescent="0.25">
      <c r="A35" s="68" t="s">
        <v>106</v>
      </c>
      <c r="B35" s="64">
        <v>3.9420000000000002</v>
      </c>
      <c r="C35" s="38">
        <v>102</v>
      </c>
      <c r="D35" s="38">
        <v>51</v>
      </c>
      <c r="E35" s="38">
        <f t="shared" si="3"/>
        <v>1.0191780821917806</v>
      </c>
      <c r="F35" s="66">
        <f t="shared" si="2"/>
        <v>614.69279999999981</v>
      </c>
      <c r="G35" s="38"/>
      <c r="H35" s="38"/>
    </row>
    <row r="36" spans="1:8" x14ac:dyDescent="0.25">
      <c r="A36" s="68" t="s">
        <v>107</v>
      </c>
      <c r="B36" s="64">
        <v>2.6909999999999998</v>
      </c>
      <c r="C36" s="38">
        <v>100</v>
      </c>
      <c r="D36" s="38">
        <v>51</v>
      </c>
      <c r="E36" s="38">
        <f t="shared" si="3"/>
        <v>1.0191780821917806</v>
      </c>
      <c r="F36" s="66">
        <f t="shared" si="2"/>
        <v>414.13384109589026</v>
      </c>
      <c r="G36" s="38"/>
      <c r="H36" s="38"/>
    </row>
    <row r="37" spans="1:8" x14ac:dyDescent="0.25">
      <c r="A37" s="68" t="s">
        <v>108</v>
      </c>
      <c r="B37" s="64">
        <v>4.0759999999999996</v>
      </c>
      <c r="C37" s="38">
        <v>102</v>
      </c>
      <c r="D37" s="38">
        <v>52</v>
      </c>
      <c r="E37" s="38">
        <f t="shared" si="3"/>
        <v>1.0191780821917806</v>
      </c>
      <c r="F37" s="66">
        <f t="shared" si="2"/>
        <v>639.74215890410937</v>
      </c>
      <c r="G37" s="38"/>
      <c r="H37" s="38"/>
    </row>
    <row r="38" spans="1:8" ht="13.8" thickBot="1" x14ac:dyDescent="0.3">
      <c r="A38" s="38"/>
      <c r="B38" s="38"/>
      <c r="C38" s="38"/>
      <c r="E38" s="38"/>
      <c r="F38" s="69">
        <f>SUM(F30:F37)</f>
        <v>2910.7797369863001</v>
      </c>
      <c r="G38" s="38"/>
      <c r="H38" s="38"/>
    </row>
    <row r="39" spans="1:8" ht="13.8" thickTop="1" x14ac:dyDescent="0.25">
      <c r="A39" s="38"/>
      <c r="B39" s="38"/>
      <c r="C39" s="38"/>
      <c r="E39" s="38" t="s">
        <v>110</v>
      </c>
      <c r="F39" s="38">
        <f>+D37+C37</f>
        <v>154</v>
      </c>
      <c r="G39" s="38"/>
      <c r="H39" s="38"/>
    </row>
    <row r="40" spans="1:8" x14ac:dyDescent="0.25">
      <c r="A40" s="38"/>
      <c r="B40" s="38"/>
      <c r="C40" s="38"/>
      <c r="E40" s="38" t="s">
        <v>71</v>
      </c>
      <c r="F40" s="70" t="e">
        <f>+'ECT Trans'!#REF!</f>
        <v>#REF!</v>
      </c>
      <c r="G40" s="38"/>
      <c r="H40" s="38"/>
    </row>
    <row r="41" spans="1:8" ht="13.8" thickBot="1" x14ac:dyDescent="0.3">
      <c r="A41" s="38"/>
      <c r="B41" s="38"/>
      <c r="C41" s="38"/>
      <c r="E41" s="38" t="s">
        <v>111</v>
      </c>
      <c r="F41" s="71" t="e">
        <f>ROUND(+F38/F39/F40,4)</f>
        <v>#REF!</v>
      </c>
      <c r="G41" s="38"/>
      <c r="H41" s="38"/>
    </row>
    <row r="42" spans="1:8" ht="13.8" thickTop="1" x14ac:dyDescent="0.25">
      <c r="A42" s="38"/>
      <c r="B42" s="38"/>
      <c r="C42" s="38"/>
      <c r="D42" s="38"/>
      <c r="E42" s="38"/>
      <c r="F42" s="38"/>
      <c r="G42" s="38"/>
      <c r="H42" s="38"/>
    </row>
    <row r="43" spans="1:8" x14ac:dyDescent="0.25">
      <c r="A43" s="38"/>
      <c r="B43" s="38"/>
      <c r="C43" s="38"/>
      <c r="D43" s="38"/>
      <c r="E43" s="38"/>
      <c r="F43" s="38"/>
      <c r="G43" s="38"/>
      <c r="H43" s="38"/>
    </row>
    <row r="44" spans="1:8" x14ac:dyDescent="0.25">
      <c r="A44" s="65" t="s">
        <v>98</v>
      </c>
      <c r="B44" s="65">
        <v>889110</v>
      </c>
      <c r="F44" s="38"/>
      <c r="G44" s="38"/>
      <c r="H44" s="38"/>
    </row>
    <row r="45" spans="1:8" x14ac:dyDescent="0.25">
      <c r="A45" s="65" t="s">
        <v>99</v>
      </c>
      <c r="B45" s="65" t="s">
        <v>72</v>
      </c>
      <c r="C45" s="65"/>
      <c r="D45" s="65"/>
      <c r="E45" s="65"/>
      <c r="F45" s="38"/>
      <c r="G45" s="38"/>
      <c r="H45" s="38"/>
    </row>
    <row r="46" spans="1:8" x14ac:dyDescent="0.25">
      <c r="A46" s="38"/>
      <c r="B46" s="38" t="s">
        <v>37</v>
      </c>
      <c r="C46" s="38" t="s">
        <v>391</v>
      </c>
      <c r="D46" s="38" t="s">
        <v>390</v>
      </c>
      <c r="E46" s="38" t="s">
        <v>96</v>
      </c>
      <c r="F46" s="38" t="s">
        <v>100</v>
      </c>
      <c r="G46" s="38"/>
      <c r="H46" s="38"/>
    </row>
    <row r="47" spans="1:8" x14ac:dyDescent="0.25">
      <c r="A47" s="38" t="s">
        <v>101</v>
      </c>
      <c r="B47" s="64">
        <v>3.41</v>
      </c>
      <c r="C47" s="38">
        <v>13</v>
      </c>
      <c r="D47" s="38">
        <v>0</v>
      </c>
      <c r="E47" s="38">
        <f>+D$7</f>
        <v>1.0191780821917806</v>
      </c>
      <c r="F47" s="66">
        <f t="shared" ref="F47:F53" si="4">(+C47+D47)*B47*E47</f>
        <v>45.180164383561632</v>
      </c>
      <c r="G47" s="38"/>
      <c r="H47" s="38"/>
    </row>
    <row r="48" spans="1:8" x14ac:dyDescent="0.25">
      <c r="A48" s="38" t="s">
        <v>102</v>
      </c>
      <c r="B48" s="64">
        <v>3.2170000000000001</v>
      </c>
      <c r="C48" s="38">
        <v>4</v>
      </c>
      <c r="D48" s="38">
        <v>0</v>
      </c>
      <c r="E48" s="38">
        <f t="shared" ref="E48:E53" si="5">+D$7</f>
        <v>1.0191780821917806</v>
      </c>
      <c r="F48" s="66">
        <f t="shared" si="4"/>
        <v>13.114783561643833</v>
      </c>
      <c r="G48" s="38"/>
      <c r="H48" s="38"/>
    </row>
    <row r="49" spans="1:8" x14ac:dyDescent="0.25">
      <c r="A49" s="38" t="s">
        <v>103</v>
      </c>
      <c r="B49" s="64">
        <v>6.9649999999999999</v>
      </c>
      <c r="C49" s="38">
        <v>6</v>
      </c>
      <c r="D49" s="38">
        <v>0</v>
      </c>
      <c r="E49" s="38">
        <f t="shared" si="5"/>
        <v>1.0191780821917806</v>
      </c>
      <c r="F49" s="66">
        <f t="shared" si="4"/>
        <v>42.591452054794509</v>
      </c>
      <c r="G49" s="38"/>
      <c r="H49" s="38"/>
    </row>
    <row r="50" spans="1:8" x14ac:dyDescent="0.25">
      <c r="A50" s="38" t="s">
        <v>104</v>
      </c>
      <c r="B50" s="64">
        <v>2.9220000000000002</v>
      </c>
      <c r="C50" s="38">
        <v>9</v>
      </c>
      <c r="D50" s="38">
        <v>0</v>
      </c>
      <c r="E50" s="38">
        <f t="shared" si="5"/>
        <v>1.0191780821917806</v>
      </c>
      <c r="F50" s="66">
        <f t="shared" si="4"/>
        <v>26.802345205479448</v>
      </c>
      <c r="G50" s="38"/>
      <c r="H50" s="38"/>
    </row>
    <row r="51" spans="1:8" x14ac:dyDescent="0.25">
      <c r="A51" s="67" t="s">
        <v>105</v>
      </c>
      <c r="B51" s="64">
        <v>1.9119999999999999</v>
      </c>
      <c r="C51" s="38">
        <v>21</v>
      </c>
      <c r="D51" s="38">
        <v>0</v>
      </c>
      <c r="E51" s="38">
        <f t="shared" si="5"/>
        <v>1.0191780821917806</v>
      </c>
      <c r="F51" s="66">
        <f t="shared" si="4"/>
        <v>40.922038356164379</v>
      </c>
      <c r="G51" s="38"/>
      <c r="H51" s="38"/>
    </row>
    <row r="52" spans="1:8" x14ac:dyDescent="0.25">
      <c r="A52" s="68" t="s">
        <v>106</v>
      </c>
      <c r="B52" s="64">
        <v>3.9420000000000002</v>
      </c>
      <c r="C52" s="38">
        <v>21</v>
      </c>
      <c r="D52" s="38">
        <v>0</v>
      </c>
      <c r="E52" s="38">
        <f t="shared" si="5"/>
        <v>1.0191780821917806</v>
      </c>
      <c r="F52" s="66">
        <f t="shared" si="4"/>
        <v>84.369599999999991</v>
      </c>
      <c r="G52" s="38"/>
      <c r="H52" s="38"/>
    </row>
    <row r="53" spans="1:8" x14ac:dyDescent="0.25">
      <c r="A53" s="68" t="s">
        <v>118</v>
      </c>
      <c r="B53" s="64">
        <v>3.7959999999999998</v>
      </c>
      <c r="C53" s="38">
        <v>21</v>
      </c>
      <c r="D53" s="38">
        <v>0</v>
      </c>
      <c r="E53" s="38">
        <f t="shared" si="5"/>
        <v>1.0191780821917806</v>
      </c>
      <c r="F53" s="66">
        <f t="shared" si="4"/>
        <v>81.244799999999984</v>
      </c>
      <c r="G53" s="38"/>
      <c r="H53" s="38"/>
    </row>
    <row r="54" spans="1:8" ht="13.8" thickBot="1" x14ac:dyDescent="0.3">
      <c r="A54" s="38"/>
      <c r="B54" s="38"/>
      <c r="C54" s="38"/>
      <c r="E54" s="38"/>
      <c r="F54" s="69">
        <f>SUM(F47:F53)</f>
        <v>334.2251835616438</v>
      </c>
      <c r="G54" s="38"/>
      <c r="H54" s="38"/>
    </row>
    <row r="55" spans="1:8" ht="13.8" thickTop="1" x14ac:dyDescent="0.25">
      <c r="A55" s="38"/>
      <c r="B55" s="38"/>
      <c r="C55" s="38"/>
      <c r="E55" s="38" t="s">
        <v>110</v>
      </c>
      <c r="F55" s="38">
        <f>+C52+D52</f>
        <v>21</v>
      </c>
      <c r="G55" s="38"/>
      <c r="H55" s="38"/>
    </row>
    <row r="56" spans="1:8" x14ac:dyDescent="0.25">
      <c r="A56" s="38"/>
      <c r="B56" s="38"/>
      <c r="C56" s="38"/>
      <c r="E56" s="38" t="s">
        <v>71</v>
      </c>
      <c r="F56" s="70">
        <f>+'ECT Trans'!I1</f>
        <v>31</v>
      </c>
      <c r="G56" s="38"/>
      <c r="H56" s="38"/>
    </row>
    <row r="57" spans="1:8" ht="13.8" thickBot="1" x14ac:dyDescent="0.3">
      <c r="A57" s="38"/>
      <c r="B57" s="38"/>
      <c r="C57" s="38"/>
      <c r="E57" s="38" t="s">
        <v>111</v>
      </c>
      <c r="F57" s="71">
        <f>ROUND(+F54/F55/F56,4)</f>
        <v>0.51339999999999997</v>
      </c>
      <c r="G57" s="38"/>
      <c r="H57" s="38"/>
    </row>
    <row r="58" spans="1:8" ht="13.8" thickTop="1" x14ac:dyDescent="0.25">
      <c r="A58" s="38"/>
      <c r="B58" s="38"/>
      <c r="C58" s="38"/>
      <c r="D58" s="38"/>
      <c r="E58" s="38"/>
      <c r="F58" s="38"/>
      <c r="G58" s="38"/>
      <c r="H58" s="38"/>
    </row>
    <row r="59" spans="1:8" x14ac:dyDescent="0.25">
      <c r="A59" s="38"/>
      <c r="B59" s="38"/>
      <c r="C59" s="38"/>
      <c r="D59" s="38"/>
      <c r="E59" s="38"/>
      <c r="F59" s="38"/>
      <c r="G59" s="38"/>
      <c r="H59" s="38"/>
    </row>
    <row r="60" spans="1:8" x14ac:dyDescent="0.25">
      <c r="A60" s="65" t="s">
        <v>98</v>
      </c>
      <c r="B60" s="65">
        <v>889111</v>
      </c>
      <c r="F60" s="38"/>
      <c r="G60" s="38"/>
      <c r="H60" s="38"/>
    </row>
    <row r="61" spans="1:8" x14ac:dyDescent="0.25">
      <c r="A61" s="65" t="s">
        <v>113</v>
      </c>
      <c r="B61" s="65" t="s">
        <v>72</v>
      </c>
      <c r="C61" s="65"/>
      <c r="D61" s="65"/>
      <c r="E61" s="65"/>
      <c r="F61" s="38"/>
      <c r="G61" s="38"/>
      <c r="H61" s="38"/>
    </row>
    <row r="62" spans="1:8" x14ac:dyDescent="0.25">
      <c r="A62" s="38"/>
      <c r="B62" s="38" t="s">
        <v>37</v>
      </c>
      <c r="C62" s="38" t="s">
        <v>389</v>
      </c>
      <c r="D62" s="38" t="s">
        <v>390</v>
      </c>
      <c r="E62" s="38" t="s">
        <v>96</v>
      </c>
      <c r="F62" s="38" t="s">
        <v>100</v>
      </c>
      <c r="G62" s="38"/>
      <c r="H62" s="38"/>
    </row>
    <row r="63" spans="1:8" x14ac:dyDescent="0.25">
      <c r="A63" s="38" t="s">
        <v>101</v>
      </c>
      <c r="B63" s="64">
        <v>3.637</v>
      </c>
      <c r="C63" s="38">
        <v>88</v>
      </c>
      <c r="D63" s="38">
        <v>0</v>
      </c>
      <c r="E63" s="38">
        <f>+D$7</f>
        <v>1.0191780821917806</v>
      </c>
      <c r="F63" s="66">
        <f t="shared" ref="F63:F70" si="6">(+C63+D63)*B63*E63</f>
        <v>326.19406027397253</v>
      </c>
      <c r="G63" s="38"/>
      <c r="H63" s="38"/>
    </row>
    <row r="64" spans="1:8" x14ac:dyDescent="0.25">
      <c r="A64" s="38" t="s">
        <v>102</v>
      </c>
      <c r="B64" s="64">
        <v>3.444</v>
      </c>
      <c r="C64" s="38">
        <v>24</v>
      </c>
      <c r="D64" s="38">
        <v>0</v>
      </c>
      <c r="E64" s="38">
        <f t="shared" ref="E64:E70" si="7">+D$7</f>
        <v>1.0191780821917806</v>
      </c>
      <c r="F64" s="66">
        <f t="shared" si="6"/>
        <v>84.241183561643822</v>
      </c>
      <c r="G64" s="38"/>
      <c r="H64" s="38"/>
    </row>
    <row r="65" spans="1:12" x14ac:dyDescent="0.25">
      <c r="A65" s="38" t="s">
        <v>103</v>
      </c>
      <c r="B65" s="64">
        <v>7.1920000000000002</v>
      </c>
      <c r="C65" s="38">
        <v>39</v>
      </c>
      <c r="D65" s="38">
        <v>0</v>
      </c>
      <c r="E65" s="38">
        <f t="shared" si="7"/>
        <v>1.0191780821917806</v>
      </c>
      <c r="F65" s="66">
        <f t="shared" si="6"/>
        <v>285.86722191780814</v>
      </c>
      <c r="G65" s="38"/>
      <c r="H65" s="38"/>
    </row>
    <row r="66" spans="1:12" x14ac:dyDescent="0.25">
      <c r="A66" s="38" t="s">
        <v>104</v>
      </c>
      <c r="B66" s="64">
        <v>3.1560000000000001</v>
      </c>
      <c r="C66" s="38">
        <v>58</v>
      </c>
      <c r="D66" s="38">
        <v>0</v>
      </c>
      <c r="E66" s="38">
        <f t="shared" si="7"/>
        <v>1.0191780821917806</v>
      </c>
      <c r="F66" s="66">
        <f t="shared" si="6"/>
        <v>186.55850958904105</v>
      </c>
      <c r="G66" s="38"/>
      <c r="H66" s="38"/>
    </row>
    <row r="67" spans="1:12" x14ac:dyDescent="0.25">
      <c r="A67" s="67" t="s">
        <v>105</v>
      </c>
      <c r="B67" s="64">
        <v>1.9119999999999999</v>
      </c>
      <c r="C67" s="38">
        <v>141</v>
      </c>
      <c r="D67" s="38">
        <v>0</v>
      </c>
      <c r="E67" s="38">
        <f t="shared" si="7"/>
        <v>1.0191780821917806</v>
      </c>
      <c r="F67" s="66">
        <f t="shared" si="6"/>
        <v>274.76225753424649</v>
      </c>
      <c r="G67" s="38"/>
      <c r="H67" s="38"/>
    </row>
    <row r="68" spans="1:12" x14ac:dyDescent="0.25">
      <c r="A68" s="68" t="s">
        <v>106</v>
      </c>
      <c r="B68" s="64">
        <v>3.9420000000000002</v>
      </c>
      <c r="C68" s="38">
        <v>141</v>
      </c>
      <c r="D68" s="38">
        <v>0</v>
      </c>
      <c r="E68" s="38">
        <f t="shared" si="7"/>
        <v>1.0191780821917806</v>
      </c>
      <c r="F68" s="66">
        <f t="shared" si="6"/>
        <v>566.48159999999984</v>
      </c>
      <c r="G68" s="38"/>
      <c r="H68" s="38"/>
    </row>
    <row r="69" spans="1:12" x14ac:dyDescent="0.25">
      <c r="A69" s="68" t="s">
        <v>107</v>
      </c>
      <c r="B69" s="64">
        <v>2.6909999999999998</v>
      </c>
      <c r="C69" s="38">
        <v>138</v>
      </c>
      <c r="D69" s="38">
        <v>0</v>
      </c>
      <c r="E69" s="38">
        <f t="shared" si="7"/>
        <v>1.0191780821917806</v>
      </c>
      <c r="F69" s="66">
        <f t="shared" si="6"/>
        <v>378.47993424657528</v>
      </c>
      <c r="G69" s="38"/>
      <c r="H69" s="38"/>
    </row>
    <row r="70" spans="1:12" x14ac:dyDescent="0.25">
      <c r="A70" s="68" t="s">
        <v>108</v>
      </c>
      <c r="B70" s="64">
        <v>4.0659999999999998</v>
      </c>
      <c r="C70" s="38">
        <v>141</v>
      </c>
      <c r="D70" s="38">
        <v>0</v>
      </c>
      <c r="E70" s="38">
        <f t="shared" si="7"/>
        <v>1.0191780821917806</v>
      </c>
      <c r="F70" s="66">
        <f t="shared" si="6"/>
        <v>584.30090958904088</v>
      </c>
      <c r="G70" s="38"/>
      <c r="H70" s="38"/>
    </row>
    <row r="71" spans="1:12" ht="13.8" thickBot="1" x14ac:dyDescent="0.3">
      <c r="A71" s="38"/>
      <c r="B71" s="38"/>
      <c r="C71" s="38"/>
      <c r="E71" s="38"/>
      <c r="F71" s="69">
        <f>SUM(F63:F70)</f>
        <v>2686.8856767123279</v>
      </c>
      <c r="G71" s="38"/>
      <c r="H71" s="38"/>
    </row>
    <row r="72" spans="1:12" ht="13.8" thickTop="1" x14ac:dyDescent="0.25">
      <c r="A72" s="38"/>
      <c r="B72" s="38"/>
      <c r="C72" s="38"/>
      <c r="E72" s="38" t="s">
        <v>110</v>
      </c>
      <c r="F72" s="38">
        <f>+C69+D69</f>
        <v>138</v>
      </c>
      <c r="G72" s="38"/>
      <c r="H72" s="38"/>
    </row>
    <row r="73" spans="1:12" x14ac:dyDescent="0.25">
      <c r="A73" s="38"/>
      <c r="B73" s="38"/>
      <c r="C73" s="38"/>
      <c r="E73" s="38" t="s">
        <v>71</v>
      </c>
      <c r="F73" s="70">
        <f>+'ECT Trans'!I1</f>
        <v>31</v>
      </c>
      <c r="G73" s="38"/>
      <c r="H73" s="38"/>
    </row>
    <row r="74" spans="1:12" ht="13.8" thickBot="1" x14ac:dyDescent="0.3">
      <c r="A74" s="38"/>
      <c r="B74" s="38"/>
      <c r="C74" s="38"/>
      <c r="E74" s="38" t="s">
        <v>111</v>
      </c>
      <c r="F74" s="71">
        <f>ROUND(+F71/F72/F73,4)</f>
        <v>0.62809999999999999</v>
      </c>
      <c r="G74" s="38"/>
      <c r="H74" s="38"/>
    </row>
    <row r="75" spans="1:12" ht="13.8" thickTop="1" x14ac:dyDescent="0.25">
      <c r="A75" s="38"/>
      <c r="C75" s="38"/>
      <c r="D75" s="38"/>
      <c r="E75" s="38"/>
      <c r="F75" s="38"/>
      <c r="G75" s="38"/>
      <c r="H75" s="38"/>
      <c r="L75" s="78"/>
    </row>
    <row r="76" spans="1:12" x14ac:dyDescent="0.25">
      <c r="A76" s="65" t="s">
        <v>98</v>
      </c>
      <c r="B76" s="65">
        <v>889112</v>
      </c>
      <c r="F76" s="38"/>
      <c r="G76" s="38"/>
      <c r="H76" s="38"/>
    </row>
    <row r="77" spans="1:12" x14ac:dyDescent="0.25">
      <c r="A77" s="65" t="s">
        <v>99</v>
      </c>
      <c r="B77" s="65" t="s">
        <v>72</v>
      </c>
      <c r="C77" s="65"/>
      <c r="D77" s="65"/>
      <c r="E77" s="65"/>
      <c r="F77" s="38"/>
      <c r="G77" s="38"/>
      <c r="H77" s="38"/>
    </row>
    <row r="78" spans="1:12" x14ac:dyDescent="0.25">
      <c r="A78" s="38"/>
      <c r="B78" s="38" t="s">
        <v>37</v>
      </c>
      <c r="C78" s="38" t="s">
        <v>387</v>
      </c>
      <c r="D78" s="38" t="s">
        <v>96</v>
      </c>
      <c r="E78" s="38" t="s">
        <v>100</v>
      </c>
      <c r="F78" s="38"/>
      <c r="G78" s="38"/>
    </row>
    <row r="79" spans="1:12" x14ac:dyDescent="0.25">
      <c r="A79" s="38" t="s">
        <v>101</v>
      </c>
      <c r="B79" s="64">
        <v>3.41</v>
      </c>
      <c r="C79" s="38">
        <v>224</v>
      </c>
      <c r="D79" s="38">
        <f t="shared" ref="D79:D86" si="8">+D$7</f>
        <v>1.0191780821917806</v>
      </c>
      <c r="E79" s="66">
        <f t="shared" ref="E79:E86" si="9">(+C79)*B79*D79</f>
        <v>778.48898630136978</v>
      </c>
      <c r="F79" s="38"/>
      <c r="G79" s="38"/>
    </row>
    <row r="80" spans="1:12" x14ac:dyDescent="0.25">
      <c r="A80" s="38" t="s">
        <v>102</v>
      </c>
      <c r="B80" s="64">
        <v>3.2170000000000001</v>
      </c>
      <c r="C80" s="38">
        <v>60</v>
      </c>
      <c r="D80" s="38">
        <f t="shared" si="8"/>
        <v>1.0191780821917806</v>
      </c>
      <c r="E80" s="66">
        <f t="shared" si="9"/>
        <v>196.72175342465752</v>
      </c>
      <c r="F80" s="38"/>
      <c r="G80" s="38"/>
    </row>
    <row r="81" spans="1:8" x14ac:dyDescent="0.25">
      <c r="A81" s="38" t="s">
        <v>103</v>
      </c>
      <c r="B81" s="64">
        <v>6.9649999999999999</v>
      </c>
      <c r="C81" s="38">
        <v>98</v>
      </c>
      <c r="D81" s="38">
        <f t="shared" si="8"/>
        <v>1.0191780821917806</v>
      </c>
      <c r="E81" s="66">
        <f t="shared" si="9"/>
        <v>695.66038356164358</v>
      </c>
      <c r="F81" s="38"/>
      <c r="G81" s="38"/>
    </row>
    <row r="82" spans="1:8" x14ac:dyDescent="0.25">
      <c r="A82" s="38" t="s">
        <v>104</v>
      </c>
      <c r="B82" s="64">
        <v>2.9220000000000002</v>
      </c>
      <c r="C82" s="38">
        <v>145</v>
      </c>
      <c r="D82" s="38">
        <f t="shared" si="8"/>
        <v>1.0191780821917806</v>
      </c>
      <c r="E82" s="66">
        <f t="shared" si="9"/>
        <v>431.81556164383551</v>
      </c>
      <c r="F82" s="38"/>
      <c r="G82" s="38"/>
    </row>
    <row r="83" spans="1:8" x14ac:dyDescent="0.25">
      <c r="A83" s="67" t="s">
        <v>105</v>
      </c>
      <c r="B83" s="64">
        <v>1.9119999999999999</v>
      </c>
      <c r="C83" s="38">
        <v>361</v>
      </c>
      <c r="D83" s="38">
        <f t="shared" si="8"/>
        <v>1.0191780821917806</v>
      </c>
      <c r="E83" s="66">
        <f t="shared" si="9"/>
        <v>703.46932602739707</v>
      </c>
      <c r="F83" s="38"/>
      <c r="G83" s="38"/>
    </row>
    <row r="84" spans="1:8" x14ac:dyDescent="0.25">
      <c r="A84" s="68" t="s">
        <v>106</v>
      </c>
      <c r="B84" s="64">
        <v>3.9420000000000002</v>
      </c>
      <c r="C84" s="38">
        <v>358</v>
      </c>
      <c r="D84" s="38">
        <f t="shared" si="8"/>
        <v>1.0191780821917806</v>
      </c>
      <c r="E84" s="66">
        <f t="shared" si="9"/>
        <v>1438.3007999999998</v>
      </c>
      <c r="F84" s="38"/>
      <c r="G84" s="38"/>
    </row>
    <row r="85" spans="1:8" x14ac:dyDescent="0.25">
      <c r="A85" s="68" t="s">
        <v>107</v>
      </c>
      <c r="B85" s="64">
        <v>2.6909999999999998</v>
      </c>
      <c r="C85" s="38">
        <v>352</v>
      </c>
      <c r="D85" s="38">
        <f t="shared" si="8"/>
        <v>1.0191780821917806</v>
      </c>
      <c r="E85" s="66">
        <f t="shared" si="9"/>
        <v>965.39809315068476</v>
      </c>
      <c r="F85" s="38"/>
      <c r="G85" s="38"/>
    </row>
    <row r="86" spans="1:8" x14ac:dyDescent="0.25">
      <c r="A86" s="68" t="s">
        <v>108</v>
      </c>
      <c r="B86" s="64">
        <v>3.8530000000000002</v>
      </c>
      <c r="C86" s="38">
        <v>361</v>
      </c>
      <c r="D86" s="38">
        <f t="shared" si="8"/>
        <v>1.0191780821917806</v>
      </c>
      <c r="E86" s="66">
        <f t="shared" si="9"/>
        <v>1417.6084273972599</v>
      </c>
      <c r="F86" s="38"/>
      <c r="G86" s="38"/>
    </row>
    <row r="87" spans="1:8" ht="13.8" thickBot="1" x14ac:dyDescent="0.3">
      <c r="A87" s="38"/>
      <c r="B87" s="38"/>
      <c r="C87" s="38"/>
      <c r="D87" s="38"/>
      <c r="E87" s="69">
        <f>SUM(E79:E86)</f>
        <v>6627.4633315068486</v>
      </c>
      <c r="F87" s="38"/>
      <c r="G87" s="38"/>
    </row>
    <row r="88" spans="1:8" ht="13.8" thickTop="1" x14ac:dyDescent="0.25">
      <c r="A88" s="38"/>
      <c r="B88" s="38"/>
      <c r="C88" s="38"/>
      <c r="D88" s="38" t="s">
        <v>110</v>
      </c>
      <c r="E88" s="38">
        <f>+C85</f>
        <v>352</v>
      </c>
      <c r="F88" s="38"/>
      <c r="G88" s="38"/>
    </row>
    <row r="89" spans="1:8" x14ac:dyDescent="0.25">
      <c r="A89" s="38"/>
      <c r="B89" s="38"/>
      <c r="C89" s="38"/>
      <c r="D89" s="38" t="s">
        <v>71</v>
      </c>
      <c r="E89" s="70">
        <f>+'ECT Trans'!I1</f>
        <v>31</v>
      </c>
      <c r="F89" s="38"/>
      <c r="G89" s="38"/>
    </row>
    <row r="90" spans="1:8" ht="13.8" thickBot="1" x14ac:dyDescent="0.3">
      <c r="A90" s="38"/>
      <c r="B90" s="38"/>
      <c r="C90" s="38"/>
      <c r="D90" s="38" t="s">
        <v>111</v>
      </c>
      <c r="E90" s="71">
        <f>ROUND(+E87/E88/E89,4)</f>
        <v>0.60740000000000005</v>
      </c>
      <c r="F90" s="38"/>
      <c r="G90" s="38"/>
    </row>
    <row r="91" spans="1:8" ht="13.8" thickTop="1" x14ac:dyDescent="0.25">
      <c r="A91" s="38"/>
      <c r="B91" s="38"/>
      <c r="C91" s="38"/>
      <c r="D91" s="38"/>
      <c r="E91" s="38"/>
      <c r="F91" s="38"/>
      <c r="G91" s="38"/>
      <c r="H91" s="38"/>
    </row>
    <row r="92" spans="1:8" x14ac:dyDescent="0.25">
      <c r="A92" s="65" t="s">
        <v>98</v>
      </c>
      <c r="B92" s="65">
        <v>889090</v>
      </c>
      <c r="F92" s="38"/>
      <c r="G92" s="38"/>
      <c r="H92" s="38"/>
    </row>
    <row r="93" spans="1:8" x14ac:dyDescent="0.25">
      <c r="A93" s="65" t="s">
        <v>99</v>
      </c>
      <c r="B93" s="65" t="s">
        <v>72</v>
      </c>
      <c r="C93" s="65"/>
      <c r="D93" s="65"/>
      <c r="E93" s="65"/>
      <c r="F93" s="38"/>
      <c r="G93" s="38"/>
      <c r="H93" s="38"/>
    </row>
    <row r="94" spans="1:8" x14ac:dyDescent="0.25">
      <c r="A94" s="38"/>
      <c r="B94" s="38" t="s">
        <v>37</v>
      </c>
      <c r="C94" s="38" t="s">
        <v>116</v>
      </c>
      <c r="D94" s="38" t="s">
        <v>117</v>
      </c>
      <c r="E94" s="38" t="s">
        <v>96</v>
      </c>
      <c r="F94" s="38" t="s">
        <v>100</v>
      </c>
      <c r="G94" s="38"/>
      <c r="H94" s="38"/>
    </row>
    <row r="95" spans="1:8" x14ac:dyDescent="0.25">
      <c r="A95" s="38" t="s">
        <v>101</v>
      </c>
      <c r="B95" s="64">
        <v>3.41</v>
      </c>
      <c r="C95" s="38">
        <v>9</v>
      </c>
      <c r="D95" s="38">
        <v>4</v>
      </c>
      <c r="E95" s="38">
        <f t="shared" ref="E95:E101" si="10">+D$7</f>
        <v>1.0191780821917806</v>
      </c>
      <c r="F95" s="66">
        <f t="shared" ref="F95:F101" si="11">(+C95+D95)*B95*E95</f>
        <v>45.180164383561632</v>
      </c>
      <c r="G95" s="38"/>
      <c r="H95" s="38"/>
    </row>
    <row r="96" spans="1:8" x14ac:dyDescent="0.25">
      <c r="A96" s="38" t="s">
        <v>102</v>
      </c>
      <c r="B96" s="64">
        <v>3.2170000000000001</v>
      </c>
      <c r="C96" s="38">
        <v>2</v>
      </c>
      <c r="D96" s="38">
        <v>1</v>
      </c>
      <c r="E96" s="38">
        <f t="shared" si="10"/>
        <v>1.0191780821917806</v>
      </c>
      <c r="F96" s="66">
        <f t="shared" si="11"/>
        <v>9.8360876712328746</v>
      </c>
      <c r="G96" s="38"/>
      <c r="H96" s="38"/>
    </row>
    <row r="97" spans="1:8" x14ac:dyDescent="0.25">
      <c r="A97" s="38" t="s">
        <v>103</v>
      </c>
      <c r="B97" s="64">
        <v>6.9649999999999999</v>
      </c>
      <c r="C97" s="38">
        <v>3</v>
      </c>
      <c r="D97" s="38">
        <v>2</v>
      </c>
      <c r="E97" s="38">
        <f t="shared" si="10"/>
        <v>1.0191780821917806</v>
      </c>
      <c r="F97" s="66">
        <f t="shared" si="11"/>
        <v>35.492876712328766</v>
      </c>
      <c r="G97" s="38"/>
      <c r="H97" s="38"/>
    </row>
    <row r="98" spans="1:8" x14ac:dyDescent="0.25">
      <c r="A98" s="38" t="s">
        <v>104</v>
      </c>
      <c r="B98" s="64">
        <v>2.9220000000000002</v>
      </c>
      <c r="C98" s="38">
        <v>5</v>
      </c>
      <c r="D98" s="38">
        <v>2</v>
      </c>
      <c r="E98" s="38">
        <f t="shared" si="10"/>
        <v>1.0191780821917806</v>
      </c>
      <c r="F98" s="66">
        <f t="shared" si="11"/>
        <v>20.846268493150681</v>
      </c>
      <c r="G98" s="38"/>
      <c r="H98" s="38"/>
    </row>
    <row r="99" spans="1:8" x14ac:dyDescent="0.25">
      <c r="A99" s="67" t="s">
        <v>105</v>
      </c>
      <c r="B99" s="64">
        <v>1.9119999999999999</v>
      </c>
      <c r="C99" s="38">
        <v>16</v>
      </c>
      <c r="D99" s="38">
        <v>7</v>
      </c>
      <c r="E99" s="38">
        <f t="shared" si="10"/>
        <v>1.0191780821917806</v>
      </c>
      <c r="F99" s="66">
        <f t="shared" si="11"/>
        <v>44.819375342465747</v>
      </c>
      <c r="G99" s="38"/>
      <c r="H99" s="38"/>
    </row>
    <row r="100" spans="1:8" x14ac:dyDescent="0.25">
      <c r="A100" s="68" t="s">
        <v>106</v>
      </c>
      <c r="B100" s="64">
        <v>3.9420000000000002</v>
      </c>
      <c r="C100" s="38">
        <v>16</v>
      </c>
      <c r="D100" s="38">
        <v>7</v>
      </c>
      <c r="E100" s="38">
        <f t="shared" si="10"/>
        <v>1.0191780821917806</v>
      </c>
      <c r="F100" s="66">
        <f t="shared" si="11"/>
        <v>92.40479999999998</v>
      </c>
      <c r="G100" s="38"/>
      <c r="H100" s="38"/>
    </row>
    <row r="101" spans="1:8" x14ac:dyDescent="0.25">
      <c r="A101" s="68" t="s">
        <v>118</v>
      </c>
      <c r="B101" s="64">
        <v>3.7959999999999998</v>
      </c>
      <c r="C101" s="38">
        <v>16</v>
      </c>
      <c r="D101" s="38">
        <v>7</v>
      </c>
      <c r="E101" s="38">
        <f t="shared" si="10"/>
        <v>1.0191780821917806</v>
      </c>
      <c r="F101" s="66">
        <f t="shared" si="11"/>
        <v>88.98239999999997</v>
      </c>
      <c r="G101" s="38"/>
      <c r="H101" s="38"/>
    </row>
    <row r="102" spans="1:8" ht="13.8" thickBot="1" x14ac:dyDescent="0.3">
      <c r="A102" s="38"/>
      <c r="B102" s="64"/>
      <c r="C102" s="38"/>
      <c r="E102" s="38"/>
      <c r="F102" s="69">
        <f>SUM(F95:F101)</f>
        <v>337.56197260273967</v>
      </c>
      <c r="G102" s="38"/>
      <c r="H102" s="38"/>
    </row>
    <row r="103" spans="1:8" ht="13.8" thickTop="1" x14ac:dyDescent="0.25">
      <c r="A103" s="38"/>
      <c r="B103" s="38"/>
      <c r="C103" s="38"/>
      <c r="E103" s="38" t="s">
        <v>119</v>
      </c>
      <c r="F103" s="38">
        <f>+C101+D101</f>
        <v>23</v>
      </c>
      <c r="G103" s="38"/>
      <c r="H103" s="38"/>
    </row>
    <row r="104" spans="1:8" x14ac:dyDescent="0.25">
      <c r="A104" s="38"/>
      <c r="B104" s="38"/>
      <c r="C104" s="38"/>
      <c r="E104" s="38" t="s">
        <v>71</v>
      </c>
      <c r="F104" s="70">
        <f>+'ECT Trans'!I1</f>
        <v>31</v>
      </c>
      <c r="G104" s="38"/>
      <c r="H104" s="38"/>
    </row>
    <row r="105" spans="1:8" ht="13.8" thickBot="1" x14ac:dyDescent="0.3">
      <c r="A105" s="38"/>
      <c r="B105" s="38"/>
      <c r="C105" s="38"/>
      <c r="E105" s="38" t="s">
        <v>111</v>
      </c>
      <c r="F105" s="72">
        <f>ROUND(+F102/F103/F104,4)</f>
        <v>0.47339999999999999</v>
      </c>
      <c r="G105" s="38"/>
      <c r="H105" s="38"/>
    </row>
    <row r="106" spans="1:8" ht="13.8" thickTop="1" x14ac:dyDescent="0.25">
      <c r="A106" s="38"/>
      <c r="B106" s="38"/>
      <c r="C106" s="38"/>
      <c r="D106" s="38"/>
      <c r="E106" s="73"/>
      <c r="F106" s="38"/>
      <c r="G106" s="38"/>
      <c r="H106" s="38"/>
    </row>
    <row r="107" spans="1:8" x14ac:dyDescent="0.25">
      <c r="A107" s="38"/>
      <c r="B107" s="38"/>
      <c r="C107" s="38"/>
      <c r="D107" s="38"/>
      <c r="E107" s="73"/>
      <c r="F107" s="38"/>
      <c r="G107" s="38"/>
      <c r="H107" s="38"/>
    </row>
    <row r="108" spans="1:8" x14ac:dyDescent="0.25">
      <c r="A108" s="38"/>
      <c r="B108" s="38"/>
      <c r="C108" s="38"/>
      <c r="D108" s="38"/>
      <c r="E108" s="73"/>
      <c r="F108" s="38"/>
      <c r="G108" s="38"/>
      <c r="H108" s="38"/>
    </row>
    <row r="109" spans="1:8" x14ac:dyDescent="0.25">
      <c r="A109" s="65" t="s">
        <v>98</v>
      </c>
      <c r="B109" s="65">
        <v>888476</v>
      </c>
      <c r="F109" s="38"/>
      <c r="G109" s="38"/>
      <c r="H109" s="38"/>
    </row>
    <row r="110" spans="1:8" x14ac:dyDescent="0.25">
      <c r="A110" s="65" t="s">
        <v>99</v>
      </c>
      <c r="B110" s="65" t="s">
        <v>80</v>
      </c>
      <c r="C110" s="65"/>
      <c r="D110" s="65"/>
      <c r="E110" s="65"/>
      <c r="F110" s="38"/>
      <c r="G110" s="38"/>
      <c r="H110" s="38"/>
    </row>
    <row r="111" spans="1:8" x14ac:dyDescent="0.25">
      <c r="A111" s="38"/>
      <c r="B111" s="38" t="s">
        <v>37</v>
      </c>
      <c r="C111" s="38" t="s">
        <v>388</v>
      </c>
      <c r="D111" s="38"/>
      <c r="E111" s="38" t="s">
        <v>96</v>
      </c>
      <c r="F111" s="38" t="s">
        <v>100</v>
      </c>
      <c r="G111" s="38"/>
      <c r="H111" s="38"/>
    </row>
    <row r="112" spans="1:8" x14ac:dyDescent="0.25">
      <c r="A112" s="38" t="s">
        <v>101</v>
      </c>
      <c r="B112" s="64">
        <v>3.4140000000000001</v>
      </c>
      <c r="C112" s="38">
        <v>24</v>
      </c>
      <c r="D112" s="38"/>
      <c r="E112" s="38">
        <f t="shared" ref="E112:E118" si="12">+D$7</f>
        <v>1.0191780821917806</v>
      </c>
      <c r="F112" s="66">
        <f t="shared" ref="F112:F118" si="13">(+C112+D112)*B112*E112</f>
        <v>83.50737534246575</v>
      </c>
      <c r="G112" s="38"/>
      <c r="H112" s="38"/>
    </row>
    <row r="113" spans="1:8" x14ac:dyDescent="0.25">
      <c r="A113" s="38" t="s">
        <v>102</v>
      </c>
      <c r="B113" s="64">
        <v>3.2210000000000001</v>
      </c>
      <c r="C113" s="38">
        <v>2</v>
      </c>
      <c r="D113" s="38"/>
      <c r="E113" s="38">
        <f t="shared" si="12"/>
        <v>1.0191780821917806</v>
      </c>
      <c r="F113" s="66">
        <f t="shared" si="13"/>
        <v>6.5655452054794514</v>
      </c>
      <c r="G113" s="74"/>
      <c r="H113" s="38"/>
    </row>
    <row r="114" spans="1:8" x14ac:dyDescent="0.25">
      <c r="A114" s="38" t="s">
        <v>103</v>
      </c>
      <c r="B114" s="64">
        <v>6.9690000000000003</v>
      </c>
      <c r="C114" s="38">
        <v>10</v>
      </c>
      <c r="D114" s="38"/>
      <c r="E114" s="38">
        <f t="shared" si="12"/>
        <v>1.0191780821917806</v>
      </c>
      <c r="F114" s="66">
        <f t="shared" si="13"/>
        <v>71.026520547945196</v>
      </c>
      <c r="G114" s="75"/>
      <c r="H114" s="38"/>
    </row>
    <row r="115" spans="1:8" x14ac:dyDescent="0.25">
      <c r="A115" s="38" t="s">
        <v>104</v>
      </c>
      <c r="B115" s="64">
        <v>2.9329999999999998</v>
      </c>
      <c r="C115" s="38">
        <v>17</v>
      </c>
      <c r="D115" s="38"/>
      <c r="E115" s="38">
        <f t="shared" si="12"/>
        <v>1.0191780821917806</v>
      </c>
      <c r="F115" s="66">
        <f t="shared" si="13"/>
        <v>50.817238356164374</v>
      </c>
      <c r="G115" s="75"/>
      <c r="H115" s="38"/>
    </row>
    <row r="116" spans="1:8" x14ac:dyDescent="0.25">
      <c r="A116" s="67" t="s">
        <v>105</v>
      </c>
      <c r="B116" s="64">
        <v>1.891</v>
      </c>
      <c r="C116" s="38">
        <v>31</v>
      </c>
      <c r="D116" s="38"/>
      <c r="E116" s="38">
        <f t="shared" si="12"/>
        <v>1.0191780821917806</v>
      </c>
      <c r="F116" s="66">
        <f t="shared" si="13"/>
        <v>59.745238356164371</v>
      </c>
      <c r="G116" s="76"/>
      <c r="H116" s="38"/>
    </row>
    <row r="117" spans="1:8" x14ac:dyDescent="0.25">
      <c r="A117" s="68" t="s">
        <v>106</v>
      </c>
      <c r="B117" s="64">
        <v>3.9</v>
      </c>
      <c r="C117" s="38">
        <v>31</v>
      </c>
      <c r="D117" s="38"/>
      <c r="E117" s="38">
        <f t="shared" si="12"/>
        <v>1.0191780821917806</v>
      </c>
      <c r="F117" s="66">
        <f t="shared" si="13"/>
        <v>123.21863013698626</v>
      </c>
      <c r="G117" s="75"/>
      <c r="H117" s="38"/>
    </row>
    <row r="118" spans="1:8" x14ac:dyDescent="0.25">
      <c r="A118" s="68" t="s">
        <v>118</v>
      </c>
      <c r="B118" s="64">
        <v>3.7890000000000001</v>
      </c>
      <c r="C118" s="38">
        <v>31</v>
      </c>
      <c r="D118" s="38"/>
      <c r="E118" s="38">
        <f t="shared" si="12"/>
        <v>1.0191780821917806</v>
      </c>
      <c r="F118" s="66">
        <f t="shared" si="13"/>
        <v>119.71163835616437</v>
      </c>
      <c r="G118" s="77"/>
      <c r="H118" s="38"/>
    </row>
    <row r="119" spans="1:8" ht="13.8" thickBot="1" x14ac:dyDescent="0.3">
      <c r="A119" s="38"/>
      <c r="B119" s="64"/>
      <c r="C119" s="38"/>
      <c r="E119" s="38"/>
      <c r="F119" s="69">
        <f>SUM(F112:F118)</f>
        <v>514.59218630136979</v>
      </c>
      <c r="G119" s="77"/>
      <c r="H119" s="38"/>
    </row>
    <row r="120" spans="1:8" ht="13.8" thickTop="1" x14ac:dyDescent="0.25">
      <c r="A120" s="38"/>
      <c r="B120" s="38"/>
      <c r="C120" s="38"/>
      <c r="E120" s="38" t="s">
        <v>119</v>
      </c>
      <c r="F120" s="38">
        <f>+C118+D118</f>
        <v>31</v>
      </c>
      <c r="G120" s="78"/>
    </row>
    <row r="121" spans="1:8" x14ac:dyDescent="0.25">
      <c r="A121" s="38"/>
      <c r="B121" s="38"/>
      <c r="C121" s="38"/>
      <c r="E121" s="38" t="s">
        <v>71</v>
      </c>
      <c r="F121" s="70">
        <f>+'ECT Trans'!I1</f>
        <v>31</v>
      </c>
    </row>
    <row r="122" spans="1:8" ht="13.8" thickBot="1" x14ac:dyDescent="0.3">
      <c r="A122" s="38"/>
      <c r="B122" s="38"/>
      <c r="C122" s="38"/>
      <c r="E122" s="38" t="s">
        <v>111</v>
      </c>
      <c r="F122" s="72">
        <f>ROUND(+F119/F120/F121,4)</f>
        <v>0.53549999999999998</v>
      </c>
    </row>
    <row r="123" spans="1:8" ht="13.8" thickTop="1" x14ac:dyDescent="0.25"/>
    <row r="124" spans="1:8" x14ac:dyDescent="0.25">
      <c r="A124" s="65" t="s">
        <v>98</v>
      </c>
      <c r="B124" s="65"/>
      <c r="F124" s="38"/>
    </row>
    <row r="125" spans="1:8" x14ac:dyDescent="0.25">
      <c r="A125" s="65" t="s">
        <v>113</v>
      </c>
      <c r="B125" s="65"/>
      <c r="D125" s="65"/>
      <c r="E125" s="65"/>
      <c r="F125" s="38"/>
    </row>
    <row r="126" spans="1:8" x14ac:dyDescent="0.25">
      <c r="A126" s="38"/>
      <c r="B126" s="38" t="s">
        <v>37</v>
      </c>
      <c r="C126" s="38" t="s">
        <v>387</v>
      </c>
      <c r="D126" s="38" t="s">
        <v>96</v>
      </c>
      <c r="E126" s="38" t="s">
        <v>100</v>
      </c>
    </row>
    <row r="127" spans="1:8" x14ac:dyDescent="0.25">
      <c r="A127" s="38" t="s">
        <v>101</v>
      </c>
      <c r="B127" s="64">
        <v>3.633</v>
      </c>
      <c r="C127" s="38">
        <v>62</v>
      </c>
      <c r="D127" s="38">
        <f>+D$7</f>
        <v>1.0191780821917806</v>
      </c>
      <c r="E127" s="66">
        <f t="shared" ref="E127:E134" si="14">(+C127)*B127*D127</f>
        <v>229.56578630136983</v>
      </c>
    </row>
    <row r="128" spans="1:8" x14ac:dyDescent="0.25">
      <c r="A128" s="38" t="s">
        <v>102</v>
      </c>
      <c r="B128" s="64">
        <v>3.44</v>
      </c>
      <c r="C128" s="38">
        <v>17</v>
      </c>
      <c r="D128" s="38">
        <f t="shared" ref="D128:D134" si="15">+D$7</f>
        <v>1.0191780821917806</v>
      </c>
      <c r="E128" s="66">
        <f t="shared" si="14"/>
        <v>59.601534246575326</v>
      </c>
    </row>
    <row r="129" spans="1:5" x14ac:dyDescent="0.25">
      <c r="A129" s="38" t="s">
        <v>103</v>
      </c>
      <c r="B129" s="64">
        <v>7.1879999999999997</v>
      </c>
      <c r="C129" s="38">
        <v>28</v>
      </c>
      <c r="D129" s="38">
        <f t="shared" si="15"/>
        <v>1.0191780821917806</v>
      </c>
      <c r="E129" s="66">
        <f t="shared" si="14"/>
        <v>205.12385753424653</v>
      </c>
    </row>
    <row r="130" spans="1:5" x14ac:dyDescent="0.25">
      <c r="A130" s="38" t="s">
        <v>104</v>
      </c>
      <c r="B130" s="64">
        <v>3.145</v>
      </c>
      <c r="C130" s="38">
        <v>41</v>
      </c>
      <c r="D130" s="38">
        <f t="shared" si="15"/>
        <v>1.0191780821917806</v>
      </c>
      <c r="E130" s="66">
        <f t="shared" si="14"/>
        <v>131.41791780821916</v>
      </c>
    </row>
    <row r="131" spans="1:5" x14ac:dyDescent="0.25">
      <c r="A131" s="67" t="s">
        <v>105</v>
      </c>
      <c r="B131" s="64">
        <v>1.9119999999999999</v>
      </c>
      <c r="C131" s="38">
        <v>102</v>
      </c>
      <c r="D131" s="38">
        <f t="shared" si="15"/>
        <v>1.0191780821917806</v>
      </c>
      <c r="E131" s="66">
        <f t="shared" si="14"/>
        <v>198.76418630136982</v>
      </c>
    </row>
    <row r="132" spans="1:5" x14ac:dyDescent="0.25">
      <c r="A132" s="68" t="s">
        <v>106</v>
      </c>
      <c r="B132" s="64">
        <v>3.9420000000000002</v>
      </c>
      <c r="C132" s="38">
        <v>102</v>
      </c>
      <c r="D132" s="38">
        <f t="shared" si="15"/>
        <v>1.0191780821917806</v>
      </c>
      <c r="E132" s="66">
        <f t="shared" si="14"/>
        <v>409.79519999999991</v>
      </c>
    </row>
    <row r="133" spans="1:5" x14ac:dyDescent="0.25">
      <c r="A133" s="68" t="s">
        <v>107</v>
      </c>
      <c r="B133" s="64">
        <v>2.6909999999999998</v>
      </c>
      <c r="C133" s="38">
        <v>100</v>
      </c>
      <c r="D133" s="38">
        <f t="shared" si="15"/>
        <v>1.0191780821917806</v>
      </c>
      <c r="E133" s="66">
        <f t="shared" si="14"/>
        <v>274.26082191780813</v>
      </c>
    </row>
    <row r="134" spans="1:5" x14ac:dyDescent="0.25">
      <c r="A134" s="68" t="s">
        <v>108</v>
      </c>
      <c r="B134" s="64">
        <v>4.0759999999999996</v>
      </c>
      <c r="C134" s="38">
        <v>102</v>
      </c>
      <c r="D134" s="38">
        <f t="shared" si="15"/>
        <v>1.0191780821917806</v>
      </c>
      <c r="E134" s="66">
        <f t="shared" si="14"/>
        <v>423.72532602739716</v>
      </c>
    </row>
    <row r="135" spans="1:5" ht="13.8" thickBot="1" x14ac:dyDescent="0.3">
      <c r="A135" s="38"/>
      <c r="B135" s="38"/>
      <c r="C135" s="38"/>
      <c r="D135" s="38"/>
      <c r="E135" s="69">
        <f>SUM(E127:E134)</f>
        <v>1932.254630136986</v>
      </c>
    </row>
    <row r="136" spans="1:5" ht="13.8" thickTop="1" x14ac:dyDescent="0.25">
      <c r="A136" s="38"/>
      <c r="B136" s="38"/>
      <c r="C136" s="38"/>
      <c r="D136" s="38" t="s">
        <v>110</v>
      </c>
      <c r="E136" s="38" t="e">
        <f>+#REF!+C134</f>
        <v>#REF!</v>
      </c>
    </row>
    <row r="137" spans="1:5" x14ac:dyDescent="0.25">
      <c r="A137" s="38"/>
      <c r="B137" s="38"/>
      <c r="C137" s="38"/>
      <c r="D137" s="38" t="s">
        <v>71</v>
      </c>
      <c r="E137" s="70" t="e">
        <f>+'ECT Trans'!#REF!</f>
        <v>#REF!</v>
      </c>
    </row>
    <row r="138" spans="1:5" ht="13.8" thickBot="1" x14ac:dyDescent="0.3">
      <c r="A138" s="38"/>
      <c r="B138" s="38"/>
      <c r="C138" s="38"/>
      <c r="D138" s="38" t="s">
        <v>111</v>
      </c>
      <c r="E138" s="71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IT &amp; Pooling</vt:lpstr>
      <vt:lpstr>CES IT</vt:lpstr>
      <vt:lpstr>CES Wholesale</vt:lpstr>
      <vt:lpstr>ECT Trans</vt:lpstr>
      <vt:lpstr>Matrix May</vt:lpstr>
      <vt:lpstr>Rates</vt:lpstr>
      <vt:lpstr>Offseason Rate</vt:lpstr>
      <vt:lpstr>Special Rates</vt:lpstr>
      <vt:lpstr>Dmd Chrg Calc</vt:lpstr>
      <vt:lpstr>Basis</vt:lpstr>
      <vt:lpstr>Production</vt:lpstr>
      <vt:lpstr>Cashout</vt:lpstr>
      <vt:lpstr>Sheet2</vt:lpstr>
      <vt:lpstr>Transport Deal Tickets</vt:lpstr>
      <vt:lpstr>Basis!Print_Area</vt:lpstr>
      <vt:lpstr>'ECT Trans'!Print_Area</vt:lpstr>
      <vt:lpstr>'Matrix May'!Print_Area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2000-05-12T20:33:01Z</cp:lastPrinted>
  <dcterms:created xsi:type="dcterms:W3CDTF">1998-07-21T12:15:25Z</dcterms:created>
  <dcterms:modified xsi:type="dcterms:W3CDTF">2023-09-10T15:47:29Z</dcterms:modified>
</cp:coreProperties>
</file>