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0" windowWidth="14940" windowHeight="628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33" i="1" l="1"/>
  <c r="P33" i="1"/>
  <c r="Q33" i="1"/>
  <c r="R33" i="1"/>
  <c r="S33" i="1"/>
  <c r="T33" i="1"/>
  <c r="U33" i="1"/>
  <c r="L50" i="1"/>
  <c r="M50" i="1"/>
  <c r="N50" i="1"/>
  <c r="O50" i="1"/>
  <c r="P50" i="1"/>
  <c r="Q50" i="1"/>
  <c r="R50" i="1"/>
  <c r="S50" i="1"/>
  <c r="T50" i="1"/>
  <c r="U50" i="1"/>
  <c r="G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R127" i="1"/>
  <c r="S127" i="1"/>
  <c r="T127" i="1"/>
  <c r="U127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G130" i="1"/>
  <c r="I130" i="1"/>
  <c r="J130" i="1"/>
  <c r="K130" i="1"/>
  <c r="L130" i="1"/>
  <c r="M130" i="1"/>
  <c r="N130" i="1"/>
  <c r="O130" i="1"/>
  <c r="P130" i="1"/>
  <c r="Q130" i="1"/>
  <c r="S130" i="1"/>
  <c r="T130" i="1"/>
  <c r="U130" i="1"/>
  <c r="G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G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G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Q217" i="1"/>
  <c r="R217" i="1"/>
  <c r="S217" i="1"/>
  <c r="T217" i="1"/>
  <c r="U217" i="1"/>
  <c r="G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G226" i="1"/>
  <c r="H226" i="1"/>
  <c r="I226" i="1"/>
  <c r="J226" i="1"/>
  <c r="K226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G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G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Q247" i="1"/>
  <c r="R247" i="1"/>
  <c r="S247" i="1"/>
  <c r="T247" i="1"/>
  <c r="U247" i="1"/>
  <c r="G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G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G266" i="1"/>
  <c r="H266" i="1"/>
  <c r="G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G276" i="1"/>
  <c r="H276" i="1"/>
  <c r="I276" i="1"/>
  <c r="L277" i="1"/>
  <c r="M277" i="1"/>
  <c r="N277" i="1"/>
  <c r="O277" i="1"/>
  <c r="P277" i="1"/>
  <c r="Q277" i="1"/>
  <c r="R277" i="1"/>
  <c r="S277" i="1"/>
  <c r="T277" i="1"/>
  <c r="U277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G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J296" i="1"/>
  <c r="K296" i="1"/>
  <c r="L296" i="1"/>
  <c r="M296" i="1"/>
  <c r="N296" i="1"/>
  <c r="O296" i="1"/>
  <c r="P296" i="1"/>
  <c r="Q296" i="1"/>
  <c r="R296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R305" i="1"/>
  <c r="S305" i="1"/>
  <c r="T305" i="1"/>
  <c r="U305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G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G314" i="1"/>
  <c r="H314" i="1"/>
  <c r="I314" i="1"/>
  <c r="J314" i="1"/>
  <c r="K314" i="1"/>
  <c r="L314" i="1"/>
  <c r="M314" i="1"/>
  <c r="N314" i="1"/>
  <c r="R315" i="1"/>
  <c r="S315" i="1"/>
  <c r="T315" i="1"/>
  <c r="U315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G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G334" i="1"/>
  <c r="R334" i="1"/>
  <c r="S334" i="1"/>
  <c r="T334" i="1"/>
  <c r="U334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G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G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G362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G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Q388" i="1"/>
  <c r="R388" i="1"/>
  <c r="S388" i="1"/>
  <c r="T388" i="1"/>
  <c r="U38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Q399" i="1"/>
  <c r="R399" i="1"/>
  <c r="S399" i="1"/>
  <c r="T399" i="1"/>
  <c r="U399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G431" i="1"/>
  <c r="H431" i="1"/>
  <c r="I431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K481" i="1"/>
  <c r="L481" i="1"/>
  <c r="M481" i="1"/>
  <c r="N481" i="1"/>
  <c r="O481" i="1"/>
  <c r="G489" i="1"/>
  <c r="H489" i="1"/>
  <c r="I489" i="1"/>
  <c r="J489" i="1"/>
  <c r="K489" i="1"/>
  <c r="L489" i="1"/>
  <c r="M489" i="1"/>
  <c r="N489" i="1"/>
  <c r="O489" i="1"/>
  <c r="P489" i="1"/>
  <c r="Q489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G520" i="1"/>
  <c r="H520" i="1"/>
  <c r="I520" i="1"/>
  <c r="J520" i="1"/>
  <c r="K52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G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</calcChain>
</file>

<file path=xl/sharedStrings.xml><?xml version="1.0" encoding="utf-8"?>
<sst xmlns="http://schemas.openxmlformats.org/spreadsheetml/2006/main" count="533" uniqueCount="169">
  <si>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</si>
  <si>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</si>
  <si>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</si>
  <si>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</si>
  <si>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</si>
  <si>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</si>
  <si>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</si>
  <si>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</si>
  <si>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</si>
  <si>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</si>
  <si>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</si>
  <si>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</si>
  <si>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</si>
  <si>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</si>
  <si>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</si>
  <si>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</si>
  <si>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</si>
  <si>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</si>
  <si>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</si>
  <si>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</si>
  <si>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</si>
  <si>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</si>
  <si>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</si>
  <si>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</si>
  <si>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</si>
  <si>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</si>
  <si>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</si>
  <si>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</si>
  <si>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</si>
  <si>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</si>
  <si>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</si>
  <si>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</si>
  <si>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</si>
  <si>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</si>
  <si>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</si>
  <si>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</si>
  <si>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</si>
  <si>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</si>
  <si>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</si>
  <si>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</si>
  <si>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</si>
  <si>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</si>
  <si>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</si>
  <si>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</si>
  <si>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</si>
  <si>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</si>
  <si>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</si>
  <si>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</si>
  <si>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</si>
  <si>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</si>
  <si>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</si>
  <si>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</si>
  <si>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</si>
  <si>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</si>
  <si>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</si>
  <si>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</si>
  <si>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</si>
  <si>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</si>
  <si>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</si>
  <si>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</si>
  <si>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</si>
  <si>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</si>
  <si>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</si>
  <si>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</si>
  <si>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</si>
  <si>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</si>
  <si>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</si>
  <si>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</si>
  <si>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</si>
  <si>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</si>
  <si>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</si>
  <si>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</si>
  <si>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</si>
  <si>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</si>
  <si>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</si>
  <si>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</si>
  <si>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</si>
  <si>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</si>
  <si>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</si>
  <si>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</si>
  <si>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</si>
  <si>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</si>
  <si>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</si>
  <si>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</si>
  <si>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</si>
  <si>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</si>
  <si>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</si>
  <si>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</si>
  <si>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</si>
  <si>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</si>
  <si>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</si>
  <si>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</si>
  <si>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</si>
  <si>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</si>
  <si>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</si>
  <si>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</si>
  <si>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</si>
  <si>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</si>
  <si>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</si>
  <si>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</si>
  <si>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</si>
  <si>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</si>
  <si>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</si>
  <si>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</si>
  <si>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</si>
  <si>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</si>
  <si>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</si>
  <si>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</si>
  <si>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</si>
  <si>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</si>
  <si>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</si>
  <si>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</si>
  <si>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</si>
  <si>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</si>
  <si>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</si>
  <si>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DELIVERY MONTH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</si>
  <si>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</si>
  <si>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</si>
  <si>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</si>
  <si>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</si>
  <si>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</si>
  <si>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</si>
  <si>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point designated by CES.</t>
  </si>
  <si>
    <t>Firm Transport MDQ's will be utilized first for each delivery</t>
  </si>
  <si>
    <t>Pricing for all volumes in excess of Firm Transport MDQ's</t>
  </si>
  <si>
    <t>increment found under the month of delivery.</t>
  </si>
  <si>
    <t>All excess pricing assumes secondary firm delivery.</t>
  </si>
  <si>
    <t>NGPL</t>
  </si>
  <si>
    <t>EAST TENNESSEE</t>
  </si>
  <si>
    <t>All volumes are stated in Dt/D.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</si>
  <si>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</si>
  <si>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</si>
  <si>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</si>
  <si>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</si>
  <si>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</si>
  <si>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</si>
  <si>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</si>
  <si>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TCO POOL FOM I-FERC PREMIUM FOR CES PURCHASES</t>
  </si>
  <si>
    <t>BASELOAD NEEDS</t>
  </si>
  <si>
    <t>TCO TRANSPORT DEMAND CHARGES FOR NON-FIRM FT</t>
  </si>
  <si>
    <t>COMMODITY AND FUEL CHARGES AS NECESSARY</t>
  </si>
  <si>
    <t>CURRENT FUEL = 2.16%</t>
  </si>
  <si>
    <t>CNG POOL FOM I-FERC PREMIUM FOR CES PURCHASES</t>
  </si>
  <si>
    <t>CNG TRANSPORT DEMAND CHARGES FOR NON-FIRM FT</t>
  </si>
  <si>
    <t>CURRENT COMMODITY = $0.0154/Dt</t>
  </si>
  <si>
    <t>CURRENT FUEL = 2.28%</t>
  </si>
  <si>
    <t>M3 FOM I-FERC PREMIUM FOR CES PURCHASES</t>
  </si>
  <si>
    <t>Z6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</si>
  <si>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</si>
  <si>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</si>
  <si>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</si>
  <si>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</si>
  <si>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</si>
  <si>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</si>
  <si>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stated plus variable costs to the delivery point.</t>
  </si>
  <si>
    <t>IF TETCO M3 FOR NON-ASSET BACKED DELIVERIES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</si>
  <si>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</si>
  <si>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</si>
  <si>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</si>
  <si>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</si>
  <si>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M3 FOR NON-ASSET BACKED DELIVERIES</t>
  </si>
  <si>
    <t>I-FERC TETCO ELA FOR ASSET BACKED DELIVERIES</t>
  </si>
  <si>
    <t>Pricing for Firm Transport MDQ's will be the Receipt point index</t>
  </si>
  <si>
    <t>will equal the stated index plus the</t>
  </si>
  <si>
    <t>I-FERC CNG APPALACHIA</t>
  </si>
  <si>
    <t>PLUS AGT COMMODITY &amp; FUEL FOR JAN  AND FEB of 2000 AND 2001</t>
  </si>
  <si>
    <t>RECEIPT POINT PLUS 1</t>
  </si>
  <si>
    <t>EXHIBIT 1</t>
  </si>
  <si>
    <t>GAS PURCHASE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</si>
</sst>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2" fillId="0" borderId="0" xfId="0" applyNumberFormat="1" applyFont="1"/>
    <xf numFmtId="167" fontId="0" fillId="0" borderId="0" xfId="0" applyNumberFormat="1"/>
    <xf numFmtId="0" fontId="3" fillId="0" borderId="0" xfId="0" applyFont="1"/>
    <xf numFmtId="0" fontId="0" fillId="2" borderId="0" xfId="0" applyFill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  <xf numFmtId="164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81"/>
  <sheetViews>
    <sheetView tabSelected="1" zoomScale="75" workbookViewId="0">
      <pane xSplit="5" ySplit="14" topLeftCell="F15" activePane="bottomRight" state="frozen"/>
      <selection pane="topRight" activeCell="E1" sqref="E1"/>
      <selection pane="bottomLeft" activeCell="A4" sqref="A4"/>
      <selection pane="bottomRight" activeCell="C2" sqref="C2"/>
    </sheetView>
  </sheetViews>
  <sheetFormatPr defaultRowHeight="13.2" x14ac:dyDescent="0.25"/>
  <cols>
    <col min="2" max="2" width="7.44140625" customWidth="1"/>
    <col min="3" max="3" width="7.109375" customWidth="1"/>
    <col min="4" max="4" width="36.44140625" customWidth="1"/>
    <col min="5" max="5" width="17.44140625" customWidth="1"/>
    <col min="6" max="6" width="2.109375" customWidth="1"/>
    <col min="7" max="8" width="13.109375" bestFit="1" customWidth="1"/>
    <col min="9" max="9" width="13.88671875" bestFit="1" customWidth="1"/>
    <col min="10" max="10" width="13.109375" bestFit="1" customWidth="1"/>
    <col min="11" max="21" width="12.109375" bestFit="1" customWidth="1"/>
  </cols>
  <sheetData>
    <row r="1" spans="1:52" x14ac:dyDescent="0.25">
      <c r="A1" s="3" t="s">
        <v>167</v>
      </c>
      <c r="B1" s="3"/>
      <c r="C1" s="3" t="s">
        <v>168</v>
      </c>
      <c r="D1" s="3"/>
      <c r="E1" s="3"/>
    </row>
    <row r="2" spans="1:52" x14ac:dyDescent="0.25">
      <c r="A2" s="3"/>
      <c r="B2" s="3"/>
      <c r="C2" s="3"/>
      <c r="D2" s="3"/>
      <c r="E2" s="3"/>
    </row>
    <row r="3" spans="1:52" x14ac:dyDescent="0.25">
      <c r="A3" s="3"/>
      <c r="B3" s="3" t="s">
        <v>123</v>
      </c>
      <c r="C3" s="3"/>
      <c r="D3" s="3"/>
      <c r="E3" s="3"/>
    </row>
    <row r="4" spans="1:52" x14ac:dyDescent="0.25">
      <c r="A4" s="3"/>
      <c r="B4" s="3"/>
      <c r="C4" s="3" t="s">
        <v>122</v>
      </c>
      <c r="D4" s="3"/>
      <c r="E4" s="3"/>
    </row>
    <row r="5" spans="1:52" x14ac:dyDescent="0.25">
      <c r="A5" s="3"/>
      <c r="B5" s="3" t="s">
        <v>162</v>
      </c>
      <c r="C5" s="3"/>
      <c r="D5" s="3"/>
      <c r="E5" s="3"/>
    </row>
    <row r="6" spans="1:52" x14ac:dyDescent="0.25">
      <c r="A6" s="3"/>
      <c r="B6" s="3"/>
      <c r="C6" s="3" t="s">
        <v>154</v>
      </c>
      <c r="D6" s="3"/>
      <c r="E6" s="3"/>
    </row>
    <row r="7" spans="1:52" x14ac:dyDescent="0.25">
      <c r="A7" s="3"/>
      <c r="B7" s="3" t="s">
        <v>124</v>
      </c>
      <c r="C7" s="3"/>
      <c r="D7" s="3"/>
      <c r="E7" s="3"/>
    </row>
    <row r="8" spans="1:52" x14ac:dyDescent="0.25">
      <c r="A8" s="3"/>
      <c r="B8" s="3"/>
      <c r="C8" s="3" t="s">
        <v>163</v>
      </c>
      <c r="D8" s="3"/>
      <c r="E8" s="3"/>
    </row>
    <row r="9" spans="1:52" x14ac:dyDescent="0.25">
      <c r="A9" s="3"/>
      <c r="B9" s="3"/>
      <c r="C9" s="3" t="s">
        <v>125</v>
      </c>
      <c r="D9" s="3"/>
      <c r="E9" s="3"/>
    </row>
    <row r="10" spans="1:52" x14ac:dyDescent="0.25">
      <c r="A10" s="3"/>
      <c r="B10" s="3" t="s">
        <v>126</v>
      </c>
      <c r="C10" s="3"/>
      <c r="D10" s="3"/>
      <c r="E10" s="3"/>
    </row>
    <row r="11" spans="1:52" x14ac:dyDescent="0.25">
      <c r="A11" s="3"/>
      <c r="B11" s="3" t="s">
        <v>129</v>
      </c>
      <c r="C11" s="3"/>
      <c r="D11" s="3"/>
      <c r="E11" s="3"/>
    </row>
    <row r="12" spans="1:52" x14ac:dyDescent="0.25">
      <c r="A12" s="3"/>
      <c r="B12" s="3"/>
      <c r="C12" s="3"/>
      <c r="D12" s="3"/>
      <c r="E12" s="3"/>
    </row>
    <row r="13" spans="1:52" x14ac:dyDescent="0.25">
      <c r="A13" s="3"/>
      <c r="B13" s="3"/>
      <c r="C13" s="3"/>
      <c r="D13" s="3"/>
      <c r="E13" s="3"/>
      <c r="G13" s="3" t="s">
        <v>115</v>
      </c>
    </row>
    <row r="14" spans="1:52" x14ac:dyDescent="0.25">
      <c r="G14" s="2">
        <v>36526</v>
      </c>
      <c r="H14" s="2">
        <v>36557</v>
      </c>
      <c r="I14" s="2">
        <v>36586</v>
      </c>
      <c r="J14" s="2">
        <v>36617</v>
      </c>
      <c r="K14" s="2">
        <v>36647</v>
      </c>
      <c r="L14" s="2">
        <v>36678</v>
      </c>
      <c r="M14" s="2">
        <v>36708</v>
      </c>
      <c r="N14" s="2">
        <v>36739</v>
      </c>
      <c r="O14" s="2">
        <v>36770</v>
      </c>
      <c r="P14" s="2">
        <v>36800</v>
      </c>
      <c r="Q14" s="2">
        <v>36831</v>
      </c>
      <c r="R14" s="2">
        <v>36861</v>
      </c>
      <c r="S14" s="2">
        <v>36892</v>
      </c>
      <c r="T14" s="2">
        <v>36923</v>
      </c>
      <c r="U14" s="2">
        <v>36951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s="3" customFormat="1" x14ac:dyDescent="0.25"/>
    <row r="16" spans="1:52" x14ac:dyDescent="0.25">
      <c r="A16" s="3" t="s">
        <v>0</v>
      </c>
      <c r="B16" s="3"/>
      <c r="C16" s="3"/>
      <c r="D16" s="3"/>
      <c r="E16" s="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2:24" x14ac:dyDescent="0.25">
      <c r="B17" s="3" t="s">
        <v>137</v>
      </c>
      <c r="C17" s="3"/>
      <c r="D17" s="3"/>
      <c r="E17" s="3"/>
      <c r="F17" s="3"/>
      <c r="G17" s="11">
        <v>7.4999999999999997E-3</v>
      </c>
      <c r="H17" s="11">
        <v>7.4999999999999997E-3</v>
      </c>
      <c r="I17" s="11">
        <v>7.4999999999999997E-3</v>
      </c>
      <c r="J17" s="11">
        <v>7.4999999999999997E-3</v>
      </c>
      <c r="K17" s="11">
        <v>7.4999999999999997E-3</v>
      </c>
      <c r="L17" s="11">
        <v>7.4999999999999997E-3</v>
      </c>
      <c r="M17" s="11">
        <v>7.4999999999999997E-3</v>
      </c>
      <c r="N17" s="11">
        <v>7.4999999999999997E-3</v>
      </c>
      <c r="O17" s="11">
        <v>7.4999999999999997E-3</v>
      </c>
      <c r="P17" s="11">
        <v>7.4999999999999997E-3</v>
      </c>
      <c r="Q17" s="11">
        <v>1.2500000000000001E-2</v>
      </c>
      <c r="R17" s="11">
        <v>1.2500000000000001E-2</v>
      </c>
      <c r="S17" s="11">
        <v>1.2500000000000001E-2</v>
      </c>
      <c r="T17" s="11">
        <v>1.2500000000000001E-2</v>
      </c>
      <c r="U17" s="11">
        <v>1.2500000000000001E-2</v>
      </c>
      <c r="V17" s="3"/>
      <c r="W17" s="3"/>
      <c r="X17" s="3"/>
    </row>
    <row r="18" spans="2:24" x14ac:dyDescent="0.25">
      <c r="B18" s="3" t="s">
        <v>139</v>
      </c>
      <c r="C18" s="3"/>
      <c r="D18" s="3"/>
      <c r="E18" s="3"/>
      <c r="F18" s="3"/>
      <c r="G18" s="11">
        <v>0.13</v>
      </c>
      <c r="H18" s="11">
        <v>0.13</v>
      </c>
      <c r="I18" s="11">
        <v>0.1</v>
      </c>
      <c r="J18" s="11">
        <v>0.06</v>
      </c>
      <c r="K18" s="11">
        <v>0.02</v>
      </c>
      <c r="L18" s="11">
        <v>0.02</v>
      </c>
      <c r="M18" s="11">
        <v>0.02</v>
      </c>
      <c r="N18" s="11">
        <v>0.02</v>
      </c>
      <c r="O18" s="11">
        <v>0.02</v>
      </c>
      <c r="P18" s="11">
        <v>0.06</v>
      </c>
      <c r="Q18" s="11">
        <v>0.1</v>
      </c>
      <c r="R18" s="11">
        <v>0.11</v>
      </c>
      <c r="S18" s="11">
        <v>0.13</v>
      </c>
      <c r="T18" s="11">
        <v>0.13</v>
      </c>
      <c r="U18" s="11">
        <v>0.1</v>
      </c>
      <c r="V18" s="3"/>
      <c r="W18" s="3"/>
      <c r="X18" s="3"/>
    </row>
    <row r="19" spans="2:24" x14ac:dyDescent="0.25">
      <c r="B19" s="3"/>
      <c r="C19" s="3" t="s">
        <v>138</v>
      </c>
      <c r="D19" s="3"/>
      <c r="E19" s="3"/>
      <c r="F19" s="3"/>
      <c r="G19" s="1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3"/>
      <c r="W19" s="3"/>
      <c r="X19" s="3"/>
    </row>
    <row r="20" spans="2:24" x14ac:dyDescent="0.25">
      <c r="B20" s="3" t="s">
        <v>140</v>
      </c>
      <c r="C20" s="3"/>
      <c r="D20" s="3"/>
      <c r="E20" s="3"/>
      <c r="F20" s="3"/>
      <c r="G20" s="4" t="s">
        <v>141</v>
      </c>
      <c r="H20" s="4"/>
      <c r="I20" s="4"/>
      <c r="J20" s="4" t="s">
        <v>144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3"/>
      <c r="W20" s="3"/>
      <c r="X20" s="3"/>
    </row>
    <row r="21" spans="2:24" x14ac:dyDescent="0.25"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2:24" x14ac:dyDescent="0.25">
      <c r="B22" s="3" t="s">
        <v>1</v>
      </c>
      <c r="C22" s="3" t="s">
        <v>2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2:24" x14ac:dyDescent="0.25"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2:24" x14ac:dyDescent="0.25">
      <c r="C24" t="s">
        <v>120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8"/>
      <c r="W24" s="8"/>
      <c r="X24" s="8"/>
    </row>
    <row r="25" spans="2:24" x14ac:dyDescent="0.25">
      <c r="C25" t="s">
        <v>114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</row>
    <row r="26" spans="2:24" x14ac:dyDescent="0.25">
      <c r="C26" t="s">
        <v>121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</row>
    <row r="27" spans="2:24" x14ac:dyDescent="0.25">
      <c r="C27" t="s">
        <v>114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2:24" x14ac:dyDescent="0.25">
      <c r="C28" t="s">
        <v>3</v>
      </c>
      <c r="G28" s="5" t="s">
        <v>78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2:24" x14ac:dyDescent="0.25"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2:24" x14ac:dyDescent="0.25">
      <c r="B30" s="3" t="s">
        <v>1</v>
      </c>
      <c r="C30" s="3" t="s">
        <v>4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2:24" x14ac:dyDescent="0.25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2:24" hidden="1" x14ac:dyDescent="0.25">
      <c r="C32" t="s">
        <v>120</v>
      </c>
      <c r="G32" s="8">
        <v>4633</v>
      </c>
      <c r="H32" s="8">
        <v>4267</v>
      </c>
      <c r="I32" s="8">
        <v>4513</v>
      </c>
      <c r="J32" s="8">
        <v>12658</v>
      </c>
      <c r="K32" s="8">
        <v>6882</v>
      </c>
      <c r="L32" s="8">
        <v>5634</v>
      </c>
      <c r="M32" s="8">
        <v>6291</v>
      </c>
      <c r="N32" s="8">
        <v>6389</v>
      </c>
      <c r="O32" s="8">
        <v>8567</v>
      </c>
      <c r="P32" s="8">
        <v>3300</v>
      </c>
      <c r="Q32" s="8">
        <v>3000</v>
      </c>
      <c r="R32" s="8">
        <v>3400</v>
      </c>
      <c r="S32" s="8">
        <v>3400</v>
      </c>
      <c r="T32" s="8">
        <v>3200</v>
      </c>
      <c r="U32" s="8">
        <v>3400</v>
      </c>
    </row>
    <row r="33" spans="2:25" s="7" customFormat="1" x14ac:dyDescent="0.25">
      <c r="C33" t="s">
        <v>120</v>
      </c>
      <c r="G33" s="9">
        <f>G32/31</f>
        <v>149.45161290322579</v>
      </c>
      <c r="H33" s="9">
        <v>168</v>
      </c>
      <c r="I33" s="9">
        <v>165</v>
      </c>
      <c r="J33" s="9">
        <v>143</v>
      </c>
      <c r="K33" s="9">
        <v>100</v>
      </c>
      <c r="L33" s="9">
        <v>97</v>
      </c>
      <c r="M33" s="9">
        <v>98</v>
      </c>
      <c r="N33" s="9">
        <v>97</v>
      </c>
      <c r="O33" s="9">
        <v>103</v>
      </c>
      <c r="P33" s="9">
        <f>P32/31</f>
        <v>106.45161290322581</v>
      </c>
      <c r="Q33" s="9">
        <f>Q32/30</f>
        <v>100</v>
      </c>
      <c r="R33" s="9">
        <f>R32/31</f>
        <v>109.6774193548387</v>
      </c>
      <c r="S33" s="9">
        <f>S32/31</f>
        <v>109.6774193548387</v>
      </c>
      <c r="T33" s="9">
        <f>T32/28</f>
        <v>114.28571428571429</v>
      </c>
      <c r="U33" s="9">
        <f>U32/31</f>
        <v>109.6774193548387</v>
      </c>
    </row>
    <row r="34" spans="2:25" s="7" customFormat="1" x14ac:dyDescent="0.25">
      <c r="C34" s="7" t="s">
        <v>114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</row>
    <row r="35" spans="2:25" s="7" customFormat="1" x14ac:dyDescent="0.25">
      <c r="C35" s="7" t="s">
        <v>121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</row>
    <row r="36" spans="2:25" s="7" customFormat="1" x14ac:dyDescent="0.25">
      <c r="C36" s="7" t="s">
        <v>114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</row>
    <row r="37" spans="2:25" x14ac:dyDescent="0.25">
      <c r="C37" t="s">
        <v>3</v>
      </c>
      <c r="G37" s="5" t="s">
        <v>79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2:25" x14ac:dyDescent="0.25"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2:25" x14ac:dyDescent="0.25">
      <c r="B39" s="3" t="s">
        <v>5</v>
      </c>
      <c r="C39" s="3" t="s">
        <v>6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2:25" x14ac:dyDescent="0.25"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2:25" x14ac:dyDescent="0.25">
      <c r="C41" t="s">
        <v>120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</row>
    <row r="42" spans="2:25" x14ac:dyDescent="0.25">
      <c r="C42" t="s">
        <v>114</v>
      </c>
      <c r="G42" s="6">
        <v>37</v>
      </c>
      <c r="H42" s="6">
        <v>37</v>
      </c>
      <c r="I42" s="6">
        <v>37</v>
      </c>
      <c r="J42" s="6">
        <v>34</v>
      </c>
      <c r="K42" s="6">
        <v>34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</row>
    <row r="43" spans="2:25" x14ac:dyDescent="0.25">
      <c r="C43" t="s">
        <v>121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2:25" x14ac:dyDescent="0.25">
      <c r="C44" t="s">
        <v>114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2:25" x14ac:dyDescent="0.25">
      <c r="C45" t="s">
        <v>3</v>
      </c>
      <c r="G45" s="5" t="s">
        <v>80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2:25" x14ac:dyDescent="0.25"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2:25" x14ac:dyDescent="0.25">
      <c r="B47" s="3" t="s">
        <v>7</v>
      </c>
      <c r="C47" s="3" t="s">
        <v>8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2:25" x14ac:dyDescent="0.25"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2:25" hidden="1" x14ac:dyDescent="0.25">
      <c r="C49" t="s">
        <v>120</v>
      </c>
      <c r="G49" s="10">
        <v>38053</v>
      </c>
      <c r="H49" s="10">
        <v>30000</v>
      </c>
      <c r="I49" s="10">
        <v>0</v>
      </c>
      <c r="J49" s="10">
        <v>808</v>
      </c>
      <c r="K49" s="10">
        <v>191</v>
      </c>
      <c r="L49" s="10">
        <v>230</v>
      </c>
      <c r="M49" s="10">
        <v>3</v>
      </c>
      <c r="N49" s="10">
        <v>3</v>
      </c>
      <c r="O49" s="10">
        <v>160</v>
      </c>
      <c r="P49" s="10">
        <v>179</v>
      </c>
      <c r="Q49" s="10">
        <v>920</v>
      </c>
      <c r="R49" s="10">
        <v>1577</v>
      </c>
      <c r="S49" s="10">
        <v>2623</v>
      </c>
      <c r="T49" s="10">
        <v>2065</v>
      </c>
      <c r="U49" s="10">
        <v>2596</v>
      </c>
      <c r="V49" s="6"/>
      <c r="W49" s="6"/>
      <c r="X49" s="6"/>
      <c r="Y49" s="6"/>
    </row>
    <row r="50" spans="2:25" s="7" customFormat="1" x14ac:dyDescent="0.25">
      <c r="C50" t="s">
        <v>120</v>
      </c>
      <c r="G50" s="10">
        <v>1173</v>
      </c>
      <c r="H50" s="10">
        <v>1106</v>
      </c>
      <c r="I50" s="10">
        <v>84</v>
      </c>
      <c r="J50" s="10">
        <v>27</v>
      </c>
      <c r="K50" s="10">
        <v>6</v>
      </c>
      <c r="L50" s="10">
        <f>L49/30</f>
        <v>7.666666666666667</v>
      </c>
      <c r="M50" s="10">
        <f>M49/31</f>
        <v>9.6774193548387094E-2</v>
      </c>
      <c r="N50" s="10">
        <f>N49/31</f>
        <v>9.6774193548387094E-2</v>
      </c>
      <c r="O50" s="10">
        <f>O49/30</f>
        <v>5.333333333333333</v>
      </c>
      <c r="P50" s="10">
        <f>P49/31</f>
        <v>5.774193548387097</v>
      </c>
      <c r="Q50" s="10">
        <f>Q49/30</f>
        <v>30.666666666666668</v>
      </c>
      <c r="R50" s="10">
        <f>R49/31</f>
        <v>50.87096774193548</v>
      </c>
      <c r="S50" s="10">
        <f>S49/31</f>
        <v>84.612903225806448</v>
      </c>
      <c r="T50" s="10">
        <f>T49/28</f>
        <v>73.75</v>
      </c>
      <c r="U50" s="10">
        <f>U49/31</f>
        <v>83.741935483870961</v>
      </c>
      <c r="V50" s="6"/>
      <c r="W50" s="6"/>
      <c r="X50" s="6"/>
      <c r="Y50" s="6"/>
    </row>
    <row r="51" spans="2:25" s="7" customFormat="1" x14ac:dyDescent="0.25">
      <c r="C51" s="7" t="s">
        <v>114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/>
      <c r="W51" s="6"/>
      <c r="X51" s="6"/>
      <c r="Y51" s="6"/>
    </row>
    <row r="52" spans="2:25" hidden="1" x14ac:dyDescent="0.25">
      <c r="C52" t="s">
        <v>121</v>
      </c>
      <c r="G52" s="10">
        <v>39694</v>
      </c>
      <c r="H52" s="10">
        <v>34693</v>
      </c>
      <c r="I52" s="10">
        <v>27024</v>
      </c>
      <c r="J52" s="10">
        <v>16636</v>
      </c>
      <c r="K52" s="10">
        <v>8246</v>
      </c>
      <c r="L52" s="10">
        <v>4083</v>
      </c>
      <c r="M52" s="10">
        <v>3847</v>
      </c>
      <c r="N52" s="10">
        <v>3882</v>
      </c>
      <c r="O52" s="10">
        <v>4919</v>
      </c>
      <c r="P52" s="10">
        <v>8103</v>
      </c>
      <c r="Q52" s="10">
        <v>8888</v>
      </c>
      <c r="R52" s="10">
        <v>11978</v>
      </c>
      <c r="S52" s="10">
        <v>5419</v>
      </c>
      <c r="T52" s="10">
        <v>2363</v>
      </c>
      <c r="U52" s="10">
        <v>1033</v>
      </c>
      <c r="V52" s="6"/>
      <c r="W52" s="6"/>
      <c r="X52" s="6"/>
      <c r="Y52" s="6"/>
    </row>
    <row r="53" spans="2:25" s="7" customFormat="1" x14ac:dyDescent="0.25">
      <c r="C53" t="s">
        <v>121</v>
      </c>
      <c r="G53" s="10">
        <f>G52/31</f>
        <v>1280.4516129032259</v>
      </c>
      <c r="H53" s="10">
        <v>1232</v>
      </c>
      <c r="I53" s="10">
        <f>I52/31</f>
        <v>871.74193548387098</v>
      </c>
      <c r="J53" s="10">
        <f>J52/30</f>
        <v>554.5333333333333</v>
      </c>
      <c r="K53" s="10">
        <f>K52/31</f>
        <v>266</v>
      </c>
      <c r="L53" s="10">
        <f>L52/30</f>
        <v>136.1</v>
      </c>
      <c r="M53" s="10">
        <f>M52/31</f>
        <v>124.09677419354838</v>
      </c>
      <c r="N53" s="10">
        <f>N52/31</f>
        <v>125.2258064516129</v>
      </c>
      <c r="O53" s="10">
        <f>O52/30</f>
        <v>163.96666666666667</v>
      </c>
      <c r="P53" s="10">
        <f>P52/31</f>
        <v>261.38709677419354</v>
      </c>
      <c r="Q53" s="10">
        <f>Q52/30</f>
        <v>296.26666666666665</v>
      </c>
      <c r="R53" s="10">
        <f>R52/31</f>
        <v>386.38709677419354</v>
      </c>
      <c r="S53" s="10">
        <f>S52/31</f>
        <v>174.80645161290323</v>
      </c>
      <c r="T53" s="10">
        <f>T52/28</f>
        <v>84.392857142857139</v>
      </c>
      <c r="U53" s="10">
        <f>U52/31</f>
        <v>33.322580645161288</v>
      </c>
      <c r="V53" s="6"/>
      <c r="W53" s="6"/>
      <c r="X53" s="6"/>
      <c r="Y53" s="6"/>
    </row>
    <row r="54" spans="2:25" s="7" customFormat="1" x14ac:dyDescent="0.25">
      <c r="C54" s="7" t="s">
        <v>114</v>
      </c>
      <c r="G54" s="6">
        <v>2154</v>
      </c>
      <c r="H54" s="6">
        <v>2154</v>
      </c>
      <c r="I54" s="6">
        <v>2154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/>
      <c r="W54" s="6"/>
      <c r="X54" s="6"/>
      <c r="Y54" s="6"/>
    </row>
    <row r="55" spans="2:25" x14ac:dyDescent="0.25">
      <c r="C55" t="s">
        <v>3</v>
      </c>
      <c r="G55" s="5" t="s">
        <v>82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2:25" x14ac:dyDescent="0.25"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2:25" x14ac:dyDescent="0.25">
      <c r="B57" s="3" t="s">
        <v>7</v>
      </c>
      <c r="C57" s="3" t="s">
        <v>9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2:25" x14ac:dyDescent="0.25"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2:25" hidden="1" x14ac:dyDescent="0.25">
      <c r="C59" t="s">
        <v>120</v>
      </c>
      <c r="G59" s="8">
        <v>36146</v>
      </c>
      <c r="H59" s="8">
        <v>29917</v>
      </c>
      <c r="I59" s="8">
        <v>29916</v>
      </c>
      <c r="J59" s="8">
        <v>15240</v>
      </c>
      <c r="K59" s="8">
        <v>7068</v>
      </c>
      <c r="L59" s="8">
        <v>4950</v>
      </c>
      <c r="M59" s="8">
        <v>4464</v>
      </c>
      <c r="N59" s="8">
        <v>3596</v>
      </c>
      <c r="O59" s="8">
        <v>3870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</row>
    <row r="60" spans="2:25" s="7" customFormat="1" x14ac:dyDescent="0.25">
      <c r="C60" t="s">
        <v>120</v>
      </c>
      <c r="G60" s="9">
        <f>G59/31</f>
        <v>1166</v>
      </c>
      <c r="H60" s="9">
        <f>H59/29</f>
        <v>1031.6206896551723</v>
      </c>
      <c r="I60" s="9">
        <f>I59/31</f>
        <v>965.0322580645161</v>
      </c>
      <c r="J60" s="9">
        <f>J59/30</f>
        <v>508</v>
      </c>
      <c r="K60" s="9">
        <f>K59/31</f>
        <v>228</v>
      </c>
      <c r="L60" s="9">
        <f>L59/30</f>
        <v>165</v>
      </c>
      <c r="M60" s="9">
        <f>M59/31</f>
        <v>144</v>
      </c>
      <c r="N60" s="9">
        <f>N59/31</f>
        <v>116</v>
      </c>
      <c r="O60" s="9">
        <f>O59/30</f>
        <v>129</v>
      </c>
      <c r="P60" s="9">
        <f>P59/31</f>
        <v>0</v>
      </c>
      <c r="Q60" s="9">
        <f>Q59/30</f>
        <v>0</v>
      </c>
      <c r="R60" s="9">
        <f>R59/31</f>
        <v>0</v>
      </c>
      <c r="S60" s="9">
        <f>S59/31</f>
        <v>0</v>
      </c>
      <c r="T60" s="9">
        <f>T59/28</f>
        <v>0</v>
      </c>
      <c r="U60" s="9">
        <f>U59/31</f>
        <v>0</v>
      </c>
    </row>
    <row r="61" spans="2:25" x14ac:dyDescent="0.25">
      <c r="C61" t="s">
        <v>114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2:25" x14ac:dyDescent="0.25">
      <c r="C62" t="s">
        <v>121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</row>
    <row r="63" spans="2:25" x14ac:dyDescent="0.25">
      <c r="C63" t="s">
        <v>114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2:25" x14ac:dyDescent="0.25">
      <c r="C64" t="s">
        <v>3</v>
      </c>
      <c r="G64" s="5" t="s">
        <v>81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2:21" x14ac:dyDescent="0.25"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2:21" x14ac:dyDescent="0.25">
      <c r="B66" s="3" t="s">
        <v>7</v>
      </c>
      <c r="C66" s="3" t="s">
        <v>10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2:21" x14ac:dyDescent="0.25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2:21" hidden="1" x14ac:dyDescent="0.25">
      <c r="C68" t="s">
        <v>120</v>
      </c>
      <c r="G68" s="8">
        <v>5457</v>
      </c>
      <c r="H68" s="8">
        <v>7157</v>
      </c>
      <c r="I68" s="8">
        <v>4590</v>
      </c>
      <c r="J68" s="8">
        <v>4590</v>
      </c>
      <c r="K68" s="8">
        <v>4080</v>
      </c>
      <c r="L68" s="8">
        <v>2346</v>
      </c>
      <c r="M68" s="8">
        <v>1326</v>
      </c>
      <c r="N68" s="8">
        <v>255</v>
      </c>
      <c r="O68" s="8">
        <v>102</v>
      </c>
      <c r="P68" s="8">
        <v>2040</v>
      </c>
      <c r="Q68" s="8">
        <v>3570</v>
      </c>
      <c r="R68" s="8">
        <v>5423</v>
      </c>
      <c r="S68" s="5"/>
      <c r="T68" s="5"/>
      <c r="U68" s="5"/>
    </row>
    <row r="69" spans="2:21" s="7" customFormat="1" x14ac:dyDescent="0.25">
      <c r="C69" t="s">
        <v>120</v>
      </c>
      <c r="G69" s="9">
        <v>268</v>
      </c>
      <c r="H69" s="9">
        <v>343</v>
      </c>
      <c r="I69" s="9">
        <v>222</v>
      </c>
      <c r="J69" s="9">
        <v>256</v>
      </c>
      <c r="K69" s="9">
        <v>197</v>
      </c>
      <c r="L69" s="9">
        <v>118</v>
      </c>
      <c r="M69" s="9">
        <v>82</v>
      </c>
      <c r="N69" s="9">
        <v>45</v>
      </c>
      <c r="O69" s="9">
        <v>43</v>
      </c>
      <c r="P69" s="9">
        <v>105</v>
      </c>
      <c r="Q69" s="9">
        <v>207</v>
      </c>
      <c r="R69" s="9">
        <v>295</v>
      </c>
      <c r="S69" s="9">
        <v>81</v>
      </c>
      <c r="T69" s="9">
        <v>100</v>
      </c>
      <c r="U69" s="9">
        <v>75</v>
      </c>
    </row>
    <row r="70" spans="2:21" s="7" customFormat="1" x14ac:dyDescent="0.25">
      <c r="C70" s="7" t="s">
        <v>114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</row>
    <row r="71" spans="2:21" x14ac:dyDescent="0.25">
      <c r="C71" t="s">
        <v>121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</row>
    <row r="72" spans="2:21" s="7" customFormat="1" x14ac:dyDescent="0.25">
      <c r="C72" s="7" t="s">
        <v>114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</row>
    <row r="73" spans="2:21" x14ac:dyDescent="0.25">
      <c r="C73" t="s">
        <v>3</v>
      </c>
      <c r="G73" s="5" t="s">
        <v>83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2:21" x14ac:dyDescent="0.25"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2:21" x14ac:dyDescent="0.25">
      <c r="B75" s="3" t="s">
        <v>7</v>
      </c>
      <c r="C75" s="3" t="s">
        <v>11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2:21" x14ac:dyDescent="0.25"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2:21" x14ac:dyDescent="0.25">
      <c r="C77" t="s">
        <v>120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</row>
    <row r="78" spans="2:21" x14ac:dyDescent="0.25">
      <c r="C78" t="s">
        <v>114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</row>
    <row r="79" spans="2:21" x14ac:dyDescent="0.25">
      <c r="C79" t="s">
        <v>121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2:21" x14ac:dyDescent="0.25">
      <c r="C80" t="s">
        <v>114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2:53" x14ac:dyDescent="0.25">
      <c r="C81" t="s">
        <v>3</v>
      </c>
      <c r="G81" s="5" t="s">
        <v>84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2:53" x14ac:dyDescent="0.25"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2:53" x14ac:dyDescent="0.25">
      <c r="B83" s="3" t="s">
        <v>7</v>
      </c>
      <c r="C83" s="3" t="s">
        <v>12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2:53" x14ac:dyDescent="0.25"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</row>
    <row r="85" spans="2:53" hidden="1" x14ac:dyDescent="0.25">
      <c r="C85" t="s">
        <v>120</v>
      </c>
      <c r="G85" s="10">
        <v>44024</v>
      </c>
      <c r="H85" s="10">
        <v>42058</v>
      </c>
      <c r="I85" s="10">
        <v>41816</v>
      </c>
      <c r="J85" s="10">
        <v>41816</v>
      </c>
      <c r="K85" s="10">
        <v>23295</v>
      </c>
      <c r="L85" s="10">
        <v>21586</v>
      </c>
      <c r="M85" s="10">
        <v>20344</v>
      </c>
      <c r="N85" s="10">
        <v>20190</v>
      </c>
      <c r="O85" s="10">
        <v>20805</v>
      </c>
      <c r="P85" s="10">
        <v>19343</v>
      </c>
      <c r="Q85" s="10">
        <v>1800</v>
      </c>
      <c r="R85" s="10">
        <v>2000</v>
      </c>
      <c r="S85" s="10">
        <v>2500</v>
      </c>
      <c r="T85" s="10">
        <v>2800</v>
      </c>
      <c r="U85" s="10">
        <v>2300</v>
      </c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</row>
    <row r="86" spans="2:53" s="7" customFormat="1" x14ac:dyDescent="0.25">
      <c r="C86" t="s">
        <v>120</v>
      </c>
      <c r="G86" s="10">
        <v>753</v>
      </c>
      <c r="H86" s="10">
        <v>772</v>
      </c>
      <c r="I86" s="10">
        <v>720</v>
      </c>
      <c r="J86" s="10">
        <v>602</v>
      </c>
      <c r="K86" s="10">
        <v>528</v>
      </c>
      <c r="L86" s="10">
        <v>531</v>
      </c>
      <c r="M86" s="10">
        <v>531</v>
      </c>
      <c r="N86" s="10">
        <v>489</v>
      </c>
      <c r="O86" s="10">
        <v>520</v>
      </c>
      <c r="P86" s="10">
        <v>559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</row>
    <row r="87" spans="2:53" s="7" customFormat="1" x14ac:dyDescent="0.25">
      <c r="C87" s="7" t="s">
        <v>114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</row>
    <row r="88" spans="2:53" x14ac:dyDescent="0.25">
      <c r="C88" t="s">
        <v>121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</row>
    <row r="89" spans="2:53" s="7" customFormat="1" x14ac:dyDescent="0.25">
      <c r="C89" s="7" t="s">
        <v>114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</row>
    <row r="90" spans="2:53" x14ac:dyDescent="0.25">
      <c r="C90" t="s">
        <v>3</v>
      </c>
      <c r="G90" s="5" t="s">
        <v>85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2:53" x14ac:dyDescent="0.25"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2:53" x14ac:dyDescent="0.25">
      <c r="B92" s="3" t="s">
        <v>13</v>
      </c>
      <c r="C92" s="3" t="s">
        <v>14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2:53" x14ac:dyDescent="0.25"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2:53" x14ac:dyDescent="0.25">
      <c r="C94" t="s">
        <v>120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</row>
    <row r="95" spans="2:53" x14ac:dyDescent="0.25">
      <c r="C95" t="s">
        <v>114</v>
      </c>
      <c r="E95" t="s">
        <v>132</v>
      </c>
      <c r="G95" s="6">
        <v>176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</row>
    <row r="96" spans="2:53" x14ac:dyDescent="0.25">
      <c r="C96" t="s">
        <v>121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</row>
    <row r="97" spans="2:21" x14ac:dyDescent="0.25">
      <c r="C97" t="s">
        <v>114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</row>
    <row r="98" spans="2:21" x14ac:dyDescent="0.25">
      <c r="C98" t="s">
        <v>3</v>
      </c>
      <c r="G98" s="5" t="s">
        <v>86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2:21" x14ac:dyDescent="0.25"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2:21" x14ac:dyDescent="0.25">
      <c r="B100" s="3" t="s">
        <v>13</v>
      </c>
      <c r="C100" s="3" t="s">
        <v>15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2:21" x14ac:dyDescent="0.25"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2:21" x14ac:dyDescent="0.25">
      <c r="C102" t="s">
        <v>120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</row>
    <row r="103" spans="2:21" x14ac:dyDescent="0.25">
      <c r="C103" t="s">
        <v>114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</row>
    <row r="104" spans="2:21" x14ac:dyDescent="0.25">
      <c r="C104" t="s">
        <v>121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</row>
    <row r="105" spans="2:21" x14ac:dyDescent="0.25">
      <c r="C105" t="s">
        <v>114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</row>
    <row r="106" spans="2:21" x14ac:dyDescent="0.25">
      <c r="C106" t="s">
        <v>3</v>
      </c>
      <c r="G106" s="5" t="s">
        <v>87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2:21" x14ac:dyDescent="0.25"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2:21" x14ac:dyDescent="0.25">
      <c r="B108" s="3" t="s">
        <v>13</v>
      </c>
      <c r="C108" s="3" t="s">
        <v>16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2:21" x14ac:dyDescent="0.25"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2:21" x14ac:dyDescent="0.25">
      <c r="C110" t="s">
        <v>120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</row>
    <row r="111" spans="2:21" x14ac:dyDescent="0.25">
      <c r="C111" t="s">
        <v>114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</row>
    <row r="112" spans="2:21" x14ac:dyDescent="0.25">
      <c r="C112" t="s">
        <v>121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</row>
    <row r="113" spans="2:53" x14ac:dyDescent="0.25">
      <c r="C113" t="s">
        <v>114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</row>
    <row r="114" spans="2:53" x14ac:dyDescent="0.25">
      <c r="C114" t="s">
        <v>3</v>
      </c>
      <c r="G114" s="5" t="s">
        <v>88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2:53" x14ac:dyDescent="0.25"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2:53" x14ac:dyDescent="0.25">
      <c r="B116" s="3" t="s">
        <v>13</v>
      </c>
      <c r="C116" s="3" t="s">
        <v>17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2:53" x14ac:dyDescent="0.25"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2:53" x14ac:dyDescent="0.25">
      <c r="C118" t="s">
        <v>120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</row>
    <row r="119" spans="2:53" x14ac:dyDescent="0.25">
      <c r="C119" t="s">
        <v>114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</row>
    <row r="120" spans="2:53" x14ac:dyDescent="0.25">
      <c r="C120" t="s">
        <v>121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</row>
    <row r="121" spans="2:53" x14ac:dyDescent="0.25">
      <c r="C121" t="s">
        <v>114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</row>
    <row r="122" spans="2:53" x14ac:dyDescent="0.25">
      <c r="C122" t="s">
        <v>3</v>
      </c>
      <c r="G122" s="5" t="s">
        <v>89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2:53" x14ac:dyDescent="0.25"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2:53" x14ac:dyDescent="0.25">
      <c r="B124" s="3" t="s">
        <v>13</v>
      </c>
      <c r="C124" s="3" t="s">
        <v>18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2:53" x14ac:dyDescent="0.25"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</row>
    <row r="126" spans="2:53" hidden="1" x14ac:dyDescent="0.25">
      <c r="C126" t="s">
        <v>120</v>
      </c>
      <c r="G126" s="10">
        <f>33635+620+79078+162973+165230-111905</f>
        <v>329631</v>
      </c>
      <c r="H126" s="10">
        <f>32335+580+73964+152556+145290-97924</f>
        <v>306801</v>
      </c>
      <c r="I126" s="10">
        <f>33325+620+78703+156829+153450-111905</f>
        <v>311022</v>
      </c>
      <c r="J126" s="10">
        <f>29100+77229+202382+81450-72200</f>
        <v>317961</v>
      </c>
      <c r="K126" s="10">
        <f>17391+61380+161124+62620-104974</f>
        <v>197541</v>
      </c>
      <c r="L126" s="10">
        <f>11520+59400+158702+59550-72200</f>
        <v>216972</v>
      </c>
      <c r="M126" s="10">
        <f>11233+61380+133426+52700-73760</f>
        <v>184979</v>
      </c>
      <c r="N126" s="10">
        <f>11233+55180+137704+59210-73760</f>
        <v>189567</v>
      </c>
      <c r="O126" s="10">
        <f>12041+59400+137822+61200-72200</f>
        <v>198263</v>
      </c>
      <c r="P126" s="10">
        <f>14756+64480+147963+63860-73760</f>
        <v>217299</v>
      </c>
      <c r="Q126" s="10">
        <f>13950+146723+63860-73760</f>
        <v>150773</v>
      </c>
      <c r="R126" s="10">
        <f>12400+51373</f>
        <v>63773</v>
      </c>
      <c r="S126" s="10">
        <f>12400+21923</f>
        <v>34323</v>
      </c>
      <c r="T126" s="10">
        <f>11200+19684</f>
        <v>30884</v>
      </c>
      <c r="U126" s="10">
        <f>11780+20956</f>
        <v>32736</v>
      </c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</row>
    <row r="127" spans="2:53" s="7" customFormat="1" x14ac:dyDescent="0.25">
      <c r="C127" t="s">
        <v>120</v>
      </c>
      <c r="G127" s="10">
        <v>13923</v>
      </c>
      <c r="H127" s="10">
        <v>18020</v>
      </c>
      <c r="I127" s="10">
        <v>17815</v>
      </c>
      <c r="J127" s="10">
        <v>13065</v>
      </c>
      <c r="K127" s="10">
        <v>10100</v>
      </c>
      <c r="L127" s="10">
        <v>9681</v>
      </c>
      <c r="M127" s="10">
        <v>8388</v>
      </c>
      <c r="N127" s="10">
        <v>8536</v>
      </c>
      <c r="O127" s="10">
        <v>9057</v>
      </c>
      <c r="P127" s="10">
        <v>9431</v>
      </c>
      <c r="Q127" s="10">
        <v>2497</v>
      </c>
      <c r="R127" s="10">
        <f>R126/31</f>
        <v>2057.1935483870966</v>
      </c>
      <c r="S127" s="10">
        <f>S126/31</f>
        <v>1107.1935483870968</v>
      </c>
      <c r="T127" s="10">
        <f>T126/28</f>
        <v>1103</v>
      </c>
      <c r="U127" s="10">
        <f>U126/31</f>
        <v>1056</v>
      </c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</row>
    <row r="128" spans="2:53" x14ac:dyDescent="0.25">
      <c r="C128" t="s">
        <v>114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</row>
    <row r="129" spans="2:53" hidden="1" x14ac:dyDescent="0.25">
      <c r="C129" t="s">
        <v>121</v>
      </c>
      <c r="G129" s="10">
        <f>18971+115875+4537+1083</f>
        <v>140466</v>
      </c>
      <c r="H129" s="10">
        <f>17163+104521+4537+1079</f>
        <v>127300</v>
      </c>
      <c r="I129" s="10">
        <f>17664+115378+4536+1075</f>
        <v>138653</v>
      </c>
      <c r="J129" s="10">
        <f>16941+111554+4535+1070</f>
        <v>134100</v>
      </c>
      <c r="K129" s="10">
        <f>17137+113656+4535+1066</f>
        <v>136394</v>
      </c>
      <c r="L129" s="10">
        <f>16555+109374+141+1061</f>
        <v>127131</v>
      </c>
      <c r="M129" s="10">
        <f>17061+112808+140+1056</f>
        <v>131065</v>
      </c>
      <c r="N129" s="10">
        <f>16970+112241+140+1052</f>
        <v>130403</v>
      </c>
      <c r="O129" s="10">
        <f>16025+108123+139+1047</f>
        <v>125334</v>
      </c>
      <c r="P129" s="10">
        <f>16423+111111+139+1043</f>
        <v>128716</v>
      </c>
      <c r="Q129" s="10">
        <f>15866+107039+138</f>
        <v>123043</v>
      </c>
      <c r="R129" s="10">
        <f>16351+86444</f>
        <v>102795</v>
      </c>
      <c r="S129" s="10">
        <f>14849+85603</f>
        <v>100452</v>
      </c>
      <c r="T129" s="10">
        <f>12584+76945</f>
        <v>89529</v>
      </c>
      <c r="U129" s="10">
        <f>13525+58974</f>
        <v>72499</v>
      </c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</row>
    <row r="130" spans="2:53" s="7" customFormat="1" x14ac:dyDescent="0.25">
      <c r="C130" t="s">
        <v>121</v>
      </c>
      <c r="G130" s="10">
        <f>G129/31</f>
        <v>4531.1612903225805</v>
      </c>
      <c r="H130" s="10">
        <v>4521</v>
      </c>
      <c r="I130" s="10">
        <f>I129/31</f>
        <v>4472.677419354839</v>
      </c>
      <c r="J130" s="10">
        <f>J129/30</f>
        <v>4470</v>
      </c>
      <c r="K130" s="10">
        <f>K129/31</f>
        <v>4399.8064516129034</v>
      </c>
      <c r="L130" s="10">
        <f>L129/30</f>
        <v>4237.7</v>
      </c>
      <c r="M130" s="10">
        <f>M129/31</f>
        <v>4227.9032258064517</v>
      </c>
      <c r="N130" s="10">
        <f>N129/31</f>
        <v>4206.5483870967746</v>
      </c>
      <c r="O130" s="10">
        <f>O129/30</f>
        <v>4177.8</v>
      </c>
      <c r="P130" s="10">
        <f>P129/31</f>
        <v>4152.1290322580644</v>
      </c>
      <c r="Q130" s="10">
        <f>Q129/30</f>
        <v>4101.4333333333334</v>
      </c>
      <c r="R130" s="10">
        <v>3320</v>
      </c>
      <c r="S130" s="10">
        <f>S129/31</f>
        <v>3240.3870967741937</v>
      </c>
      <c r="T130" s="10">
        <f>T129/28</f>
        <v>3197.4642857142858</v>
      </c>
      <c r="U130" s="10">
        <f>U129/31</f>
        <v>2338.6774193548385</v>
      </c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</row>
    <row r="131" spans="2:53" x14ac:dyDescent="0.25">
      <c r="C131" t="s">
        <v>114</v>
      </c>
      <c r="G131" s="6">
        <v>4606</v>
      </c>
      <c r="H131" s="6">
        <v>4606</v>
      </c>
      <c r="I131" s="6">
        <v>4606</v>
      </c>
      <c r="J131" s="6">
        <v>4593</v>
      </c>
      <c r="K131" s="6">
        <v>4593</v>
      </c>
      <c r="L131" s="6">
        <v>4501</v>
      </c>
      <c r="M131" s="6">
        <v>4501</v>
      </c>
      <c r="N131" s="6">
        <v>4500</v>
      </c>
      <c r="O131" s="6">
        <v>4466</v>
      </c>
      <c r="P131" s="6">
        <v>4466</v>
      </c>
      <c r="Q131" s="6">
        <v>1</v>
      </c>
      <c r="R131" s="6">
        <v>0</v>
      </c>
      <c r="S131" s="6">
        <v>0</v>
      </c>
      <c r="T131" s="6">
        <v>0</v>
      </c>
      <c r="U131" s="6">
        <v>0</v>
      </c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</row>
    <row r="132" spans="2:53" x14ac:dyDescent="0.25">
      <c r="C132" t="s">
        <v>3</v>
      </c>
      <c r="G132" s="5" t="s">
        <v>90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2:53" x14ac:dyDescent="0.25"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2:53" x14ac:dyDescent="0.25">
      <c r="B134" s="3" t="s">
        <v>13</v>
      </c>
      <c r="C134" s="3" t="s">
        <v>19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2:53" x14ac:dyDescent="0.25"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2:53" x14ac:dyDescent="0.25">
      <c r="C136" t="s">
        <v>120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</row>
    <row r="137" spans="2:53" x14ac:dyDescent="0.25">
      <c r="C137" t="s">
        <v>114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</row>
    <row r="138" spans="2:53" x14ac:dyDescent="0.25">
      <c r="C138" t="s">
        <v>121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</row>
    <row r="139" spans="2:53" x14ac:dyDescent="0.25">
      <c r="C139" t="s">
        <v>114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</row>
    <row r="140" spans="2:53" x14ac:dyDescent="0.25">
      <c r="C140" t="s">
        <v>3</v>
      </c>
      <c r="G140" s="5" t="s">
        <v>91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2:53" x14ac:dyDescent="0.25"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2:53" x14ac:dyDescent="0.25">
      <c r="B142" s="3" t="s">
        <v>20</v>
      </c>
      <c r="C142" s="3" t="s">
        <v>21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2:53" x14ac:dyDescent="0.25"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</row>
    <row r="144" spans="2:53" hidden="1" x14ac:dyDescent="0.25">
      <c r="C144" t="s">
        <v>120</v>
      </c>
      <c r="G144" s="10">
        <v>46803</v>
      </c>
      <c r="H144" s="10">
        <v>39147</v>
      </c>
      <c r="I144" s="10">
        <v>41237</v>
      </c>
      <c r="J144" s="10">
        <v>63069</v>
      </c>
      <c r="K144" s="10">
        <v>62774</v>
      </c>
      <c r="L144" s="10">
        <v>47361</v>
      </c>
      <c r="M144" s="10">
        <v>11574</v>
      </c>
      <c r="N144" s="10">
        <v>11834</v>
      </c>
      <c r="O144" s="10">
        <v>12248</v>
      </c>
      <c r="P144" s="10">
        <v>11857</v>
      </c>
      <c r="Q144" s="10">
        <v>14359</v>
      </c>
      <c r="R144" s="10">
        <v>9357</v>
      </c>
      <c r="S144" s="10">
        <v>11048</v>
      </c>
      <c r="T144" s="10">
        <v>9453</v>
      </c>
      <c r="U144" s="10">
        <v>8909</v>
      </c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</row>
    <row r="145" spans="2:53" s="7" customFormat="1" x14ac:dyDescent="0.25">
      <c r="C145" t="s">
        <v>120</v>
      </c>
      <c r="G145" s="10">
        <v>2273</v>
      </c>
      <c r="H145" s="10">
        <v>2276</v>
      </c>
      <c r="I145" s="10">
        <v>2695</v>
      </c>
      <c r="J145" s="10">
        <v>2162</v>
      </c>
      <c r="K145" s="10">
        <v>2099</v>
      </c>
      <c r="L145" s="10">
        <v>1580</v>
      </c>
      <c r="M145" s="10">
        <v>375</v>
      </c>
      <c r="N145" s="10">
        <v>384</v>
      </c>
      <c r="O145" s="10">
        <v>407</v>
      </c>
      <c r="P145" s="10">
        <v>374</v>
      </c>
      <c r="Q145" s="10">
        <v>472</v>
      </c>
      <c r="R145" s="10">
        <v>310</v>
      </c>
      <c r="S145" s="10">
        <v>365</v>
      </c>
      <c r="T145" s="10">
        <v>347</v>
      </c>
      <c r="U145" s="10">
        <v>299</v>
      </c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spans="2:53" x14ac:dyDescent="0.25">
      <c r="C146" t="s">
        <v>114</v>
      </c>
      <c r="G146" s="6">
        <v>8000</v>
      </c>
      <c r="H146" s="6">
        <v>8000</v>
      </c>
      <c r="I146" s="6">
        <v>8000</v>
      </c>
      <c r="J146" s="6">
        <v>8000</v>
      </c>
      <c r="K146" s="6">
        <v>8000</v>
      </c>
      <c r="L146" s="6">
        <v>8000</v>
      </c>
      <c r="M146" s="6">
        <v>8000</v>
      </c>
      <c r="N146" s="6">
        <v>8000</v>
      </c>
      <c r="O146" s="6">
        <v>8000</v>
      </c>
      <c r="P146" s="6">
        <v>8000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</row>
    <row r="147" spans="2:53" hidden="1" x14ac:dyDescent="0.25">
      <c r="C147" t="s">
        <v>121</v>
      </c>
      <c r="G147" s="10">
        <v>423919</v>
      </c>
      <c r="H147" s="10">
        <v>369676</v>
      </c>
      <c r="I147" s="10">
        <v>287669</v>
      </c>
      <c r="J147" s="10">
        <v>177572</v>
      </c>
      <c r="K147" s="10">
        <v>87992</v>
      </c>
      <c r="L147" s="10">
        <v>43003</v>
      </c>
      <c r="M147" s="10">
        <v>40947</v>
      </c>
      <c r="N147" s="10">
        <v>41348</v>
      </c>
      <c r="O147" s="10">
        <v>52642</v>
      </c>
      <c r="P147" s="10">
        <v>85825</v>
      </c>
      <c r="Q147" s="10">
        <v>93095</v>
      </c>
      <c r="R147" s="10">
        <v>125431</v>
      </c>
      <c r="S147" s="10">
        <v>53808</v>
      </c>
      <c r="T147" s="10">
        <v>22306</v>
      </c>
      <c r="U147" s="10">
        <v>9049</v>
      </c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</row>
    <row r="148" spans="2:53" s="7" customFormat="1" x14ac:dyDescent="0.25">
      <c r="C148" t="s">
        <v>121</v>
      </c>
      <c r="G148" s="10">
        <f>G147/31</f>
        <v>13674.806451612903</v>
      </c>
      <c r="H148" s="10">
        <v>13130</v>
      </c>
      <c r="I148" s="10">
        <f>I147/31</f>
        <v>9279.645161290322</v>
      </c>
      <c r="J148" s="10">
        <f>J147/30</f>
        <v>5919.0666666666666</v>
      </c>
      <c r="K148" s="10">
        <f>K147/31</f>
        <v>2838.4516129032259</v>
      </c>
      <c r="L148" s="10">
        <f>L147/30</f>
        <v>1433.4333333333334</v>
      </c>
      <c r="M148" s="10">
        <f>M147/31</f>
        <v>1320.8709677419354</v>
      </c>
      <c r="N148" s="10">
        <f>N147/31</f>
        <v>1333.8064516129032</v>
      </c>
      <c r="O148" s="10">
        <f>O147/30</f>
        <v>1754.7333333333333</v>
      </c>
      <c r="P148" s="10">
        <f>P147/31</f>
        <v>2768.5483870967741</v>
      </c>
      <c r="Q148" s="10">
        <f>Q147/30</f>
        <v>3103.1666666666665</v>
      </c>
      <c r="R148" s="10">
        <f>R147/31</f>
        <v>4046.1612903225805</v>
      </c>
      <c r="S148" s="10">
        <f>S147/31</f>
        <v>1735.741935483871</v>
      </c>
      <c r="T148" s="10">
        <f>T147/28</f>
        <v>796.64285714285711</v>
      </c>
      <c r="U148" s="10">
        <f>U147/31</f>
        <v>291.90322580645159</v>
      </c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</row>
    <row r="149" spans="2:53" x14ac:dyDescent="0.25">
      <c r="C149" t="s">
        <v>114</v>
      </c>
      <c r="G149" s="6">
        <v>17484</v>
      </c>
      <c r="H149" s="6">
        <v>17484</v>
      </c>
      <c r="I149" s="6">
        <v>17484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</row>
    <row r="150" spans="2:53" x14ac:dyDescent="0.25">
      <c r="C150" t="s">
        <v>3</v>
      </c>
      <c r="G150" s="5" t="s">
        <v>92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2:53" x14ac:dyDescent="0.25"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2:53" x14ac:dyDescent="0.25">
      <c r="B152" s="3" t="s">
        <v>20</v>
      </c>
      <c r="C152" s="3" t="s">
        <v>22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2:53" x14ac:dyDescent="0.25"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2:53" hidden="1" x14ac:dyDescent="0.25">
      <c r="C154" t="s">
        <v>120</v>
      </c>
      <c r="G154" s="10">
        <f>9559+28750+2150</f>
        <v>40459</v>
      </c>
      <c r="H154" s="10">
        <f>9558+25300+2106</f>
        <v>36964</v>
      </c>
      <c r="I154" s="10">
        <f>7142+20700+1679</f>
        <v>29521</v>
      </c>
      <c r="J154" s="10">
        <f>27920+214</f>
        <v>28134</v>
      </c>
      <c r="K154" s="10">
        <f>10224+42</f>
        <v>10266</v>
      </c>
      <c r="L154" s="10">
        <f>7147+10</f>
        <v>7157</v>
      </c>
      <c r="M154" s="10">
        <f>6461+6</f>
        <v>6467</v>
      </c>
      <c r="N154" s="10">
        <f>6380+7</f>
        <v>6387</v>
      </c>
      <c r="O154" s="10">
        <f>6639+8</f>
        <v>6647</v>
      </c>
      <c r="P154" s="10">
        <f>9197+13</f>
        <v>9210</v>
      </c>
      <c r="Q154" s="10">
        <f>5915+34</f>
        <v>5949</v>
      </c>
      <c r="R154" s="10">
        <f>7712+112</f>
        <v>7824</v>
      </c>
      <c r="S154" s="10">
        <f>10562+184</f>
        <v>10746</v>
      </c>
      <c r="T154" s="10">
        <f>9739+184</f>
        <v>9923</v>
      </c>
      <c r="U154" s="10">
        <f>7970+184</f>
        <v>8154</v>
      </c>
      <c r="V154" s="6"/>
      <c r="W154" s="6"/>
      <c r="X154" s="6"/>
      <c r="Y154" s="6"/>
    </row>
    <row r="155" spans="2:53" s="7" customFormat="1" x14ac:dyDescent="0.25">
      <c r="C155" t="s">
        <v>120</v>
      </c>
      <c r="G155" s="10">
        <v>1481</v>
      </c>
      <c r="H155" s="10">
        <v>1369</v>
      </c>
      <c r="I155" s="10">
        <v>1045</v>
      </c>
      <c r="J155" s="10">
        <v>800</v>
      </c>
      <c r="K155" s="10">
        <v>481</v>
      </c>
      <c r="L155" s="10">
        <v>263</v>
      </c>
      <c r="M155" s="10">
        <v>139</v>
      </c>
      <c r="N155" s="10">
        <v>158</v>
      </c>
      <c r="O155" s="10">
        <v>250</v>
      </c>
      <c r="P155" s="10">
        <v>509</v>
      </c>
      <c r="Q155" s="10">
        <v>212</v>
      </c>
      <c r="R155" s="10">
        <v>272</v>
      </c>
      <c r="S155" s="10">
        <v>336</v>
      </c>
      <c r="T155" s="10">
        <v>342</v>
      </c>
      <c r="U155" s="10">
        <v>251</v>
      </c>
      <c r="V155" s="6"/>
      <c r="W155" s="6"/>
      <c r="X155" s="6"/>
      <c r="Y155" s="6"/>
    </row>
    <row r="156" spans="2:53" x14ac:dyDescent="0.25">
      <c r="C156" t="s">
        <v>114</v>
      </c>
      <c r="G156" s="10">
        <v>5100</v>
      </c>
      <c r="H156" s="10">
        <v>5100</v>
      </c>
      <c r="I156" s="10">
        <v>5100</v>
      </c>
      <c r="J156" s="10">
        <v>5100</v>
      </c>
      <c r="K156" s="10">
        <v>5100</v>
      </c>
      <c r="L156" s="10">
        <v>5100</v>
      </c>
      <c r="M156" s="10">
        <v>5100</v>
      </c>
      <c r="N156" s="10">
        <v>5100</v>
      </c>
      <c r="O156" s="10">
        <v>4500</v>
      </c>
      <c r="P156" s="10">
        <v>4500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6"/>
      <c r="W156" s="6"/>
      <c r="X156" s="6"/>
      <c r="Y156" s="6"/>
    </row>
    <row r="157" spans="2:53" hidden="1" x14ac:dyDescent="0.25">
      <c r="C157" t="s">
        <v>121</v>
      </c>
      <c r="G157" s="10">
        <v>169215</v>
      </c>
      <c r="H157" s="10">
        <v>148000</v>
      </c>
      <c r="I157" s="10">
        <v>115324</v>
      </c>
      <c r="J157" s="10">
        <v>70931</v>
      </c>
      <c r="K157" s="10">
        <v>35159</v>
      </c>
      <c r="L157" s="10">
        <v>17483</v>
      </c>
      <c r="M157" s="10">
        <v>16420</v>
      </c>
      <c r="N157" s="10">
        <v>16564</v>
      </c>
      <c r="O157" s="10">
        <v>20955</v>
      </c>
      <c r="P157" s="10">
        <v>34635</v>
      </c>
      <c r="Q157" s="10">
        <v>38127</v>
      </c>
      <c r="R157" s="10">
        <v>51382</v>
      </c>
      <c r="S157" s="10">
        <v>23626</v>
      </c>
      <c r="T157" s="10">
        <v>10450</v>
      </c>
      <c r="U157" s="10">
        <v>4658</v>
      </c>
      <c r="V157" s="6"/>
      <c r="W157" s="6"/>
      <c r="X157" s="6"/>
      <c r="Y157" s="6"/>
    </row>
    <row r="158" spans="2:53" s="7" customFormat="1" x14ac:dyDescent="0.25">
      <c r="C158" t="s">
        <v>121</v>
      </c>
      <c r="G158" s="10">
        <f>G157/31</f>
        <v>5458.5483870967746</v>
      </c>
      <c r="H158" s="10">
        <v>5257</v>
      </c>
      <c r="I158" s="10">
        <f>I157/31</f>
        <v>3720.1290322580644</v>
      </c>
      <c r="J158" s="10">
        <f>J157/30</f>
        <v>2364.3666666666668</v>
      </c>
      <c r="K158" s="10">
        <f>K157/31</f>
        <v>1134.1612903225807</v>
      </c>
      <c r="L158" s="10">
        <f>L157/30</f>
        <v>582.76666666666665</v>
      </c>
      <c r="M158" s="10">
        <f>M157/31</f>
        <v>529.67741935483866</v>
      </c>
      <c r="N158" s="10">
        <f>N157/31</f>
        <v>534.32258064516134</v>
      </c>
      <c r="O158" s="10">
        <f>O157/30</f>
        <v>698.5</v>
      </c>
      <c r="P158" s="10">
        <f>P157/31</f>
        <v>1117.258064516129</v>
      </c>
      <c r="Q158" s="10">
        <f>Q157/30</f>
        <v>1270.9000000000001</v>
      </c>
      <c r="R158" s="10">
        <f>R157/31</f>
        <v>1657.483870967742</v>
      </c>
      <c r="S158" s="10">
        <f>S157/31</f>
        <v>762.12903225806451</v>
      </c>
      <c r="T158" s="10">
        <f>T157/28</f>
        <v>373.21428571428572</v>
      </c>
      <c r="U158" s="10">
        <f>U157/31</f>
        <v>150.25806451612902</v>
      </c>
      <c r="V158" s="6"/>
      <c r="W158" s="6"/>
      <c r="X158" s="6"/>
      <c r="Y158" s="6"/>
    </row>
    <row r="159" spans="2:53" x14ac:dyDescent="0.25">
      <c r="C159" t="s">
        <v>114</v>
      </c>
      <c r="G159" s="6">
        <v>8046</v>
      </c>
      <c r="H159" s="6">
        <v>8046</v>
      </c>
      <c r="I159" s="6">
        <v>8046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/>
      <c r="W159" s="6"/>
      <c r="X159" s="6"/>
      <c r="Y159" s="6"/>
    </row>
    <row r="160" spans="2:53" x14ac:dyDescent="0.25">
      <c r="C160" t="s">
        <v>3</v>
      </c>
      <c r="G160" s="5" t="s">
        <v>93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2:21" x14ac:dyDescent="0.25"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2:21" x14ac:dyDescent="0.25">
      <c r="B162" s="3" t="s">
        <v>23</v>
      </c>
      <c r="C162" s="3" t="s">
        <v>94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2:21" x14ac:dyDescent="0.25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2:21" x14ac:dyDescent="0.25">
      <c r="C164" t="s">
        <v>120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</row>
    <row r="165" spans="2:21" x14ac:dyDescent="0.25">
      <c r="C165" t="s">
        <v>114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</row>
    <row r="166" spans="2:21" x14ac:dyDescent="0.25">
      <c r="C166" t="s">
        <v>121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</row>
    <row r="167" spans="2:21" x14ac:dyDescent="0.25">
      <c r="C167" t="s">
        <v>114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</row>
    <row r="168" spans="2:21" x14ac:dyDescent="0.25">
      <c r="C168" t="s">
        <v>3</v>
      </c>
      <c r="G168" s="5" t="s">
        <v>95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2:21" x14ac:dyDescent="0.25"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2:21" x14ac:dyDescent="0.25">
      <c r="B170" s="3" t="s">
        <v>23</v>
      </c>
      <c r="C170" s="3" t="s">
        <v>24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2:21" x14ac:dyDescent="0.25"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2:21" hidden="1" x14ac:dyDescent="0.25">
      <c r="C172" t="s">
        <v>120</v>
      </c>
      <c r="G172" s="8">
        <v>4517</v>
      </c>
      <c r="H172" s="8">
        <v>4454</v>
      </c>
      <c r="I172" s="8">
        <v>4779</v>
      </c>
      <c r="J172" s="8">
        <v>3354</v>
      </c>
      <c r="K172" s="8">
        <v>3183</v>
      </c>
      <c r="L172" s="8">
        <v>2165</v>
      </c>
      <c r="M172" s="8">
        <v>1298</v>
      </c>
      <c r="N172" s="8">
        <v>1753</v>
      </c>
      <c r="O172" s="8">
        <v>2050</v>
      </c>
      <c r="P172" s="8">
        <v>3137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</row>
    <row r="173" spans="2:21" s="7" customFormat="1" x14ac:dyDescent="0.25">
      <c r="C173" t="s">
        <v>120</v>
      </c>
      <c r="G173" s="9">
        <f>G172/31</f>
        <v>145.70967741935485</v>
      </c>
      <c r="H173" s="9">
        <f>H172/29</f>
        <v>153.58620689655172</v>
      </c>
      <c r="I173" s="9">
        <f>I172/31</f>
        <v>154.16129032258064</v>
      </c>
      <c r="J173" s="9">
        <f>J172/30</f>
        <v>111.8</v>
      </c>
      <c r="K173" s="9">
        <f>K172/31</f>
        <v>102.6774193548387</v>
      </c>
      <c r="L173" s="9">
        <f>L172/30</f>
        <v>72.166666666666671</v>
      </c>
      <c r="M173" s="9">
        <f>M172/31</f>
        <v>41.87096774193548</v>
      </c>
      <c r="N173" s="9">
        <f>N172/31</f>
        <v>56.548387096774192</v>
      </c>
      <c r="O173" s="9">
        <f>O172/30</f>
        <v>68.333333333333329</v>
      </c>
      <c r="P173" s="9">
        <f>P172/31</f>
        <v>101.19354838709677</v>
      </c>
      <c r="Q173" s="9">
        <f>Q172/30</f>
        <v>0</v>
      </c>
      <c r="R173" s="9">
        <f>R172/31</f>
        <v>0</v>
      </c>
      <c r="S173" s="9">
        <f>S172/31</f>
        <v>0</v>
      </c>
      <c r="T173" s="9">
        <f>T172/28</f>
        <v>0</v>
      </c>
      <c r="U173" s="9">
        <f>U172/31</f>
        <v>0</v>
      </c>
    </row>
    <row r="174" spans="2:21" x14ac:dyDescent="0.25">
      <c r="C174" t="s">
        <v>114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</row>
    <row r="175" spans="2:21" x14ac:dyDescent="0.25">
      <c r="C175" t="s">
        <v>121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</row>
    <row r="176" spans="2:21" x14ac:dyDescent="0.25">
      <c r="C176" t="s">
        <v>114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</row>
    <row r="177" spans="2:55" x14ac:dyDescent="0.25">
      <c r="C177" t="s">
        <v>3</v>
      </c>
      <c r="G177" s="5" t="s">
        <v>96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2:55" x14ac:dyDescent="0.25"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2:55" x14ac:dyDescent="0.25">
      <c r="B179" s="3" t="s">
        <v>23</v>
      </c>
      <c r="C179" s="3" t="s">
        <v>25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2:55" x14ac:dyDescent="0.25"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</row>
    <row r="181" spans="2:55" hidden="1" x14ac:dyDescent="0.25">
      <c r="C181" t="s">
        <v>120</v>
      </c>
      <c r="G181" s="10">
        <v>44543</v>
      </c>
      <c r="H181" s="10">
        <v>38481</v>
      </c>
      <c r="I181" s="10">
        <v>35650</v>
      </c>
      <c r="J181" s="10">
        <v>32650</v>
      </c>
      <c r="K181" s="10">
        <v>21505</v>
      </c>
      <c r="L181" s="10">
        <v>17059</v>
      </c>
      <c r="M181" s="10">
        <v>16152</v>
      </c>
      <c r="N181" s="10">
        <v>12865</v>
      </c>
      <c r="O181" s="10">
        <v>12360</v>
      </c>
      <c r="P181" s="10">
        <v>4525</v>
      </c>
      <c r="Q181" s="10">
        <v>3734</v>
      </c>
      <c r="R181" s="6">
        <v>0</v>
      </c>
      <c r="S181" s="6">
        <v>0</v>
      </c>
      <c r="T181" s="6">
        <v>0</v>
      </c>
      <c r="U181" s="6">
        <v>0</v>
      </c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</row>
    <row r="182" spans="2:55" s="7" customFormat="1" x14ac:dyDescent="0.25">
      <c r="C182" t="s">
        <v>120</v>
      </c>
      <c r="G182" s="10">
        <f>G181/31</f>
        <v>1436.8709677419354</v>
      </c>
      <c r="H182" s="10">
        <f>H181/29</f>
        <v>1326.9310344827586</v>
      </c>
      <c r="I182" s="10">
        <f>I181/31</f>
        <v>1150</v>
      </c>
      <c r="J182" s="10">
        <f>J181/30</f>
        <v>1088.3333333333333</v>
      </c>
      <c r="K182" s="10">
        <f>K181/31</f>
        <v>693.70967741935488</v>
      </c>
      <c r="L182" s="10">
        <f>L181/30</f>
        <v>568.63333333333333</v>
      </c>
      <c r="M182" s="10">
        <f>M181/31</f>
        <v>521.0322580645161</v>
      </c>
      <c r="N182" s="10">
        <f>N181/31</f>
        <v>415</v>
      </c>
      <c r="O182" s="10">
        <f>O181/30</f>
        <v>412</v>
      </c>
      <c r="P182" s="10">
        <f>P181/31</f>
        <v>145.96774193548387</v>
      </c>
      <c r="Q182" s="10">
        <f>Q181/30</f>
        <v>124.46666666666667</v>
      </c>
      <c r="R182" s="10">
        <f>R181/31</f>
        <v>0</v>
      </c>
      <c r="S182" s="10">
        <f>S181/31</f>
        <v>0</v>
      </c>
      <c r="T182" s="10">
        <f>T181/28</f>
        <v>0</v>
      </c>
      <c r="U182" s="10">
        <f>U181/31</f>
        <v>0</v>
      </c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</row>
    <row r="183" spans="2:55" x14ac:dyDescent="0.25">
      <c r="C183" t="s">
        <v>114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</row>
    <row r="184" spans="2:55" x14ac:dyDescent="0.25">
      <c r="C184" t="s">
        <v>121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</row>
    <row r="185" spans="2:55" x14ac:dyDescent="0.25">
      <c r="C185" t="s">
        <v>114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</row>
    <row r="186" spans="2:55" x14ac:dyDescent="0.25">
      <c r="C186" t="s">
        <v>3</v>
      </c>
      <c r="G186" s="5" t="s">
        <v>97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2:55" x14ac:dyDescent="0.25"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2:55" x14ac:dyDescent="0.25">
      <c r="B188" s="3" t="s">
        <v>23</v>
      </c>
      <c r="C188" s="3" t="s">
        <v>26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2:55" x14ac:dyDescent="0.25"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2:55" x14ac:dyDescent="0.25">
      <c r="C190" t="s">
        <v>120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</row>
    <row r="191" spans="2:55" x14ac:dyDescent="0.25">
      <c r="C191" t="s">
        <v>114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</row>
    <row r="192" spans="2:55" x14ac:dyDescent="0.25">
      <c r="C192" t="s">
        <v>121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</row>
    <row r="193" spans="2:25" x14ac:dyDescent="0.25">
      <c r="C193" t="s">
        <v>114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</row>
    <row r="194" spans="2:25" x14ac:dyDescent="0.25">
      <c r="C194" t="s">
        <v>3</v>
      </c>
      <c r="G194" s="5" t="s">
        <v>97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2:25" x14ac:dyDescent="0.25"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2:25" x14ac:dyDescent="0.25">
      <c r="B196" s="3" t="s">
        <v>23</v>
      </c>
      <c r="C196" s="3" t="s">
        <v>27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2:25" x14ac:dyDescent="0.25"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2:25" x14ac:dyDescent="0.25">
      <c r="C198" t="s">
        <v>120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</row>
    <row r="199" spans="2:25" x14ac:dyDescent="0.25">
      <c r="C199" t="s">
        <v>114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</row>
    <row r="200" spans="2:25" x14ac:dyDescent="0.25">
      <c r="C200" t="s">
        <v>121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</row>
    <row r="201" spans="2:25" x14ac:dyDescent="0.25">
      <c r="C201" t="s">
        <v>114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</row>
    <row r="202" spans="2:25" x14ac:dyDescent="0.25">
      <c r="C202" t="s">
        <v>3</v>
      </c>
      <c r="G202" s="5" t="s">
        <v>97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2:25" x14ac:dyDescent="0.25"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2:25" x14ac:dyDescent="0.25">
      <c r="B204" s="3" t="s">
        <v>28</v>
      </c>
      <c r="C204" s="3" t="s">
        <v>29</v>
      </c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2:25" x14ac:dyDescent="0.25"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2:25" hidden="1" x14ac:dyDescent="0.25">
      <c r="C206" t="s">
        <v>120</v>
      </c>
      <c r="G206" s="10">
        <f>933695+110000+1227</f>
        <v>1044922</v>
      </c>
      <c r="H206" s="10">
        <f>851060+50000+1485</f>
        <v>902545</v>
      </c>
      <c r="I206" s="10">
        <f>714231+1813</f>
        <v>716044</v>
      </c>
      <c r="J206" s="10">
        <f>83209+1808</f>
        <v>85017</v>
      </c>
      <c r="K206" s="10">
        <f>62009+2313</f>
        <v>64322</v>
      </c>
      <c r="L206" s="10">
        <f>41414+2505</f>
        <v>43919</v>
      </c>
      <c r="M206" s="10">
        <f>37153+2033</f>
        <v>39186</v>
      </c>
      <c r="N206" s="10">
        <f>36147+2327</f>
        <v>38474</v>
      </c>
      <c r="O206" s="10">
        <f>38788+1777</f>
        <v>40565</v>
      </c>
      <c r="P206" s="10">
        <f>49564+1760</f>
        <v>51324</v>
      </c>
      <c r="Q206" s="10">
        <f>62257+1273</f>
        <v>63530</v>
      </c>
      <c r="R206" s="10">
        <f>65314+1465</f>
        <v>66779</v>
      </c>
      <c r="S206" s="10">
        <v>50186</v>
      </c>
      <c r="T206" s="10">
        <v>44952</v>
      </c>
      <c r="U206" s="10">
        <v>27317</v>
      </c>
      <c r="V206" s="6"/>
      <c r="W206" s="6"/>
      <c r="X206" s="6"/>
      <c r="Y206" s="6"/>
    </row>
    <row r="207" spans="2:25" s="7" customFormat="1" x14ac:dyDescent="0.25">
      <c r="C207" t="s">
        <v>120</v>
      </c>
      <c r="G207" s="10">
        <v>32816</v>
      </c>
      <c r="H207" s="10">
        <v>32265</v>
      </c>
      <c r="I207" s="10">
        <v>24273</v>
      </c>
      <c r="J207" s="10">
        <v>2988</v>
      </c>
      <c r="K207" s="10">
        <v>2192</v>
      </c>
      <c r="L207" s="10">
        <v>1567</v>
      </c>
      <c r="M207" s="10">
        <v>1363</v>
      </c>
      <c r="N207" s="10">
        <v>1275</v>
      </c>
      <c r="O207" s="10">
        <v>1389</v>
      </c>
      <c r="P207" s="10">
        <v>1710</v>
      </c>
      <c r="Q207" s="10">
        <v>2237</v>
      </c>
      <c r="R207" s="10">
        <v>2234</v>
      </c>
      <c r="S207" s="10">
        <v>1651</v>
      </c>
      <c r="T207" s="10">
        <v>1633</v>
      </c>
      <c r="U207" s="10">
        <v>904</v>
      </c>
      <c r="V207" s="6"/>
      <c r="W207" s="6"/>
      <c r="X207" s="6"/>
      <c r="Y207" s="6"/>
    </row>
    <row r="208" spans="2:25" x14ac:dyDescent="0.25">
      <c r="C208" t="s">
        <v>133</v>
      </c>
      <c r="G208" s="6">
        <v>20000</v>
      </c>
      <c r="H208" s="6">
        <v>20000</v>
      </c>
      <c r="I208" s="6">
        <v>20000</v>
      </c>
      <c r="J208" s="6">
        <v>20000</v>
      </c>
      <c r="K208" s="6">
        <v>20000</v>
      </c>
      <c r="L208" s="6">
        <v>20000</v>
      </c>
      <c r="M208" s="6">
        <v>20000</v>
      </c>
      <c r="N208" s="6">
        <v>20000</v>
      </c>
      <c r="O208" s="6">
        <v>20000</v>
      </c>
      <c r="P208" s="6">
        <v>20000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/>
      <c r="W208" s="6"/>
      <c r="X208" s="6"/>
      <c r="Y208" s="6"/>
    </row>
    <row r="209" spans="2:51" hidden="1" x14ac:dyDescent="0.25">
      <c r="C209" t="s">
        <v>121</v>
      </c>
      <c r="G209" s="10">
        <v>839929</v>
      </c>
      <c r="H209" s="10">
        <v>734352</v>
      </c>
      <c r="I209" s="10">
        <v>572126</v>
      </c>
      <c r="J209" s="10">
        <v>352049</v>
      </c>
      <c r="K209" s="10">
        <v>174497</v>
      </c>
      <c r="L209" s="10">
        <v>86583</v>
      </c>
      <c r="M209" s="10">
        <v>81457</v>
      </c>
      <c r="N209" s="10">
        <v>82183</v>
      </c>
      <c r="O209" s="10">
        <v>104049</v>
      </c>
      <c r="P209" s="10">
        <v>171683</v>
      </c>
      <c r="Q209" s="10">
        <v>188654</v>
      </c>
      <c r="R209" s="10">
        <v>254229</v>
      </c>
      <c r="S209" s="10">
        <v>115944</v>
      </c>
      <c r="T209" s="10">
        <v>50912</v>
      </c>
      <c r="U209" s="10">
        <v>22473</v>
      </c>
      <c r="V209" s="6"/>
      <c r="W209" s="6"/>
      <c r="X209" s="6"/>
      <c r="Y209" s="6"/>
    </row>
    <row r="210" spans="2:51" s="7" customFormat="1" x14ac:dyDescent="0.25">
      <c r="C210" t="s">
        <v>121</v>
      </c>
      <c r="G210" s="10">
        <f>G209/31</f>
        <v>27094.483870967742</v>
      </c>
      <c r="H210" s="10">
        <v>26082</v>
      </c>
      <c r="I210" s="10">
        <f>I209/31</f>
        <v>18455.677419354837</v>
      </c>
      <c r="J210" s="10">
        <f>J209/30</f>
        <v>11734.966666666667</v>
      </c>
      <c r="K210" s="10">
        <f>K209/31</f>
        <v>5628.9354838709678</v>
      </c>
      <c r="L210" s="10">
        <f>L209/30</f>
        <v>2886.1</v>
      </c>
      <c r="M210" s="10">
        <f>M209/31</f>
        <v>2627.6451612903224</v>
      </c>
      <c r="N210" s="10">
        <f>N209/31</f>
        <v>2651.0645161290322</v>
      </c>
      <c r="O210" s="10">
        <f>O209/30</f>
        <v>3468.3</v>
      </c>
      <c r="P210" s="10">
        <f>P209/31</f>
        <v>5538.1612903225805</v>
      </c>
      <c r="Q210" s="10">
        <f>Q209/30</f>
        <v>6288.4666666666662</v>
      </c>
      <c r="R210" s="10">
        <f>R209/31</f>
        <v>8200.9354838709678</v>
      </c>
      <c r="S210" s="10">
        <f>S209/31</f>
        <v>3740.1290322580644</v>
      </c>
      <c r="T210" s="10">
        <f>T209/28</f>
        <v>1818.2857142857142</v>
      </c>
      <c r="U210" s="10">
        <f>U209/31</f>
        <v>724.93548387096769</v>
      </c>
      <c r="V210" s="6"/>
      <c r="W210" s="6"/>
      <c r="X210" s="6"/>
      <c r="Y210" s="6"/>
    </row>
    <row r="211" spans="2:51" x14ac:dyDescent="0.25">
      <c r="C211" t="s">
        <v>114</v>
      </c>
      <c r="G211" s="6">
        <v>30340</v>
      </c>
      <c r="H211" s="6">
        <v>30340</v>
      </c>
      <c r="I211" s="6">
        <v>30340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/>
      <c r="W211" s="6"/>
      <c r="X211" s="6"/>
      <c r="Y211" s="6"/>
    </row>
    <row r="212" spans="2:51" x14ac:dyDescent="0.25">
      <c r="C212" t="s">
        <v>3</v>
      </c>
      <c r="G212" s="5" t="s">
        <v>98</v>
      </c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2:51" x14ac:dyDescent="0.25"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2:51" x14ac:dyDescent="0.25">
      <c r="B214" s="3" t="s">
        <v>28</v>
      </c>
      <c r="C214" s="3" t="s">
        <v>30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2:51" x14ac:dyDescent="0.25"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</row>
    <row r="216" spans="2:51" hidden="1" x14ac:dyDescent="0.25">
      <c r="C216" t="s">
        <v>120</v>
      </c>
      <c r="G216" s="10">
        <f>151828+7408</f>
        <v>159236</v>
      </c>
      <c r="H216" s="10">
        <f>132071+5480</f>
        <v>137551</v>
      </c>
      <c r="I216" s="10">
        <f>107860+5354</f>
        <v>113214</v>
      </c>
      <c r="J216" s="10">
        <f>20516+3040</f>
        <v>23556</v>
      </c>
      <c r="K216" s="10">
        <f>19033+1988</f>
        <v>21021</v>
      </c>
      <c r="L216" s="10">
        <f>2364+769</f>
        <v>3133</v>
      </c>
      <c r="M216" s="10">
        <f>2190+232</f>
        <v>2422</v>
      </c>
      <c r="N216" s="10">
        <f>2133+223</f>
        <v>2356</v>
      </c>
      <c r="O216" s="10">
        <f>2132+185</f>
        <v>2317</v>
      </c>
      <c r="P216" s="10">
        <f>3033+353</f>
        <v>3386</v>
      </c>
      <c r="Q216" s="10">
        <f>1944+953</f>
        <v>2897</v>
      </c>
      <c r="R216" s="10">
        <f>595+1218</f>
        <v>1813</v>
      </c>
      <c r="S216" s="10">
        <f>862+2374</f>
        <v>3236</v>
      </c>
      <c r="T216" s="10">
        <f>551+1898</f>
        <v>2449</v>
      </c>
      <c r="U216" s="10">
        <f>38+1625</f>
        <v>1663</v>
      </c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</row>
    <row r="217" spans="2:51" s="7" customFormat="1" x14ac:dyDescent="0.25">
      <c r="C217" t="s">
        <v>120</v>
      </c>
      <c r="G217" s="10">
        <v>5495</v>
      </c>
      <c r="H217" s="10">
        <v>748</v>
      </c>
      <c r="I217" s="10">
        <v>4793</v>
      </c>
      <c r="J217" s="10">
        <v>836</v>
      </c>
      <c r="K217" s="10">
        <v>728</v>
      </c>
      <c r="L217" s="10">
        <v>154</v>
      </c>
      <c r="M217" s="10">
        <v>223</v>
      </c>
      <c r="N217" s="10">
        <v>221</v>
      </c>
      <c r="O217" s="10">
        <v>127</v>
      </c>
      <c r="P217" s="10">
        <v>158</v>
      </c>
      <c r="Q217" s="10">
        <f>Q216/30</f>
        <v>96.566666666666663</v>
      </c>
      <c r="R217" s="10">
        <f>R216/31</f>
        <v>58.483870967741936</v>
      </c>
      <c r="S217" s="10">
        <f>S216/31</f>
        <v>104.38709677419355</v>
      </c>
      <c r="T217" s="10">
        <f>T216/28</f>
        <v>87.464285714285708</v>
      </c>
      <c r="U217" s="10">
        <f>U216/31</f>
        <v>53.645161290322584</v>
      </c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</row>
    <row r="218" spans="2:51" x14ac:dyDescent="0.25">
      <c r="C218" t="s">
        <v>134</v>
      </c>
      <c r="G218" s="6">
        <v>2200</v>
      </c>
      <c r="H218" s="6">
        <v>2200</v>
      </c>
      <c r="I218" s="6">
        <v>2200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</row>
    <row r="219" spans="2:51" hidden="1" x14ac:dyDescent="0.25">
      <c r="C219" t="s">
        <v>121</v>
      </c>
      <c r="G219" s="10">
        <v>124067</v>
      </c>
      <c r="H219" s="10">
        <v>108578</v>
      </c>
      <c r="I219" s="10">
        <v>84629</v>
      </c>
      <c r="J219" s="10">
        <v>52014</v>
      </c>
      <c r="K219" s="10">
        <v>25784</v>
      </c>
      <c r="L219" s="10">
        <v>12866</v>
      </c>
      <c r="M219" s="10">
        <v>12050</v>
      </c>
      <c r="N219" s="10">
        <v>12154</v>
      </c>
      <c r="O219" s="10">
        <v>15355</v>
      </c>
      <c r="P219" s="10">
        <v>25451</v>
      </c>
      <c r="Q219" s="10">
        <v>28100</v>
      </c>
      <c r="R219" s="10">
        <v>37870</v>
      </c>
      <c r="S219" s="10">
        <v>17645</v>
      </c>
      <c r="T219" s="10">
        <v>7894</v>
      </c>
      <c r="U219" s="10">
        <v>3572</v>
      </c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</row>
    <row r="220" spans="2:51" s="7" customFormat="1" x14ac:dyDescent="0.25">
      <c r="C220" t="s">
        <v>121</v>
      </c>
      <c r="G220" s="10">
        <f>G219/31</f>
        <v>4002.1612903225805</v>
      </c>
      <c r="H220" s="10">
        <v>3856</v>
      </c>
      <c r="I220" s="10">
        <f>I219/31</f>
        <v>2729.9677419354839</v>
      </c>
      <c r="J220" s="10">
        <f>J219/30</f>
        <v>1733.8</v>
      </c>
      <c r="K220" s="10">
        <f>K219/31</f>
        <v>831.74193548387098</v>
      </c>
      <c r="L220" s="10">
        <f>L219/30</f>
        <v>428.86666666666667</v>
      </c>
      <c r="M220" s="10">
        <f>M219/31</f>
        <v>388.70967741935482</v>
      </c>
      <c r="N220" s="10">
        <f>N219/31</f>
        <v>392.06451612903226</v>
      </c>
      <c r="O220" s="10">
        <f>O219/30</f>
        <v>511.83333333333331</v>
      </c>
      <c r="P220" s="10">
        <f>P219/31</f>
        <v>821</v>
      </c>
      <c r="Q220" s="10">
        <f>Q219/30</f>
        <v>936.66666666666663</v>
      </c>
      <c r="R220" s="10">
        <f>R219/31</f>
        <v>1221.6129032258063</v>
      </c>
      <c r="S220" s="10">
        <f>S219/31</f>
        <v>569.19354838709683</v>
      </c>
      <c r="T220" s="10">
        <f>T219/28</f>
        <v>281.92857142857144</v>
      </c>
      <c r="U220" s="10">
        <f>U219/31</f>
        <v>115.2258064516129</v>
      </c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</row>
    <row r="221" spans="2:51" x14ac:dyDescent="0.25">
      <c r="C221" t="s">
        <v>114</v>
      </c>
      <c r="G221" s="6">
        <v>6104</v>
      </c>
      <c r="H221" s="6">
        <v>6104</v>
      </c>
      <c r="I221" s="6">
        <v>6104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</row>
    <row r="222" spans="2:51" x14ac:dyDescent="0.25">
      <c r="C222" t="s">
        <v>3</v>
      </c>
      <c r="G222" s="5" t="s">
        <v>99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2:51" x14ac:dyDescent="0.25"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2:51" x14ac:dyDescent="0.25">
      <c r="B224" s="3" t="s">
        <v>28</v>
      </c>
      <c r="C224" s="3" t="s">
        <v>31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2:61" x14ac:dyDescent="0.25"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</row>
    <row r="226" spans="2:61" hidden="1" x14ac:dyDescent="0.25">
      <c r="C226" t="s">
        <v>120</v>
      </c>
      <c r="G226" s="10">
        <f>67229+5487+20000</f>
        <v>92716</v>
      </c>
      <c r="H226" s="10">
        <f>666318+6046+18000</f>
        <v>690364</v>
      </c>
      <c r="I226" s="10">
        <f>63233+5651+20000</f>
        <v>88884</v>
      </c>
      <c r="J226" s="10">
        <f>44588+4072+19000</f>
        <v>67660</v>
      </c>
      <c r="K226" s="10">
        <f>39394+2462</f>
        <v>41856</v>
      </c>
      <c r="L226" s="10">
        <v>38398</v>
      </c>
      <c r="M226" s="10">
        <v>37997</v>
      </c>
      <c r="N226" s="10">
        <v>38369</v>
      </c>
      <c r="O226" s="10">
        <v>38661</v>
      </c>
      <c r="P226" s="10">
        <v>38342</v>
      </c>
      <c r="Q226" s="10">
        <v>38668</v>
      </c>
      <c r="R226" s="10">
        <v>1498</v>
      </c>
      <c r="S226" s="10">
        <v>2451</v>
      </c>
      <c r="T226" s="10">
        <v>1443</v>
      </c>
      <c r="U226" s="6">
        <v>0</v>
      </c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</row>
    <row r="227" spans="2:61" s="7" customFormat="1" x14ac:dyDescent="0.25">
      <c r="C227" t="s">
        <v>120</v>
      </c>
      <c r="G227" s="10">
        <v>4166</v>
      </c>
      <c r="H227" s="10">
        <v>4300</v>
      </c>
      <c r="I227" s="10">
        <v>3959</v>
      </c>
      <c r="J227" s="10">
        <f>J226/30</f>
        <v>2255.3333333333335</v>
      </c>
      <c r="K227" s="10">
        <f>K226/31</f>
        <v>1350.1935483870968</v>
      </c>
      <c r="L227" s="10">
        <f>L226/30</f>
        <v>1279.9333333333334</v>
      </c>
      <c r="M227" s="10">
        <f>M226/31</f>
        <v>1225.7096774193549</v>
      </c>
      <c r="N227" s="10">
        <f>N226/31</f>
        <v>1237.7096774193549</v>
      </c>
      <c r="O227" s="10">
        <f>O226/30</f>
        <v>1288.7</v>
      </c>
      <c r="P227" s="10">
        <f>P226/31</f>
        <v>1236.8387096774193</v>
      </c>
      <c r="Q227" s="10">
        <f>Q226/30</f>
        <v>1288.9333333333334</v>
      </c>
      <c r="R227" s="10">
        <f>R226/31</f>
        <v>48.322580645161288</v>
      </c>
      <c r="S227" s="10">
        <f>S226/31</f>
        <v>79.064516129032256</v>
      </c>
      <c r="T227" s="10">
        <f>T226/28</f>
        <v>51.535714285714285</v>
      </c>
      <c r="U227" s="10">
        <f>U226/31</f>
        <v>0</v>
      </c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</row>
    <row r="228" spans="2:61" x14ac:dyDescent="0.25">
      <c r="C228" t="s">
        <v>114</v>
      </c>
      <c r="E228" s="16"/>
      <c r="F228" s="16"/>
      <c r="G228" s="17">
        <v>3000</v>
      </c>
      <c r="H228" s="10">
        <v>3000</v>
      </c>
      <c r="I228" s="10">
        <v>3000</v>
      </c>
      <c r="J228" s="10">
        <v>3000</v>
      </c>
      <c r="K228" s="10">
        <v>3000</v>
      </c>
      <c r="L228" s="10">
        <v>3000</v>
      </c>
      <c r="M228" s="10">
        <v>3000</v>
      </c>
      <c r="N228" s="10">
        <v>3000</v>
      </c>
      <c r="O228" s="10">
        <v>3000</v>
      </c>
      <c r="P228" s="10">
        <v>3000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</row>
    <row r="229" spans="2:61" hidden="1" x14ac:dyDescent="0.25">
      <c r="C229" t="s">
        <v>121</v>
      </c>
      <c r="G229" s="10">
        <v>100593</v>
      </c>
      <c r="H229" s="10">
        <v>88287</v>
      </c>
      <c r="I229" s="10">
        <v>68903</v>
      </c>
      <c r="J229" s="10">
        <v>42202</v>
      </c>
      <c r="K229" s="10">
        <v>20926</v>
      </c>
      <c r="L229" s="10">
        <v>10615</v>
      </c>
      <c r="M229" s="10">
        <v>9814</v>
      </c>
      <c r="N229" s="10">
        <v>9888</v>
      </c>
      <c r="O229" s="10">
        <v>12417</v>
      </c>
      <c r="P229" s="10">
        <v>20852</v>
      </c>
      <c r="Q229" s="10">
        <v>23341</v>
      </c>
      <c r="R229" s="10">
        <v>31463</v>
      </c>
      <c r="S229" s="10">
        <v>15546</v>
      </c>
      <c r="T229" s="10">
        <v>7292</v>
      </c>
      <c r="U229" s="6">
        <v>3500</v>
      </c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</row>
    <row r="230" spans="2:61" s="7" customFormat="1" x14ac:dyDescent="0.25">
      <c r="C230" t="s">
        <v>121</v>
      </c>
      <c r="G230" s="10">
        <f>G229/31</f>
        <v>3244.9354838709678</v>
      </c>
      <c r="H230" s="10">
        <v>3136</v>
      </c>
      <c r="I230" s="10">
        <f>I229/31</f>
        <v>2222.6774193548385</v>
      </c>
      <c r="J230" s="10">
        <f>J229/30</f>
        <v>1406.7333333333333</v>
      </c>
      <c r="K230" s="10">
        <f>K229/31</f>
        <v>675.0322580645161</v>
      </c>
      <c r="L230" s="10">
        <f>L229/30</f>
        <v>353.83333333333331</v>
      </c>
      <c r="M230" s="10">
        <f>M229/31</f>
        <v>316.58064516129031</v>
      </c>
      <c r="N230" s="10">
        <f>N229/31</f>
        <v>318.96774193548384</v>
      </c>
      <c r="O230" s="10">
        <f>O229/30</f>
        <v>413.9</v>
      </c>
      <c r="P230" s="10">
        <f>P229/31</f>
        <v>672.64516129032256</v>
      </c>
      <c r="Q230" s="10">
        <f>Q229/30</f>
        <v>778.0333333333333</v>
      </c>
      <c r="R230" s="10">
        <f>R229/31</f>
        <v>1014.9354838709677</v>
      </c>
      <c r="S230" s="10">
        <f>S229/31</f>
        <v>501.48387096774195</v>
      </c>
      <c r="T230" s="10">
        <f>T229/28</f>
        <v>260.42857142857144</v>
      </c>
      <c r="U230" s="10">
        <f>U229/31</f>
        <v>112.90322580645162</v>
      </c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</row>
    <row r="231" spans="2:61" x14ac:dyDescent="0.25">
      <c r="C231" t="s">
        <v>114</v>
      </c>
      <c r="G231" s="6">
        <v>4833</v>
      </c>
      <c r="H231" s="6">
        <v>4833</v>
      </c>
      <c r="I231" s="6">
        <v>4833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</row>
    <row r="232" spans="2:61" x14ac:dyDescent="0.25">
      <c r="C232" t="s">
        <v>3</v>
      </c>
      <c r="G232" s="5" t="s">
        <v>100</v>
      </c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2:61" x14ac:dyDescent="0.25"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spans="2:61" x14ac:dyDescent="0.25">
      <c r="B234" s="3" t="s">
        <v>28</v>
      </c>
      <c r="C234" s="3" t="s">
        <v>32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2:61" x14ac:dyDescent="0.25"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</row>
    <row r="236" spans="2:61" hidden="1" x14ac:dyDescent="0.25">
      <c r="C236" t="s">
        <v>120</v>
      </c>
      <c r="G236" s="10">
        <v>1109844</v>
      </c>
      <c r="H236" s="10">
        <v>971909</v>
      </c>
      <c r="I236" s="10">
        <v>754978</v>
      </c>
      <c r="J236" s="10">
        <v>92432</v>
      </c>
      <c r="K236" s="10">
        <v>70549</v>
      </c>
      <c r="L236" s="10">
        <v>60066</v>
      </c>
      <c r="M236" s="10">
        <v>55355</v>
      </c>
      <c r="N236" s="10">
        <v>38732</v>
      </c>
      <c r="O236" s="10">
        <v>39098</v>
      </c>
      <c r="P236" s="10">
        <v>47238</v>
      </c>
      <c r="Q236" s="10">
        <v>36927</v>
      </c>
      <c r="R236" s="10">
        <v>40444</v>
      </c>
      <c r="S236" s="10">
        <v>32263</v>
      </c>
      <c r="T236" s="10">
        <v>27259</v>
      </c>
      <c r="U236" s="10">
        <v>25556</v>
      </c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</row>
    <row r="237" spans="2:61" s="7" customFormat="1" x14ac:dyDescent="0.25">
      <c r="C237" t="s">
        <v>120</v>
      </c>
      <c r="G237" s="10">
        <v>34218</v>
      </c>
      <c r="H237" s="10">
        <v>30251</v>
      </c>
      <c r="I237" s="10">
        <v>21545</v>
      </c>
      <c r="J237" s="10">
        <v>3404</v>
      </c>
      <c r="K237" s="10">
        <v>2192</v>
      </c>
      <c r="L237" s="10">
        <v>1828</v>
      </c>
      <c r="M237" s="10">
        <v>1466</v>
      </c>
      <c r="N237" s="10">
        <v>1030</v>
      </c>
      <c r="O237" s="10">
        <v>1165</v>
      </c>
      <c r="P237" s="10">
        <v>1392</v>
      </c>
      <c r="Q237" s="10">
        <v>1232</v>
      </c>
      <c r="R237" s="10">
        <v>1268</v>
      </c>
      <c r="S237" s="10">
        <v>980</v>
      </c>
      <c r="T237" s="10">
        <v>921</v>
      </c>
      <c r="U237" s="10">
        <v>779</v>
      </c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</row>
    <row r="238" spans="2:61" x14ac:dyDescent="0.25">
      <c r="C238" t="s">
        <v>114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</row>
    <row r="239" spans="2:61" hidden="1" x14ac:dyDescent="0.25">
      <c r="C239" t="s">
        <v>121</v>
      </c>
      <c r="G239" s="10">
        <v>778304</v>
      </c>
      <c r="H239" s="10">
        <v>681991</v>
      </c>
      <c r="I239" s="10">
        <v>528433</v>
      </c>
      <c r="J239" s="10">
        <v>336761</v>
      </c>
      <c r="K239" s="10">
        <v>176805</v>
      </c>
      <c r="L239" s="10">
        <v>89624</v>
      </c>
      <c r="M239" s="10">
        <v>79999</v>
      </c>
      <c r="N239" s="10">
        <v>80202</v>
      </c>
      <c r="O239" s="10">
        <v>99589</v>
      </c>
      <c r="P239" s="10">
        <v>159745</v>
      </c>
      <c r="Q239" s="10">
        <v>159120</v>
      </c>
      <c r="R239" s="10">
        <v>214387</v>
      </c>
      <c r="S239" s="10">
        <v>91401</v>
      </c>
      <c r="T239" s="10">
        <v>37656</v>
      </c>
      <c r="U239" s="10">
        <v>15125</v>
      </c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</row>
    <row r="240" spans="2:61" s="7" customFormat="1" x14ac:dyDescent="0.25">
      <c r="C240" t="s">
        <v>121</v>
      </c>
      <c r="G240" s="10">
        <f>G239/31</f>
        <v>25106.580645161292</v>
      </c>
      <c r="H240" s="10">
        <v>24222</v>
      </c>
      <c r="I240" s="10">
        <f>I239/31</f>
        <v>17046.225806451614</v>
      </c>
      <c r="J240" s="10">
        <f>J239/30</f>
        <v>11225.366666666667</v>
      </c>
      <c r="K240" s="10">
        <f>K239/31</f>
        <v>5703.3870967741932</v>
      </c>
      <c r="L240" s="10">
        <f>L239/30</f>
        <v>2987.4666666666667</v>
      </c>
      <c r="M240" s="10">
        <f>M239/31</f>
        <v>2580.6129032258063</v>
      </c>
      <c r="N240" s="10">
        <f>N239/31</f>
        <v>2587.1612903225805</v>
      </c>
      <c r="O240" s="10">
        <f>O239/30</f>
        <v>3319.6333333333332</v>
      </c>
      <c r="P240" s="10">
        <f>P239/31</f>
        <v>5153.0645161290322</v>
      </c>
      <c r="Q240" s="10">
        <f>Q239/30</f>
        <v>5304</v>
      </c>
      <c r="R240" s="10">
        <f>R239/31</f>
        <v>6915.7096774193551</v>
      </c>
      <c r="S240" s="10">
        <f>S239/31</f>
        <v>2948.4193548387098</v>
      </c>
      <c r="T240" s="10">
        <f>T239/28</f>
        <v>1344.8571428571429</v>
      </c>
      <c r="U240" s="10">
        <f>U239/31</f>
        <v>487.90322580645159</v>
      </c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</row>
    <row r="241" spans="2:61" x14ac:dyDescent="0.25">
      <c r="C241" t="s">
        <v>114</v>
      </c>
      <c r="G241" s="6">
        <v>39070</v>
      </c>
      <c r="H241" s="6">
        <v>39070</v>
      </c>
      <c r="I241" s="6">
        <v>39070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</row>
    <row r="242" spans="2:61" x14ac:dyDescent="0.25">
      <c r="C242" t="s">
        <v>3</v>
      </c>
      <c r="G242" s="5" t="s">
        <v>100</v>
      </c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2:61" x14ac:dyDescent="0.25"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2:61" x14ac:dyDescent="0.25">
      <c r="B244" s="3" t="s">
        <v>28</v>
      </c>
      <c r="C244" s="3" t="s">
        <v>33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2:61" x14ac:dyDescent="0.25"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2:61" hidden="1" x14ac:dyDescent="0.25">
      <c r="C246" t="s">
        <v>120</v>
      </c>
      <c r="G246" s="10">
        <f>6865+24303</f>
        <v>31168</v>
      </c>
      <c r="H246" s="10">
        <f>7433+21859</f>
        <v>29292</v>
      </c>
      <c r="I246" s="10">
        <f>5792+18398</f>
        <v>24190</v>
      </c>
      <c r="J246" s="10">
        <f>6846+5552</f>
        <v>12398</v>
      </c>
      <c r="K246" s="10">
        <f>4757+2116</f>
        <v>6873</v>
      </c>
      <c r="L246" s="10">
        <f>3212+1222</f>
        <v>4434</v>
      </c>
      <c r="M246" s="10">
        <f>3031+671</f>
        <v>3702</v>
      </c>
      <c r="N246" s="10">
        <f>2985+495</f>
        <v>3480</v>
      </c>
      <c r="O246" s="10">
        <f>3045+405</f>
        <v>3450</v>
      </c>
      <c r="P246" s="10">
        <f>1217+804</f>
        <v>2021</v>
      </c>
      <c r="Q246" s="10">
        <f>685+1056</f>
        <v>1741</v>
      </c>
      <c r="R246" s="10">
        <f>483+2830</f>
        <v>3313</v>
      </c>
      <c r="S246" s="10">
        <f>552+4034</f>
        <v>4586</v>
      </c>
      <c r="T246" s="10">
        <f>438+2537</f>
        <v>2975</v>
      </c>
      <c r="U246" s="10">
        <f>234+2625</f>
        <v>2859</v>
      </c>
      <c r="V246" s="6"/>
      <c r="W246" s="6"/>
      <c r="X246" s="6"/>
      <c r="Y246" s="6"/>
    </row>
    <row r="247" spans="2:61" s="7" customFormat="1" x14ac:dyDescent="0.25">
      <c r="C247" t="s">
        <v>120</v>
      </c>
      <c r="G247" s="10">
        <v>1262</v>
      </c>
      <c r="H247" s="10">
        <v>1252</v>
      </c>
      <c r="I247" s="10">
        <v>1011</v>
      </c>
      <c r="J247" s="10">
        <v>383</v>
      </c>
      <c r="K247" s="10">
        <v>205</v>
      </c>
      <c r="L247" s="10">
        <v>131</v>
      </c>
      <c r="M247" s="10">
        <v>103</v>
      </c>
      <c r="N247" s="10">
        <v>96</v>
      </c>
      <c r="O247" s="10">
        <v>98</v>
      </c>
      <c r="P247" s="10">
        <v>49</v>
      </c>
      <c r="Q247" s="10">
        <f>Q246/30</f>
        <v>58.033333333333331</v>
      </c>
      <c r="R247" s="10">
        <f>R246/31</f>
        <v>106.87096774193549</v>
      </c>
      <c r="S247" s="10">
        <f>S246/31</f>
        <v>147.93548387096774</v>
      </c>
      <c r="T247" s="10">
        <f>T246/28</f>
        <v>106.25</v>
      </c>
      <c r="U247" s="10">
        <f>U246/31</f>
        <v>92.225806451612897</v>
      </c>
      <c r="V247" s="6"/>
      <c r="W247" s="6"/>
      <c r="X247" s="6"/>
      <c r="Y247" s="6"/>
    </row>
    <row r="248" spans="2:61" x14ac:dyDescent="0.25">
      <c r="C248" t="s">
        <v>114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/>
      <c r="W248" s="6"/>
      <c r="X248" s="6"/>
      <c r="Y248" s="6"/>
    </row>
    <row r="249" spans="2:61" hidden="1" x14ac:dyDescent="0.25">
      <c r="C249" t="s">
        <v>121</v>
      </c>
      <c r="G249" s="10">
        <v>132721</v>
      </c>
      <c r="H249" s="10">
        <v>115807</v>
      </c>
      <c r="I249" s="10">
        <v>90142</v>
      </c>
      <c r="J249" s="10">
        <v>55602</v>
      </c>
      <c r="K249" s="10">
        <v>27554</v>
      </c>
      <c r="L249" s="10">
        <v>13514</v>
      </c>
      <c r="M249" s="10">
        <v>12831</v>
      </c>
      <c r="N249" s="10">
        <v>12955</v>
      </c>
      <c r="O249" s="10">
        <v>16472</v>
      </c>
      <c r="P249" s="10">
        <v>26930</v>
      </c>
      <c r="Q249" s="10">
        <v>29299</v>
      </c>
      <c r="R249" s="10">
        <v>39477</v>
      </c>
      <c r="S249" s="10">
        <v>17185</v>
      </c>
      <c r="T249" s="10">
        <v>7227</v>
      </c>
      <c r="U249" s="10">
        <v>2998</v>
      </c>
      <c r="V249" s="6"/>
      <c r="W249" s="6"/>
      <c r="X249" s="6"/>
      <c r="Y249" s="6"/>
    </row>
    <row r="250" spans="2:61" s="7" customFormat="1" x14ac:dyDescent="0.25">
      <c r="C250" t="s">
        <v>121</v>
      </c>
      <c r="G250" s="10">
        <f>G249/31</f>
        <v>4281.322580645161</v>
      </c>
      <c r="H250" s="10">
        <v>4113</v>
      </c>
      <c r="I250" s="10">
        <f>I249/31</f>
        <v>2907.8064516129034</v>
      </c>
      <c r="J250" s="10">
        <f>J249/30</f>
        <v>1853.4</v>
      </c>
      <c r="K250" s="10">
        <f>K249/31</f>
        <v>888.83870967741939</v>
      </c>
      <c r="L250" s="10">
        <f>L249/30</f>
        <v>450.46666666666664</v>
      </c>
      <c r="M250" s="10">
        <f>M249/31</f>
        <v>413.90322580645159</v>
      </c>
      <c r="N250" s="10">
        <f>N249/31</f>
        <v>417.90322580645159</v>
      </c>
      <c r="O250" s="10">
        <f>O249/30</f>
        <v>549.06666666666672</v>
      </c>
      <c r="P250" s="10">
        <f>P249/31</f>
        <v>868.70967741935488</v>
      </c>
      <c r="Q250" s="10">
        <f>Q249/30</f>
        <v>976.63333333333333</v>
      </c>
      <c r="R250" s="10">
        <f>R249/31</f>
        <v>1273.4516129032259</v>
      </c>
      <c r="S250" s="10">
        <f>S249/31</f>
        <v>554.35483870967744</v>
      </c>
      <c r="T250" s="10">
        <f>T249/28</f>
        <v>258.10714285714283</v>
      </c>
      <c r="U250" s="10">
        <f>U249/31</f>
        <v>96.709677419354833</v>
      </c>
      <c r="V250" s="6"/>
      <c r="W250" s="6"/>
      <c r="X250" s="6"/>
      <c r="Y250" s="6"/>
    </row>
    <row r="251" spans="2:61" x14ac:dyDescent="0.25">
      <c r="C251" t="s">
        <v>114</v>
      </c>
      <c r="G251" s="6">
        <v>6580</v>
      </c>
      <c r="H251" s="6">
        <v>6580</v>
      </c>
      <c r="I251" s="6">
        <v>6580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/>
      <c r="W251" s="6"/>
      <c r="X251" s="6"/>
      <c r="Y251" s="6"/>
    </row>
    <row r="252" spans="2:61" x14ac:dyDescent="0.25">
      <c r="C252" t="s">
        <v>3</v>
      </c>
      <c r="G252" s="5" t="s">
        <v>101</v>
      </c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2:61" x14ac:dyDescent="0.25"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2:61" x14ac:dyDescent="0.25">
      <c r="B254" s="3" t="s">
        <v>28</v>
      </c>
      <c r="C254" s="3" t="s">
        <v>34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2:61" x14ac:dyDescent="0.25"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2:61" hidden="1" x14ac:dyDescent="0.25">
      <c r="C256" t="s">
        <v>120</v>
      </c>
      <c r="G256" s="10">
        <v>222724</v>
      </c>
      <c r="H256" s="10">
        <v>201032</v>
      </c>
      <c r="I256" s="10">
        <v>167984</v>
      </c>
      <c r="J256" s="10">
        <v>44275</v>
      </c>
      <c r="K256" s="10">
        <v>37715</v>
      </c>
      <c r="L256" s="10">
        <v>22572</v>
      </c>
      <c r="M256" s="10">
        <v>16852</v>
      </c>
      <c r="N256" s="10">
        <v>18854</v>
      </c>
      <c r="O256" s="10">
        <v>18227</v>
      </c>
      <c r="P256" s="10">
        <v>16068</v>
      </c>
      <c r="Q256" s="10">
        <v>27329</v>
      </c>
      <c r="R256" s="10">
        <v>34334</v>
      </c>
      <c r="S256" s="10">
        <v>13265</v>
      </c>
      <c r="T256" s="10">
        <v>13678</v>
      </c>
      <c r="U256" s="10">
        <v>13228</v>
      </c>
      <c r="V256" s="6"/>
      <c r="W256" s="6"/>
      <c r="X256" s="6"/>
      <c r="Y256" s="6"/>
    </row>
    <row r="257" spans="2:25" s="7" customFormat="1" x14ac:dyDescent="0.25">
      <c r="C257" t="s">
        <v>120</v>
      </c>
      <c r="G257" s="10">
        <v>6911</v>
      </c>
      <c r="H257" s="10">
        <v>7058</v>
      </c>
      <c r="I257" s="10">
        <v>5505</v>
      </c>
      <c r="J257" s="10">
        <v>1421</v>
      </c>
      <c r="K257" s="10">
        <v>1184</v>
      </c>
      <c r="L257" s="10">
        <v>740</v>
      </c>
      <c r="M257" s="10">
        <v>542</v>
      </c>
      <c r="N257" s="10">
        <v>612</v>
      </c>
      <c r="O257" s="10">
        <v>614</v>
      </c>
      <c r="P257" s="10">
        <v>504</v>
      </c>
      <c r="Q257" s="10">
        <v>944</v>
      </c>
      <c r="R257" s="10">
        <v>1155</v>
      </c>
      <c r="S257" s="10">
        <v>488</v>
      </c>
      <c r="T257" s="10">
        <v>544</v>
      </c>
      <c r="U257" s="10">
        <v>468</v>
      </c>
      <c r="V257" s="6"/>
      <c r="W257" s="6"/>
      <c r="X257" s="6"/>
      <c r="Y257" s="6"/>
    </row>
    <row r="258" spans="2:25" x14ac:dyDescent="0.25">
      <c r="C258" t="s">
        <v>114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/>
      <c r="W258" s="6"/>
      <c r="X258" s="6"/>
      <c r="Y258" s="6"/>
    </row>
    <row r="259" spans="2:25" hidden="1" x14ac:dyDescent="0.25">
      <c r="C259" t="s">
        <v>121</v>
      </c>
      <c r="G259" s="10">
        <v>145808</v>
      </c>
      <c r="H259" s="10">
        <v>127616</v>
      </c>
      <c r="I259" s="10">
        <v>99472</v>
      </c>
      <c r="J259" s="10">
        <v>61130</v>
      </c>
      <c r="K259" s="10">
        <v>30303</v>
      </c>
      <c r="L259" s="10">
        <v>15129</v>
      </c>
      <c r="M259" s="10">
        <v>14164</v>
      </c>
      <c r="N259" s="10">
        <v>14285</v>
      </c>
      <c r="O259" s="10">
        <v>18044</v>
      </c>
      <c r="P259" s="10">
        <v>29920</v>
      </c>
      <c r="Q259" s="10">
        <v>33050</v>
      </c>
      <c r="R259" s="10">
        <v>44541</v>
      </c>
      <c r="S259" s="10">
        <v>20795</v>
      </c>
      <c r="T259" s="10">
        <v>9319</v>
      </c>
      <c r="U259" s="10">
        <v>4226</v>
      </c>
      <c r="V259" s="6"/>
      <c r="W259" s="6"/>
      <c r="X259" s="6"/>
      <c r="Y259" s="6"/>
    </row>
    <row r="260" spans="2:25" s="7" customFormat="1" x14ac:dyDescent="0.25">
      <c r="C260" t="s">
        <v>121</v>
      </c>
      <c r="G260" s="10">
        <f>G259/31</f>
        <v>4703.4838709677415</v>
      </c>
      <c r="H260" s="10">
        <v>4533</v>
      </c>
      <c r="I260" s="10">
        <f>I259/31</f>
        <v>3208.7741935483873</v>
      </c>
      <c r="J260" s="10">
        <f>J259/30</f>
        <v>2037.6666666666667</v>
      </c>
      <c r="K260" s="10">
        <f>K259/31</f>
        <v>977.51612903225805</v>
      </c>
      <c r="L260" s="10">
        <f>L259/30</f>
        <v>504.3</v>
      </c>
      <c r="M260" s="10">
        <f>M259/31</f>
        <v>456.90322580645159</v>
      </c>
      <c r="N260" s="10">
        <f>N259/31</f>
        <v>460.80645161290323</v>
      </c>
      <c r="O260" s="10">
        <f>O259/30</f>
        <v>601.4666666666667</v>
      </c>
      <c r="P260" s="10">
        <f>P259/31</f>
        <v>965.16129032258061</v>
      </c>
      <c r="Q260" s="10">
        <f>Q259/30</f>
        <v>1101.6666666666667</v>
      </c>
      <c r="R260" s="10">
        <f>R259/31</f>
        <v>1436.8064516129032</v>
      </c>
      <c r="S260" s="10">
        <f>S259/31</f>
        <v>670.80645161290317</v>
      </c>
      <c r="T260" s="10">
        <f>T259/28</f>
        <v>332.82142857142856</v>
      </c>
      <c r="U260" s="10">
        <f>U259/31</f>
        <v>136.32258064516128</v>
      </c>
      <c r="V260" s="6"/>
      <c r="W260" s="6"/>
      <c r="X260" s="6"/>
      <c r="Y260" s="6"/>
    </row>
    <row r="261" spans="2:25" x14ac:dyDescent="0.25">
      <c r="C261" t="s">
        <v>114</v>
      </c>
      <c r="G261" s="6">
        <v>7317</v>
      </c>
      <c r="H261" s="6">
        <v>7317</v>
      </c>
      <c r="I261" s="6">
        <v>7317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/>
      <c r="W261" s="6"/>
      <c r="X261" s="6"/>
      <c r="Y261" s="6"/>
    </row>
    <row r="262" spans="2:25" x14ac:dyDescent="0.25">
      <c r="C262" t="s">
        <v>3</v>
      </c>
      <c r="G262" s="5" t="s">
        <v>102</v>
      </c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2:25" x14ac:dyDescent="0.25"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2:25" x14ac:dyDescent="0.25">
      <c r="B264" s="3" t="s">
        <v>28</v>
      </c>
      <c r="C264" s="3" t="s">
        <v>35</v>
      </c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2:25" x14ac:dyDescent="0.25"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2:25" hidden="1" x14ac:dyDescent="0.25">
      <c r="C266" t="s">
        <v>120</v>
      </c>
      <c r="G266" s="10">
        <f>267012+100000</f>
        <v>367012</v>
      </c>
      <c r="H266" s="10">
        <f>291828+50000</f>
        <v>341828</v>
      </c>
      <c r="I266" s="10">
        <v>299151</v>
      </c>
      <c r="J266" s="10">
        <v>159628</v>
      </c>
      <c r="K266" s="10">
        <v>111260</v>
      </c>
      <c r="L266" s="10">
        <v>109750</v>
      </c>
      <c r="M266" s="10">
        <v>97026</v>
      </c>
      <c r="N266" s="10">
        <v>101044</v>
      </c>
      <c r="O266" s="10">
        <v>101689</v>
      </c>
      <c r="P266" s="10">
        <v>109668</v>
      </c>
      <c r="Q266" s="10">
        <v>10877</v>
      </c>
      <c r="R266" s="10">
        <v>11672</v>
      </c>
      <c r="S266" s="10">
        <v>13011</v>
      </c>
      <c r="T266" s="10">
        <v>9726</v>
      </c>
      <c r="U266" s="10">
        <v>8507</v>
      </c>
      <c r="V266" s="6"/>
      <c r="W266" s="6"/>
      <c r="X266" s="6"/>
    </row>
    <row r="267" spans="2:25" s="7" customFormat="1" x14ac:dyDescent="0.25">
      <c r="C267" t="s">
        <v>120</v>
      </c>
      <c r="G267" s="10">
        <v>10837</v>
      </c>
      <c r="H267" s="10">
        <v>10768</v>
      </c>
      <c r="I267" s="10">
        <v>8759</v>
      </c>
      <c r="J267" s="10">
        <v>4988</v>
      </c>
      <c r="K267" s="10">
        <v>4540</v>
      </c>
      <c r="L267" s="10">
        <v>4617</v>
      </c>
      <c r="M267" s="10">
        <v>4044</v>
      </c>
      <c r="N267" s="10">
        <v>4178</v>
      </c>
      <c r="O267" s="10">
        <v>4006</v>
      </c>
      <c r="P267" s="10">
        <v>3458</v>
      </c>
      <c r="Q267" s="10">
        <v>267</v>
      </c>
      <c r="R267" s="10">
        <v>255</v>
      </c>
      <c r="S267" s="10">
        <v>298</v>
      </c>
      <c r="T267" s="10">
        <v>214</v>
      </c>
      <c r="U267" s="10">
        <v>148</v>
      </c>
      <c r="V267" s="6"/>
      <c r="W267" s="6"/>
      <c r="X267" s="6"/>
    </row>
    <row r="268" spans="2:25" x14ac:dyDescent="0.25">
      <c r="C268" t="s">
        <v>114</v>
      </c>
      <c r="G268" s="6">
        <v>2000</v>
      </c>
      <c r="H268" s="6">
        <v>2000</v>
      </c>
      <c r="I268" s="6">
        <v>2000</v>
      </c>
      <c r="J268" s="6">
        <v>2000</v>
      </c>
      <c r="K268" s="6">
        <v>2000</v>
      </c>
      <c r="L268" s="6">
        <v>2000</v>
      </c>
      <c r="M268" s="6">
        <v>2000</v>
      </c>
      <c r="N268" s="6">
        <v>2000</v>
      </c>
      <c r="O268" s="6">
        <v>2000</v>
      </c>
      <c r="P268" s="6">
        <v>2000</v>
      </c>
      <c r="Q268" s="6">
        <v>2000</v>
      </c>
      <c r="R268" s="6">
        <v>2000</v>
      </c>
      <c r="S268" s="6">
        <v>0</v>
      </c>
      <c r="T268" s="6">
        <v>0</v>
      </c>
      <c r="U268" s="6">
        <v>0</v>
      </c>
      <c r="V268" s="6"/>
      <c r="W268" s="6"/>
      <c r="X268" s="6"/>
    </row>
    <row r="269" spans="2:25" hidden="1" x14ac:dyDescent="0.25">
      <c r="C269" t="s">
        <v>121</v>
      </c>
      <c r="G269" s="10">
        <v>172714</v>
      </c>
      <c r="H269" s="10">
        <v>151457</v>
      </c>
      <c r="I269" s="10">
        <v>118160</v>
      </c>
      <c r="J269" s="10">
        <v>72444</v>
      </c>
      <c r="K269" s="10">
        <v>35919</v>
      </c>
      <c r="L269" s="10">
        <v>18133</v>
      </c>
      <c r="M269" s="10">
        <v>16828</v>
      </c>
      <c r="N269" s="10">
        <v>16961</v>
      </c>
      <c r="O269" s="10">
        <v>21336</v>
      </c>
      <c r="P269" s="10">
        <v>35693</v>
      </c>
      <c r="Q269" s="10">
        <v>39795</v>
      </c>
      <c r="R269" s="10">
        <v>53638</v>
      </c>
      <c r="S269" s="10">
        <v>26067</v>
      </c>
      <c r="T269" s="10">
        <v>12071</v>
      </c>
      <c r="U269" s="10">
        <v>5705</v>
      </c>
      <c r="V269" s="6"/>
      <c r="W269" s="6"/>
      <c r="X269" s="6"/>
    </row>
    <row r="270" spans="2:25" s="7" customFormat="1" x14ac:dyDescent="0.25">
      <c r="C270" t="s">
        <v>121</v>
      </c>
      <c r="G270" s="10">
        <f>G269/31</f>
        <v>5571.4193548387093</v>
      </c>
      <c r="H270" s="10">
        <v>5379</v>
      </c>
      <c r="I270" s="10">
        <f>I269/31</f>
        <v>3811.6129032258063</v>
      </c>
      <c r="J270" s="10">
        <f>J269/30</f>
        <v>2414.8000000000002</v>
      </c>
      <c r="K270" s="10">
        <f>K269/31</f>
        <v>1158.6774193548388</v>
      </c>
      <c r="L270" s="10">
        <f>L269/30</f>
        <v>604.43333333333328</v>
      </c>
      <c r="M270" s="10">
        <f>M269/31</f>
        <v>542.83870967741939</v>
      </c>
      <c r="N270" s="10">
        <f>N269/31</f>
        <v>547.12903225806451</v>
      </c>
      <c r="O270" s="10">
        <f>O269/30</f>
        <v>711.2</v>
      </c>
      <c r="P270" s="10">
        <f>P269/31</f>
        <v>1151.3870967741937</v>
      </c>
      <c r="Q270" s="10">
        <f>Q269/30</f>
        <v>1326.5</v>
      </c>
      <c r="R270" s="10">
        <f>R269/31</f>
        <v>1730.258064516129</v>
      </c>
      <c r="S270" s="10">
        <f>S269/31</f>
        <v>840.87096774193549</v>
      </c>
      <c r="T270" s="10">
        <f>T269/28</f>
        <v>431.10714285714283</v>
      </c>
      <c r="U270" s="10">
        <f>U269/31</f>
        <v>184.03225806451613</v>
      </c>
      <c r="V270" s="6"/>
      <c r="W270" s="6"/>
      <c r="X270" s="6"/>
    </row>
    <row r="271" spans="2:25" x14ac:dyDescent="0.25">
      <c r="C271" t="s">
        <v>114</v>
      </c>
      <c r="G271" s="6">
        <v>8691</v>
      </c>
      <c r="H271" s="6">
        <v>8691</v>
      </c>
      <c r="I271" s="6">
        <v>8691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/>
      <c r="W271" s="6"/>
      <c r="X271" s="6"/>
    </row>
    <row r="272" spans="2:25" x14ac:dyDescent="0.25">
      <c r="C272" t="s">
        <v>3</v>
      </c>
      <c r="G272" s="5" t="s">
        <v>102</v>
      </c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2:29" x14ac:dyDescent="0.25"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2:29" x14ac:dyDescent="0.25">
      <c r="B274" s="3" t="s">
        <v>36</v>
      </c>
      <c r="C274" s="3" t="s">
        <v>37</v>
      </c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2:29" x14ac:dyDescent="0.25"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2:29" hidden="1" x14ac:dyDescent="0.25">
      <c r="C276" t="s">
        <v>120</v>
      </c>
      <c r="G276" s="10">
        <f>30297+3250+279</f>
        <v>33826</v>
      </c>
      <c r="H276" s="10">
        <f>25044+2500+261</f>
        <v>27805</v>
      </c>
      <c r="I276" s="10">
        <f>18609+3340+279</f>
        <v>22228</v>
      </c>
      <c r="J276" s="10">
        <v>23882</v>
      </c>
      <c r="K276" s="10">
        <v>27128</v>
      </c>
      <c r="L276" s="10">
        <v>14670</v>
      </c>
      <c r="M276" s="10">
        <v>13796</v>
      </c>
      <c r="N276" s="10">
        <v>7989</v>
      </c>
      <c r="O276" s="10">
        <v>7739</v>
      </c>
      <c r="P276" s="10">
        <v>7739</v>
      </c>
      <c r="Q276" s="10">
        <v>6009</v>
      </c>
      <c r="R276" s="6">
        <v>0</v>
      </c>
      <c r="S276" s="6">
        <v>0</v>
      </c>
      <c r="T276" s="6">
        <v>0</v>
      </c>
      <c r="U276" s="6">
        <v>0</v>
      </c>
      <c r="V276" s="6"/>
      <c r="W276" s="6"/>
      <c r="X276" s="6"/>
      <c r="Y276" s="6"/>
      <c r="Z276" s="6"/>
      <c r="AA276" s="6"/>
      <c r="AB276" s="6"/>
      <c r="AC276" s="6"/>
    </row>
    <row r="277" spans="2:29" s="7" customFormat="1" x14ac:dyDescent="0.25">
      <c r="C277" t="s">
        <v>120</v>
      </c>
      <c r="G277" s="10">
        <v>1082</v>
      </c>
      <c r="H277" s="10">
        <v>1041</v>
      </c>
      <c r="I277" s="10">
        <v>772</v>
      </c>
      <c r="J277" s="10">
        <v>686</v>
      </c>
      <c r="K277" s="10">
        <v>740</v>
      </c>
      <c r="L277" s="10">
        <f>L276/30</f>
        <v>489</v>
      </c>
      <c r="M277" s="10">
        <f>M276/31</f>
        <v>445.03225806451616</v>
      </c>
      <c r="N277" s="10">
        <f>N276/31</f>
        <v>257.70967741935482</v>
      </c>
      <c r="O277" s="10">
        <f>O276/30</f>
        <v>257.96666666666664</v>
      </c>
      <c r="P277" s="10">
        <f>P276/31</f>
        <v>249.64516129032259</v>
      </c>
      <c r="Q277" s="10">
        <f>Q276/30</f>
        <v>200.3</v>
      </c>
      <c r="R277" s="10">
        <f>R276/31</f>
        <v>0</v>
      </c>
      <c r="S277" s="10">
        <f>S276/31</f>
        <v>0</v>
      </c>
      <c r="T277" s="10">
        <f>T276/28</f>
        <v>0</v>
      </c>
      <c r="U277" s="10">
        <f>U276/31</f>
        <v>0</v>
      </c>
      <c r="V277" s="6"/>
      <c r="W277" s="6"/>
      <c r="X277" s="6"/>
      <c r="Y277" s="6"/>
      <c r="Z277" s="6"/>
      <c r="AA277" s="6"/>
      <c r="AB277" s="6"/>
      <c r="AC277" s="6"/>
    </row>
    <row r="278" spans="2:29" x14ac:dyDescent="0.25">
      <c r="C278" t="s">
        <v>114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/>
      <c r="W278" s="6"/>
      <c r="X278" s="6"/>
      <c r="Y278" s="6"/>
      <c r="Z278" s="6"/>
      <c r="AA278" s="6"/>
      <c r="AB278" s="6"/>
      <c r="AC278" s="6"/>
    </row>
    <row r="279" spans="2:29" hidden="1" x14ac:dyDescent="0.25">
      <c r="C279" t="s">
        <v>121</v>
      </c>
      <c r="G279" s="10">
        <f>88+1039+1045+129</f>
        <v>2301</v>
      </c>
      <c r="H279" s="10">
        <f>79+937+1044+128</f>
        <v>2188</v>
      </c>
      <c r="I279" s="10">
        <f>82+1035+1044+128</f>
        <v>2289</v>
      </c>
      <c r="J279" s="10">
        <f>78+1001+1044+127</f>
        <v>2250</v>
      </c>
      <c r="K279" s="10">
        <f>79+1019+1044+127</f>
        <v>2269</v>
      </c>
      <c r="L279" s="10">
        <f>77+981+32+126</f>
        <v>1216</v>
      </c>
      <c r="M279" s="10">
        <f>79+1012+32+126</f>
        <v>1249</v>
      </c>
      <c r="N279" s="10">
        <f>79+1007+32+125</f>
        <v>1243</v>
      </c>
      <c r="O279" s="10">
        <f>74+970+32+125</f>
        <v>1201</v>
      </c>
      <c r="P279" s="10">
        <f>76+997+32+124</f>
        <v>1229</v>
      </c>
      <c r="Q279" s="10">
        <f>73+960+32</f>
        <v>1065</v>
      </c>
      <c r="R279" s="10">
        <f>76+775+32</f>
        <v>883</v>
      </c>
      <c r="S279" s="10">
        <f>69+768</f>
        <v>837</v>
      </c>
      <c r="T279" s="10">
        <f>58+690</f>
        <v>748</v>
      </c>
      <c r="U279" s="10">
        <f>63+529</f>
        <v>592</v>
      </c>
      <c r="V279" s="6"/>
      <c r="W279" s="6"/>
      <c r="X279" s="6"/>
      <c r="Y279" s="6"/>
      <c r="Z279" s="6"/>
      <c r="AA279" s="6"/>
      <c r="AB279" s="6"/>
      <c r="AC279" s="6"/>
    </row>
    <row r="280" spans="2:29" s="7" customFormat="1" x14ac:dyDescent="0.25">
      <c r="C280" t="s">
        <v>121</v>
      </c>
      <c r="G280" s="10">
        <f>G279/31</f>
        <v>74.225806451612897</v>
      </c>
      <c r="H280" s="10">
        <v>78</v>
      </c>
      <c r="I280" s="10">
        <f>I279/31</f>
        <v>73.838709677419359</v>
      </c>
      <c r="J280" s="10">
        <f>J279/30</f>
        <v>75</v>
      </c>
      <c r="K280" s="10">
        <f>K279/31</f>
        <v>73.193548387096769</v>
      </c>
      <c r="L280" s="10">
        <f>L279/30</f>
        <v>40.533333333333331</v>
      </c>
      <c r="M280" s="10">
        <f>M279/31</f>
        <v>40.29032258064516</v>
      </c>
      <c r="N280" s="10">
        <f>N279/31</f>
        <v>40.096774193548384</v>
      </c>
      <c r="O280" s="10">
        <f>O279/30</f>
        <v>40.033333333333331</v>
      </c>
      <c r="P280" s="10">
        <f>P279/31</f>
        <v>39.645161290322584</v>
      </c>
      <c r="Q280" s="10">
        <f>Q279/30</f>
        <v>35.5</v>
      </c>
      <c r="R280" s="10">
        <f>R279/31</f>
        <v>28.483870967741936</v>
      </c>
      <c r="S280" s="10">
        <f>S279/31</f>
        <v>27</v>
      </c>
      <c r="T280" s="10">
        <f>T279/28</f>
        <v>26.714285714285715</v>
      </c>
      <c r="U280" s="10">
        <f>U279/31</f>
        <v>19.096774193548388</v>
      </c>
      <c r="V280" s="6"/>
      <c r="W280" s="6"/>
      <c r="X280" s="6"/>
      <c r="Y280" s="6"/>
      <c r="Z280" s="6"/>
      <c r="AA280" s="6"/>
      <c r="AB280" s="6"/>
      <c r="AC280" s="6"/>
    </row>
    <row r="281" spans="2:29" x14ac:dyDescent="0.25">
      <c r="C281" t="s">
        <v>114</v>
      </c>
      <c r="G281" s="6">
        <v>81</v>
      </c>
      <c r="H281" s="6">
        <v>80</v>
      </c>
      <c r="I281" s="6">
        <v>79</v>
      </c>
      <c r="J281" s="6">
        <v>75</v>
      </c>
      <c r="K281" s="6">
        <v>75</v>
      </c>
      <c r="L281" s="6">
        <v>59</v>
      </c>
      <c r="M281" s="6">
        <v>59</v>
      </c>
      <c r="N281" s="6">
        <v>58</v>
      </c>
      <c r="O281" s="6">
        <v>55</v>
      </c>
      <c r="P281" s="6">
        <v>54</v>
      </c>
      <c r="Q281" s="6">
        <v>1</v>
      </c>
      <c r="R281" s="6">
        <v>0</v>
      </c>
      <c r="S281" s="6">
        <v>0</v>
      </c>
      <c r="T281" s="6">
        <v>0</v>
      </c>
      <c r="U281" s="6">
        <v>0</v>
      </c>
      <c r="V281" s="6"/>
      <c r="W281" s="6"/>
      <c r="X281" s="6"/>
      <c r="Y281" s="6"/>
      <c r="Z281" s="6"/>
      <c r="AA281" s="6"/>
      <c r="AB281" s="6"/>
      <c r="AC281" s="6"/>
    </row>
    <row r="282" spans="2:29" x14ac:dyDescent="0.25">
      <c r="C282" t="s">
        <v>3</v>
      </c>
      <c r="G282" s="5" t="s">
        <v>103</v>
      </c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2:29" x14ac:dyDescent="0.25"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2:29" x14ac:dyDescent="0.25">
      <c r="B284" s="3" t="s">
        <v>36</v>
      </c>
      <c r="C284" s="3" t="s">
        <v>38</v>
      </c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2:29" x14ac:dyDescent="0.25"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2:29" hidden="1" x14ac:dyDescent="0.25">
      <c r="C286" t="s">
        <v>120</v>
      </c>
      <c r="G286" s="8">
        <v>4805</v>
      </c>
      <c r="H286" s="8">
        <v>6151</v>
      </c>
      <c r="I286" s="8">
        <v>5549</v>
      </c>
      <c r="J286" s="8">
        <v>2520</v>
      </c>
      <c r="K286" s="8">
        <v>620</v>
      </c>
      <c r="L286" s="8">
        <v>360</v>
      </c>
      <c r="M286" s="8">
        <v>155</v>
      </c>
      <c r="N286" s="8">
        <v>155</v>
      </c>
      <c r="O286" s="8">
        <v>150</v>
      </c>
      <c r="P286" s="8">
        <v>1333</v>
      </c>
      <c r="Q286" s="8">
        <v>240</v>
      </c>
      <c r="R286" s="8">
        <v>279</v>
      </c>
      <c r="S286" s="8">
        <v>279</v>
      </c>
      <c r="T286" s="8">
        <v>252</v>
      </c>
      <c r="U286" s="8">
        <v>279</v>
      </c>
    </row>
    <row r="287" spans="2:29" s="7" customFormat="1" x14ac:dyDescent="0.25">
      <c r="C287" t="s">
        <v>120</v>
      </c>
      <c r="G287" s="9">
        <f>G286/31</f>
        <v>155</v>
      </c>
      <c r="H287" s="9">
        <f>H286/29</f>
        <v>212.10344827586206</v>
      </c>
      <c r="I287" s="9">
        <f>I286/31</f>
        <v>179</v>
      </c>
      <c r="J287" s="9">
        <f>J286/30</f>
        <v>84</v>
      </c>
      <c r="K287" s="9">
        <f>K286/31</f>
        <v>20</v>
      </c>
      <c r="L287" s="9">
        <f>L286/30</f>
        <v>12</v>
      </c>
      <c r="M287" s="9">
        <f>M286/31</f>
        <v>5</v>
      </c>
      <c r="N287" s="9">
        <f>N286/31</f>
        <v>5</v>
      </c>
      <c r="O287" s="9">
        <f>O286/30</f>
        <v>5</v>
      </c>
      <c r="P287" s="9">
        <f>P286/31</f>
        <v>43</v>
      </c>
      <c r="Q287" s="9">
        <f>Q286/30</f>
        <v>8</v>
      </c>
      <c r="R287" s="9">
        <f>R286/31</f>
        <v>9</v>
      </c>
      <c r="S287" s="9">
        <f>S286/31</f>
        <v>9</v>
      </c>
      <c r="T287" s="9">
        <f>T286/28</f>
        <v>9</v>
      </c>
      <c r="U287" s="9">
        <f>U286/31</f>
        <v>9</v>
      </c>
    </row>
    <row r="288" spans="2:29" x14ac:dyDescent="0.25">
      <c r="C288" t="s">
        <v>114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</row>
    <row r="289" spans="2:28" x14ac:dyDescent="0.25">
      <c r="C289" t="s">
        <v>121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</row>
    <row r="290" spans="2:28" x14ac:dyDescent="0.25">
      <c r="C290" t="s">
        <v>114</v>
      </c>
      <c r="G290" s="6">
        <v>211</v>
      </c>
      <c r="H290" s="6">
        <v>210</v>
      </c>
      <c r="I290" s="6">
        <v>209</v>
      </c>
      <c r="J290" s="6">
        <v>185</v>
      </c>
      <c r="K290" s="6">
        <v>185</v>
      </c>
      <c r="L290" s="6">
        <v>98</v>
      </c>
      <c r="M290" s="6">
        <v>97</v>
      </c>
      <c r="N290" s="6">
        <v>89</v>
      </c>
      <c r="O290" s="6">
        <v>66</v>
      </c>
      <c r="P290" s="6">
        <v>64</v>
      </c>
      <c r="Q290" s="6">
        <v>1</v>
      </c>
      <c r="R290" s="6">
        <v>0</v>
      </c>
      <c r="S290" s="6">
        <v>0</v>
      </c>
      <c r="T290" s="6">
        <v>0</v>
      </c>
      <c r="U290" s="6">
        <v>0</v>
      </c>
    </row>
    <row r="291" spans="2:28" x14ac:dyDescent="0.25">
      <c r="C291" t="s">
        <v>3</v>
      </c>
      <c r="G291" s="5" t="s">
        <v>104</v>
      </c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2:28" x14ac:dyDescent="0.25"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2:28" x14ac:dyDescent="0.25">
      <c r="B293" s="3" t="s">
        <v>36</v>
      </c>
      <c r="C293" s="3" t="s">
        <v>39</v>
      </c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2:28" x14ac:dyDescent="0.25"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2:28" hidden="1" x14ac:dyDescent="0.25">
      <c r="C295" t="s">
        <v>120</v>
      </c>
      <c r="G295" s="8">
        <v>3441</v>
      </c>
      <c r="H295" s="8">
        <v>3569</v>
      </c>
      <c r="I295" s="8">
        <v>2821</v>
      </c>
      <c r="J295" s="8">
        <v>3930</v>
      </c>
      <c r="K295" s="8">
        <v>3224</v>
      </c>
      <c r="L295" s="8">
        <v>1950</v>
      </c>
      <c r="M295" s="8">
        <v>1457</v>
      </c>
      <c r="N295" s="8">
        <v>1457</v>
      </c>
      <c r="O295" s="8">
        <v>1680</v>
      </c>
      <c r="P295" s="8">
        <v>2511</v>
      </c>
      <c r="Q295" s="8">
        <v>3810</v>
      </c>
      <c r="R295" s="8">
        <v>3441</v>
      </c>
      <c r="S295" s="8">
        <v>3069</v>
      </c>
      <c r="T295" s="8">
        <v>3612</v>
      </c>
      <c r="U295" s="8">
        <v>2759</v>
      </c>
    </row>
    <row r="296" spans="2:28" s="7" customFormat="1" x14ac:dyDescent="0.25">
      <c r="C296" t="s">
        <v>120</v>
      </c>
      <c r="G296" s="9">
        <v>202</v>
      </c>
      <c r="H296" s="9">
        <v>221</v>
      </c>
      <c r="I296" s="9">
        <v>151</v>
      </c>
      <c r="J296" s="9">
        <f>J295/30</f>
        <v>131</v>
      </c>
      <c r="K296" s="9">
        <f>K295/31</f>
        <v>104</v>
      </c>
      <c r="L296" s="9">
        <f>L295/30</f>
        <v>65</v>
      </c>
      <c r="M296" s="9">
        <f>M295/31</f>
        <v>47</v>
      </c>
      <c r="N296" s="9">
        <f>N295/31</f>
        <v>47</v>
      </c>
      <c r="O296" s="9">
        <f>O295/30</f>
        <v>56</v>
      </c>
      <c r="P296" s="9">
        <f>P295/31</f>
        <v>81</v>
      </c>
      <c r="Q296" s="9">
        <f>Q295/30</f>
        <v>127</v>
      </c>
      <c r="R296" s="9">
        <f>R295/31</f>
        <v>111</v>
      </c>
      <c r="S296" s="9">
        <v>91</v>
      </c>
      <c r="T296" s="9">
        <v>121</v>
      </c>
      <c r="U296" s="9">
        <v>81</v>
      </c>
    </row>
    <row r="297" spans="2:28" x14ac:dyDescent="0.25">
      <c r="C297" t="s">
        <v>114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</row>
    <row r="298" spans="2:28" x14ac:dyDescent="0.25">
      <c r="C298" t="s">
        <v>121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</row>
    <row r="299" spans="2:28" x14ac:dyDescent="0.25">
      <c r="C299" t="s">
        <v>114</v>
      </c>
      <c r="G299" s="6">
        <v>53</v>
      </c>
      <c r="H299" s="6">
        <v>53</v>
      </c>
      <c r="I299" s="6">
        <v>53</v>
      </c>
      <c r="J299" s="6">
        <v>48</v>
      </c>
      <c r="K299" s="6">
        <v>48</v>
      </c>
      <c r="L299" s="6">
        <v>30</v>
      </c>
      <c r="M299" s="6">
        <v>30</v>
      </c>
      <c r="N299" s="6">
        <v>28</v>
      </c>
      <c r="O299" s="6">
        <v>24</v>
      </c>
      <c r="P299" s="6">
        <v>14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</row>
    <row r="300" spans="2:28" x14ac:dyDescent="0.25">
      <c r="C300" t="s">
        <v>3</v>
      </c>
      <c r="G300" s="5" t="s">
        <v>104</v>
      </c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2:28" x14ac:dyDescent="0.25"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2:28" x14ac:dyDescent="0.25">
      <c r="B302" s="3" t="s">
        <v>36</v>
      </c>
      <c r="C302" s="3" t="s">
        <v>40</v>
      </c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2:28" x14ac:dyDescent="0.25"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2:28" hidden="1" x14ac:dyDescent="0.25">
      <c r="C304" t="s">
        <v>120</v>
      </c>
      <c r="G304" s="10">
        <f>50848+223839+92121+18404</f>
        <v>385212</v>
      </c>
      <c r="H304" s="10">
        <f>42304+193190+84886+18607</f>
        <v>338987</v>
      </c>
      <c r="I304" s="10">
        <f>44722+137905+85558+18416</f>
        <v>286601</v>
      </c>
      <c r="J304" s="10">
        <f>59213+184797+18416</f>
        <v>262426</v>
      </c>
      <c r="K304" s="10">
        <f>60976+168780+17679</f>
        <v>247435</v>
      </c>
      <c r="L304" s="10">
        <f>59156+120668+17889</f>
        <v>197713</v>
      </c>
      <c r="M304" s="10">
        <f>61209+100945+16837</f>
        <v>178991</v>
      </c>
      <c r="N304" s="10">
        <f>60769+73364+13158</f>
        <v>147291</v>
      </c>
      <c r="O304" s="10">
        <f>46108+63425</f>
        <v>109533</v>
      </c>
      <c r="P304" s="10">
        <f>3498+63425</f>
        <v>66923</v>
      </c>
      <c r="Q304" s="10">
        <f>1535+55711</f>
        <v>57246</v>
      </c>
      <c r="R304" s="10">
        <f>2+3472</f>
        <v>3474</v>
      </c>
      <c r="S304" s="10">
        <f>24+4350</f>
        <v>4374</v>
      </c>
      <c r="T304" s="10">
        <v>4613</v>
      </c>
      <c r="U304" s="10">
        <v>3171</v>
      </c>
      <c r="V304" s="6"/>
      <c r="W304" s="6"/>
      <c r="X304" s="6"/>
      <c r="Y304" s="6"/>
      <c r="Z304" s="6"/>
      <c r="AA304" s="6"/>
      <c r="AB304" s="6"/>
    </row>
    <row r="305" spans="2:36" s="7" customFormat="1" x14ac:dyDescent="0.25">
      <c r="C305" t="s">
        <v>120</v>
      </c>
      <c r="G305" s="10">
        <v>11758</v>
      </c>
      <c r="H305" s="10">
        <v>14707</v>
      </c>
      <c r="I305" s="10">
        <v>12035</v>
      </c>
      <c r="J305" s="10">
        <v>9724</v>
      </c>
      <c r="K305" s="10">
        <v>8792</v>
      </c>
      <c r="L305" s="10">
        <v>7652</v>
      </c>
      <c r="M305" s="10">
        <v>6776</v>
      </c>
      <c r="N305" s="10">
        <v>5333</v>
      </c>
      <c r="O305" s="10">
        <v>4297</v>
      </c>
      <c r="P305" s="10">
        <v>2131</v>
      </c>
      <c r="Q305" s="10">
        <v>1670</v>
      </c>
      <c r="R305" s="10">
        <f>R304/31</f>
        <v>112.06451612903226</v>
      </c>
      <c r="S305" s="10">
        <f>S304/31</f>
        <v>141.09677419354838</v>
      </c>
      <c r="T305" s="10">
        <f>T304/28</f>
        <v>164.75</v>
      </c>
      <c r="U305" s="10">
        <f>U304/31</f>
        <v>102.29032258064517</v>
      </c>
      <c r="V305" s="6"/>
      <c r="W305" s="6"/>
      <c r="X305" s="6"/>
      <c r="Y305" s="6"/>
      <c r="Z305" s="6"/>
      <c r="AA305" s="6"/>
      <c r="AB305" s="6"/>
    </row>
    <row r="306" spans="2:36" x14ac:dyDescent="0.25">
      <c r="C306" t="s">
        <v>114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/>
      <c r="W306" s="6"/>
      <c r="X306" s="6"/>
      <c r="Y306" s="6"/>
      <c r="Z306" s="6"/>
      <c r="AA306" s="6"/>
      <c r="AB306" s="6"/>
    </row>
    <row r="307" spans="2:36" hidden="1" x14ac:dyDescent="0.25">
      <c r="C307" t="s">
        <v>121</v>
      </c>
      <c r="G307" s="10">
        <f>85465+25133+259314+4376+1872</f>
        <v>376160</v>
      </c>
      <c r="H307" s="10">
        <f>74765+22737+233904+4375+1864</f>
        <v>337645</v>
      </c>
      <c r="I307" s="10">
        <f>58264+23401+258202+4375+1856</f>
        <v>346098</v>
      </c>
      <c r="J307" s="10">
        <f>35827+22443+249643+4374+1849</f>
        <v>314136</v>
      </c>
      <c r="K307" s="10">
        <f>17759+22702+254347+4374+1841</f>
        <v>301023</v>
      </c>
      <c r="L307" s="10">
        <f>8841+21932+244765+136+1833</f>
        <v>277507</v>
      </c>
      <c r="M307" s="10">
        <f>8296+22602+252450+135+1825</f>
        <v>285308</v>
      </c>
      <c r="N307" s="10">
        <f>8368+22481+251181+135+1817</f>
        <v>283982</v>
      </c>
      <c r="O307" s="10">
        <f>10582+21229+241965+135+1809</f>
        <v>275720</v>
      </c>
      <c r="P307" s="10">
        <f>17506+21757+248653+134+1802</f>
        <v>289852</v>
      </c>
      <c r="Q307" s="10">
        <f>19291+21019+239539+133</f>
        <v>279982</v>
      </c>
      <c r="R307" s="10">
        <f>25997+21662+193451+133</f>
        <v>241243</v>
      </c>
      <c r="S307" s="10">
        <f>12008+19671+191568</f>
        <v>223247</v>
      </c>
      <c r="T307" s="10">
        <f>5332+16671+172192</f>
        <v>194195</v>
      </c>
      <c r="U307" s="10">
        <f>2389+17917+131976</f>
        <v>152282</v>
      </c>
      <c r="V307" s="6"/>
      <c r="W307" s="6"/>
      <c r="X307" s="6"/>
      <c r="Y307" s="6"/>
      <c r="Z307" s="6"/>
      <c r="AA307" s="6"/>
      <c r="AB307" s="6"/>
    </row>
    <row r="308" spans="2:36" s="7" customFormat="1" x14ac:dyDescent="0.25">
      <c r="C308" t="s">
        <v>121</v>
      </c>
      <c r="G308" s="10">
        <f>G307/31</f>
        <v>12134.193548387097</v>
      </c>
      <c r="H308" s="10">
        <v>11992</v>
      </c>
      <c r="I308" s="10">
        <f>I307/31</f>
        <v>11164.451612903225</v>
      </c>
      <c r="J308" s="10">
        <f>J307/30</f>
        <v>10471.200000000001</v>
      </c>
      <c r="K308" s="10">
        <f>K307/31</f>
        <v>9710.4193548387102</v>
      </c>
      <c r="L308" s="10">
        <f>L307/30</f>
        <v>9250.2333333333336</v>
      </c>
      <c r="M308" s="10">
        <f>M307/31</f>
        <v>9203.4838709677424</v>
      </c>
      <c r="N308" s="10">
        <f>N307/31</f>
        <v>9160.7096774193542</v>
      </c>
      <c r="O308" s="10">
        <f>O307/30</f>
        <v>9190.6666666666661</v>
      </c>
      <c r="P308" s="10">
        <f>P307/31</f>
        <v>9350.0645161290322</v>
      </c>
      <c r="Q308" s="10">
        <f>Q307/30</f>
        <v>9332.7333333333336</v>
      </c>
      <c r="R308" s="10">
        <f>R307/31</f>
        <v>7782.0322580645161</v>
      </c>
      <c r="S308" s="10">
        <f>S307/31</f>
        <v>7201.5161290322585</v>
      </c>
      <c r="T308" s="10">
        <f>T307/28</f>
        <v>6935.5357142857147</v>
      </c>
      <c r="U308" s="10">
        <f>U307/31</f>
        <v>4912.322580645161</v>
      </c>
      <c r="V308" s="6"/>
      <c r="W308" s="6"/>
      <c r="X308" s="6"/>
      <c r="Y308" s="6"/>
      <c r="Z308" s="6"/>
      <c r="AA308" s="6"/>
      <c r="AB308" s="6"/>
    </row>
    <row r="309" spans="2:36" x14ac:dyDescent="0.25">
      <c r="C309" t="s">
        <v>114</v>
      </c>
      <c r="G309" s="10">
        <v>15662</v>
      </c>
      <c r="H309" s="10">
        <v>15662</v>
      </c>
      <c r="I309" s="10">
        <v>15662</v>
      </c>
      <c r="J309" s="10">
        <v>11618</v>
      </c>
      <c r="K309" s="10">
        <v>11618</v>
      </c>
      <c r="L309" s="10">
        <v>11618</v>
      </c>
      <c r="M309" s="10">
        <v>11618</v>
      </c>
      <c r="N309" s="10">
        <v>11618</v>
      </c>
      <c r="O309" s="10">
        <v>11618</v>
      </c>
      <c r="P309" s="10">
        <v>9318</v>
      </c>
      <c r="Q309" s="10">
        <v>0</v>
      </c>
      <c r="R309" s="10">
        <v>0</v>
      </c>
      <c r="S309" s="10">
        <v>0</v>
      </c>
      <c r="T309" s="10">
        <v>0</v>
      </c>
      <c r="U309" s="10">
        <v>0</v>
      </c>
      <c r="V309" s="6"/>
      <c r="W309" s="6"/>
      <c r="X309" s="6"/>
      <c r="Y309" s="6"/>
      <c r="Z309" s="6"/>
      <c r="AA309" s="6"/>
      <c r="AB309" s="6"/>
    </row>
    <row r="310" spans="2:36" x14ac:dyDescent="0.25">
      <c r="C310" t="s">
        <v>3</v>
      </c>
      <c r="G310" s="5" t="s">
        <v>105</v>
      </c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2:36" x14ac:dyDescent="0.25"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2:36" x14ac:dyDescent="0.25">
      <c r="B312" s="3" t="s">
        <v>36</v>
      </c>
      <c r="C312" s="3" t="s">
        <v>41</v>
      </c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2:36" x14ac:dyDescent="0.25"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</row>
    <row r="314" spans="2:36" hidden="1" x14ac:dyDescent="0.25">
      <c r="C314" t="s">
        <v>120</v>
      </c>
      <c r="G314" s="10">
        <f>74495+775</f>
        <v>75270</v>
      </c>
      <c r="H314" s="10">
        <f>56829+775</f>
        <v>57604</v>
      </c>
      <c r="I314" s="10">
        <f>51253+725</f>
        <v>51978</v>
      </c>
      <c r="J314" s="10">
        <f>37705+775</f>
        <v>38480</v>
      </c>
      <c r="K314" s="10">
        <f>3411+750</f>
        <v>4161</v>
      </c>
      <c r="L314" s="10">
        <f>14820+775</f>
        <v>15595</v>
      </c>
      <c r="M314" s="10">
        <f>5921+750</f>
        <v>6671</v>
      </c>
      <c r="N314" s="10">
        <f>5921+775</f>
        <v>6696</v>
      </c>
      <c r="O314" s="10">
        <v>2730</v>
      </c>
      <c r="P314" s="10">
        <v>2730</v>
      </c>
      <c r="Q314" s="10">
        <v>3131</v>
      </c>
      <c r="R314" s="10">
        <v>31</v>
      </c>
      <c r="S314" s="10">
        <v>31</v>
      </c>
      <c r="T314" s="10">
        <v>532</v>
      </c>
      <c r="U314" s="10">
        <v>583</v>
      </c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</row>
    <row r="315" spans="2:36" s="7" customFormat="1" x14ac:dyDescent="0.25">
      <c r="C315" t="s">
        <v>120</v>
      </c>
      <c r="G315" s="10">
        <v>2428</v>
      </c>
      <c r="H315" s="10">
        <v>595</v>
      </c>
      <c r="I315" s="10">
        <v>499</v>
      </c>
      <c r="J315" s="10">
        <v>1388</v>
      </c>
      <c r="K315" s="10">
        <v>1096</v>
      </c>
      <c r="L315" s="10">
        <v>625</v>
      </c>
      <c r="M315" s="10">
        <v>317</v>
      </c>
      <c r="N315" s="10">
        <v>318</v>
      </c>
      <c r="O315" s="10">
        <v>196</v>
      </c>
      <c r="P315" s="10">
        <v>203</v>
      </c>
      <c r="Q315" s="10">
        <v>106</v>
      </c>
      <c r="R315" s="10">
        <f>R314/31</f>
        <v>1</v>
      </c>
      <c r="S315" s="10">
        <f>S314/31</f>
        <v>1</v>
      </c>
      <c r="T315" s="10">
        <f>T314/28</f>
        <v>19</v>
      </c>
      <c r="U315" s="10">
        <f>U314/31</f>
        <v>18.806451612903224</v>
      </c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2:36" x14ac:dyDescent="0.25">
      <c r="C316" t="s">
        <v>114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2:36" x14ac:dyDescent="0.25">
      <c r="C317" t="s">
        <v>121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2:36" x14ac:dyDescent="0.25">
      <c r="C318" t="s">
        <v>114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2:36" x14ac:dyDescent="0.25">
      <c r="C319" t="s">
        <v>3</v>
      </c>
      <c r="G319" s="5" t="s">
        <v>106</v>
      </c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2:36" x14ac:dyDescent="0.25"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2:21" x14ac:dyDescent="0.25">
      <c r="B321" s="3" t="s">
        <v>36</v>
      </c>
      <c r="C321" s="3" t="s">
        <v>42</v>
      </c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2:21" x14ac:dyDescent="0.25"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2:21" hidden="1" x14ac:dyDescent="0.25">
      <c r="C323" t="s">
        <v>120</v>
      </c>
      <c r="G323" s="8">
        <v>4403</v>
      </c>
      <c r="H323" s="8">
        <v>4341</v>
      </c>
      <c r="I323" s="8">
        <v>1758</v>
      </c>
      <c r="J323" s="8">
        <v>1535</v>
      </c>
      <c r="K323" s="8">
        <v>1235</v>
      </c>
      <c r="L323" s="8">
        <v>2081</v>
      </c>
      <c r="M323" s="8">
        <v>1049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2:21" s="7" customFormat="1" x14ac:dyDescent="0.25">
      <c r="C324" t="s">
        <v>120</v>
      </c>
      <c r="G324" s="9">
        <f>G323/31</f>
        <v>142.03225806451613</v>
      </c>
      <c r="H324" s="9">
        <f>H323/29</f>
        <v>149.68965517241378</v>
      </c>
      <c r="I324" s="9">
        <f>I323/31</f>
        <v>56.70967741935484</v>
      </c>
      <c r="J324" s="9">
        <f>J323/30</f>
        <v>51.166666666666664</v>
      </c>
      <c r="K324" s="9">
        <f>K323/31</f>
        <v>39.838709677419352</v>
      </c>
      <c r="L324" s="9">
        <f>L323/30</f>
        <v>69.36666666666666</v>
      </c>
      <c r="M324" s="9">
        <f>M323/31</f>
        <v>33.838709677419352</v>
      </c>
      <c r="N324" s="9">
        <f>N323/31</f>
        <v>0</v>
      </c>
      <c r="O324" s="9">
        <f>O323/30</f>
        <v>0</v>
      </c>
      <c r="P324" s="9">
        <f>P323/31</f>
        <v>0</v>
      </c>
      <c r="Q324" s="9">
        <f>Q323/30</f>
        <v>0</v>
      </c>
      <c r="R324" s="9">
        <f>R323/31</f>
        <v>0</v>
      </c>
      <c r="S324" s="9">
        <f>S323/31</f>
        <v>0</v>
      </c>
      <c r="T324" s="9">
        <f>T323/28</f>
        <v>0</v>
      </c>
      <c r="U324" s="9">
        <f>U323/31</f>
        <v>0</v>
      </c>
    </row>
    <row r="325" spans="2:21" x14ac:dyDescent="0.25">
      <c r="C325" t="s">
        <v>114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</row>
    <row r="326" spans="2:21" hidden="1" x14ac:dyDescent="0.25">
      <c r="C326" t="s">
        <v>121</v>
      </c>
      <c r="G326" s="8">
        <f>518+3200+1260+63</f>
        <v>5041</v>
      </c>
      <c r="H326" s="8">
        <f>469+2887+1260+63</f>
        <v>4679</v>
      </c>
      <c r="I326" s="8">
        <f>482+3187+1260+63</f>
        <v>4992</v>
      </c>
      <c r="J326" s="8">
        <f>463+3081+1260+62</f>
        <v>4866</v>
      </c>
      <c r="K326" s="8">
        <f>468+3139+1259+62</f>
        <v>4928</v>
      </c>
      <c r="L326" s="8">
        <f>452+3021+39+62</f>
        <v>3574</v>
      </c>
      <c r="M326" s="8">
        <f>466+3116+39+61</f>
        <v>3682</v>
      </c>
      <c r="N326" s="8">
        <f>464+3100+39+61</f>
        <v>3664</v>
      </c>
      <c r="O326" s="8">
        <f>438+2986+39+61</f>
        <v>3524</v>
      </c>
      <c r="P326" s="8">
        <f>449+3069+39+61</f>
        <v>3618</v>
      </c>
      <c r="Q326" s="8">
        <f>433+2956+38</f>
        <v>3427</v>
      </c>
      <c r="R326" s="8">
        <f>447+2387+38</f>
        <v>2872</v>
      </c>
      <c r="S326" s="8">
        <f>406+2364</f>
        <v>2770</v>
      </c>
      <c r="T326" s="8">
        <f>344+2125</f>
        <v>2469</v>
      </c>
      <c r="U326" s="8">
        <f>369+1629</f>
        <v>1998</v>
      </c>
    </row>
    <row r="327" spans="2:21" s="7" customFormat="1" x14ac:dyDescent="0.25">
      <c r="C327" t="s">
        <v>121</v>
      </c>
      <c r="G327" s="9">
        <f>G326/31</f>
        <v>162.61290322580646</v>
      </c>
      <c r="H327" s="9">
        <v>166</v>
      </c>
      <c r="I327" s="9">
        <f>I326/31</f>
        <v>161.03225806451613</v>
      </c>
      <c r="J327" s="9">
        <f>J326/30</f>
        <v>162.19999999999999</v>
      </c>
      <c r="K327" s="9">
        <f>K326/31</f>
        <v>158.96774193548387</v>
      </c>
      <c r="L327" s="9">
        <f>L326/30</f>
        <v>119.13333333333334</v>
      </c>
      <c r="M327" s="9">
        <f>M326/31</f>
        <v>118.7741935483871</v>
      </c>
      <c r="N327" s="9">
        <f>N326/31</f>
        <v>118.19354838709677</v>
      </c>
      <c r="O327" s="9">
        <f>O326/30</f>
        <v>117.46666666666667</v>
      </c>
      <c r="P327" s="9">
        <f>P326/31</f>
        <v>116.70967741935483</v>
      </c>
      <c r="Q327" s="9">
        <f>Q326/30</f>
        <v>114.23333333333333</v>
      </c>
      <c r="R327" s="9">
        <f>R326/31</f>
        <v>92.645161290322577</v>
      </c>
      <c r="S327" s="9">
        <f>S326/31</f>
        <v>89.354838709677423</v>
      </c>
      <c r="T327" s="9">
        <f>T326/28</f>
        <v>88.178571428571431</v>
      </c>
      <c r="U327" s="9">
        <f>U326/31</f>
        <v>64.451612903225808</v>
      </c>
    </row>
    <row r="328" spans="2:21" x14ac:dyDescent="0.25">
      <c r="C328" t="s">
        <v>114</v>
      </c>
      <c r="G328" s="6">
        <v>123</v>
      </c>
      <c r="H328" s="6">
        <v>123</v>
      </c>
      <c r="I328" s="6">
        <v>123</v>
      </c>
      <c r="J328" s="6">
        <v>123</v>
      </c>
      <c r="K328" s="6">
        <v>123</v>
      </c>
      <c r="L328" s="6">
        <v>123</v>
      </c>
      <c r="M328" s="6">
        <v>123</v>
      </c>
      <c r="N328" s="6">
        <v>123</v>
      </c>
      <c r="O328" s="6">
        <v>123</v>
      </c>
      <c r="P328" s="6">
        <v>123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</row>
    <row r="329" spans="2:21" x14ac:dyDescent="0.25">
      <c r="C329" t="s">
        <v>3</v>
      </c>
      <c r="G329" s="5" t="s">
        <v>107</v>
      </c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2:21" x14ac:dyDescent="0.25"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2:21" x14ac:dyDescent="0.25">
      <c r="B331" s="3" t="s">
        <v>36</v>
      </c>
      <c r="C331" s="3" t="s">
        <v>43</v>
      </c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2:21" x14ac:dyDescent="0.25"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2:21" hidden="1" x14ac:dyDescent="0.25">
      <c r="C333" t="s">
        <v>120</v>
      </c>
      <c r="G333" s="8">
        <v>11071</v>
      </c>
      <c r="H333" s="8">
        <v>10456</v>
      </c>
      <c r="I333" s="8">
        <v>5570</v>
      </c>
      <c r="J333" s="8">
        <v>10029</v>
      </c>
      <c r="K333" s="8">
        <v>7961</v>
      </c>
      <c r="L333" s="8">
        <v>7265</v>
      </c>
      <c r="M333" s="8">
        <v>7224</v>
      </c>
      <c r="N333" s="8">
        <v>8552</v>
      </c>
      <c r="O333" s="8">
        <v>8172</v>
      </c>
      <c r="P333" s="8">
        <v>8172</v>
      </c>
      <c r="Q333" s="8">
        <v>8415</v>
      </c>
      <c r="R333" s="8">
        <v>8675</v>
      </c>
      <c r="S333" s="8">
        <v>8625</v>
      </c>
      <c r="T333" s="8">
        <v>7774</v>
      </c>
      <c r="U333" s="8">
        <v>8675</v>
      </c>
    </row>
    <row r="334" spans="2:21" s="7" customFormat="1" x14ac:dyDescent="0.25">
      <c r="C334" t="s">
        <v>120</v>
      </c>
      <c r="G334" s="9">
        <f>G333/31</f>
        <v>357.12903225806451</v>
      </c>
      <c r="H334" s="9">
        <v>654</v>
      </c>
      <c r="I334" s="9">
        <v>454</v>
      </c>
      <c r="J334" s="9">
        <v>418</v>
      </c>
      <c r="K334" s="9">
        <v>337</v>
      </c>
      <c r="L334" s="9">
        <v>326</v>
      </c>
      <c r="M334" s="9">
        <v>314</v>
      </c>
      <c r="N334" s="9">
        <v>357</v>
      </c>
      <c r="O334" s="9">
        <v>356</v>
      </c>
      <c r="P334" s="9">
        <v>344</v>
      </c>
      <c r="Q334" s="9">
        <v>364</v>
      </c>
      <c r="R334" s="9">
        <f>R333/31</f>
        <v>279.83870967741933</v>
      </c>
      <c r="S334" s="9">
        <f>S333/31</f>
        <v>278.22580645161293</v>
      </c>
      <c r="T334" s="9">
        <f>T333/28</f>
        <v>277.64285714285717</v>
      </c>
      <c r="U334" s="9">
        <f>U333/31</f>
        <v>279.83870967741933</v>
      </c>
    </row>
    <row r="335" spans="2:21" x14ac:dyDescent="0.25">
      <c r="C335" t="s">
        <v>114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</row>
    <row r="336" spans="2:21" hidden="1" x14ac:dyDescent="0.25">
      <c r="C336" t="s">
        <v>121</v>
      </c>
      <c r="G336" s="8">
        <f>1719+327+3929</f>
        <v>5975</v>
      </c>
      <c r="H336" s="8">
        <f>1505+295+3538</f>
        <v>5338</v>
      </c>
      <c r="I336" s="8">
        <f>1173+303+3906</f>
        <v>5382</v>
      </c>
      <c r="J336" s="8">
        <f>721+291+3776</f>
        <v>4788</v>
      </c>
      <c r="K336" s="8">
        <f>357+294+3848</f>
        <v>4499</v>
      </c>
      <c r="L336" s="8">
        <f>179+284+3703</f>
        <v>4166</v>
      </c>
      <c r="M336" s="8">
        <f>167+293+3819</f>
        <v>4279</v>
      </c>
      <c r="N336" s="8">
        <f>168+291+3800</f>
        <v>4259</v>
      </c>
      <c r="O336" s="8">
        <f>213+275+3660</f>
        <v>4148</v>
      </c>
      <c r="P336" s="8">
        <f>353+282+3761</f>
        <v>4396</v>
      </c>
      <c r="Q336" s="8">
        <f>391+272+3624</f>
        <v>4287</v>
      </c>
      <c r="R336" s="8">
        <f>527+281+2926</f>
        <v>3734</v>
      </c>
      <c r="S336" s="8">
        <f>249+255+2898</f>
        <v>3402</v>
      </c>
      <c r="T336" s="8">
        <f>113+216+2605</f>
        <v>2934</v>
      </c>
      <c r="U336" s="8">
        <f>52+232+1996</f>
        <v>2280</v>
      </c>
    </row>
    <row r="337" spans="2:25" s="7" customFormat="1" x14ac:dyDescent="0.25">
      <c r="C337" t="s">
        <v>121</v>
      </c>
      <c r="G337" s="9">
        <f>G336/31</f>
        <v>192.74193548387098</v>
      </c>
      <c r="H337" s="9">
        <v>190</v>
      </c>
      <c r="I337" s="9">
        <f>I336/31</f>
        <v>173.61290322580646</v>
      </c>
      <c r="J337" s="9">
        <f>J336/30</f>
        <v>159.6</v>
      </c>
      <c r="K337" s="9">
        <f>K336/31</f>
        <v>145.12903225806451</v>
      </c>
      <c r="L337" s="9">
        <f>L336/30</f>
        <v>138.86666666666667</v>
      </c>
      <c r="M337" s="9">
        <f>M336/31</f>
        <v>138.03225806451613</v>
      </c>
      <c r="N337" s="9">
        <f>N336/31</f>
        <v>137.38709677419354</v>
      </c>
      <c r="O337" s="9">
        <f>O336/30</f>
        <v>138.26666666666668</v>
      </c>
      <c r="P337" s="9">
        <f>P336/31</f>
        <v>141.80645161290323</v>
      </c>
      <c r="Q337" s="9">
        <f>Q336/30</f>
        <v>142.9</v>
      </c>
      <c r="R337" s="9">
        <f>R336/31</f>
        <v>120.45161290322581</v>
      </c>
      <c r="S337" s="9">
        <f>S336/31</f>
        <v>109.74193548387096</v>
      </c>
      <c r="T337" s="9">
        <f>T336/28</f>
        <v>104.78571428571429</v>
      </c>
      <c r="U337" s="9">
        <f>U336/31</f>
        <v>73.548387096774192</v>
      </c>
    </row>
    <row r="338" spans="2:25" x14ac:dyDescent="0.25">
      <c r="C338" t="s">
        <v>114</v>
      </c>
      <c r="G338" s="6">
        <v>218</v>
      </c>
      <c r="H338" s="6">
        <v>218</v>
      </c>
      <c r="I338" s="6">
        <v>218</v>
      </c>
      <c r="J338" s="6">
        <v>138</v>
      </c>
      <c r="K338" s="6">
        <v>138</v>
      </c>
      <c r="L338" s="6">
        <v>138</v>
      </c>
      <c r="M338" s="6">
        <v>138</v>
      </c>
      <c r="N338" s="6">
        <v>138</v>
      </c>
      <c r="O338" s="6">
        <v>138</v>
      </c>
      <c r="P338" s="6">
        <v>138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</row>
    <row r="339" spans="2:25" x14ac:dyDescent="0.25">
      <c r="C339" t="s">
        <v>3</v>
      </c>
      <c r="G339" s="5" t="s">
        <v>108</v>
      </c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2:25" x14ac:dyDescent="0.25"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spans="2:25" x14ac:dyDescent="0.25">
      <c r="B341" s="3" t="s">
        <v>36</v>
      </c>
      <c r="C341" s="3" t="s">
        <v>44</v>
      </c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2:25" x14ac:dyDescent="0.25"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2:25" x14ac:dyDescent="0.25">
      <c r="C343" t="s">
        <v>120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</row>
    <row r="344" spans="2:25" x14ac:dyDescent="0.25">
      <c r="C344" t="s">
        <v>114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</row>
    <row r="345" spans="2:25" x14ac:dyDescent="0.25">
      <c r="C345" t="s">
        <v>121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</row>
    <row r="346" spans="2:25" x14ac:dyDescent="0.25">
      <c r="C346" t="s">
        <v>114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</row>
    <row r="347" spans="2:25" x14ac:dyDescent="0.25">
      <c r="C347" t="s">
        <v>3</v>
      </c>
      <c r="G347" s="5" t="s">
        <v>109</v>
      </c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spans="2:25" x14ac:dyDescent="0.25"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2:25" x14ac:dyDescent="0.25">
      <c r="B349" s="3" t="s">
        <v>45</v>
      </c>
      <c r="C349" s="3" t="s">
        <v>46</v>
      </c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2:25" x14ac:dyDescent="0.25"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2:25" hidden="1" x14ac:dyDescent="0.25">
      <c r="C351" t="s">
        <v>120</v>
      </c>
      <c r="G351" s="10">
        <v>256158</v>
      </c>
      <c r="H351" s="10">
        <v>234049</v>
      </c>
      <c r="I351" s="10">
        <v>235688</v>
      </c>
      <c r="J351" s="10">
        <v>161685</v>
      </c>
      <c r="K351" s="10">
        <v>153927</v>
      </c>
      <c r="L351" s="10">
        <v>106834</v>
      </c>
      <c r="M351" s="10">
        <v>46942</v>
      </c>
      <c r="N351" s="10">
        <v>52374</v>
      </c>
      <c r="O351" s="10">
        <v>51373</v>
      </c>
      <c r="P351" s="10">
        <v>51314</v>
      </c>
      <c r="Q351" s="10">
        <v>17488</v>
      </c>
      <c r="R351" s="10">
        <v>12214</v>
      </c>
      <c r="S351" s="10">
        <v>12307</v>
      </c>
      <c r="T351" s="10">
        <v>10808</v>
      </c>
      <c r="U351" s="10">
        <v>12803</v>
      </c>
      <c r="V351" s="6"/>
      <c r="W351" s="6"/>
      <c r="X351" s="6"/>
      <c r="Y351" s="6"/>
    </row>
    <row r="352" spans="2:25" s="7" customFormat="1" x14ac:dyDescent="0.25">
      <c r="C352" t="s">
        <v>120</v>
      </c>
      <c r="G352" s="10">
        <v>7045</v>
      </c>
      <c r="H352" s="10">
        <v>7950</v>
      </c>
      <c r="I352" s="10">
        <v>7624</v>
      </c>
      <c r="J352" s="10">
        <v>5307</v>
      </c>
      <c r="K352" s="10">
        <v>5040</v>
      </c>
      <c r="L352" s="10">
        <v>3531</v>
      </c>
      <c r="M352" s="10">
        <v>1518</v>
      </c>
      <c r="N352" s="10">
        <v>1760</v>
      </c>
      <c r="O352" s="10">
        <v>1819</v>
      </c>
      <c r="P352" s="10">
        <v>1839</v>
      </c>
      <c r="Q352" s="10">
        <v>821</v>
      </c>
      <c r="R352" s="10">
        <v>478</v>
      </c>
      <c r="S352" s="10">
        <v>520</v>
      </c>
      <c r="T352" s="10">
        <v>482</v>
      </c>
      <c r="U352" s="10">
        <v>502</v>
      </c>
      <c r="V352" s="6"/>
      <c r="W352" s="6"/>
      <c r="X352" s="6"/>
      <c r="Y352" s="6"/>
    </row>
    <row r="353" spans="2:28" x14ac:dyDescent="0.25">
      <c r="C353" t="s">
        <v>114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/>
      <c r="W353" s="6"/>
      <c r="X353" s="6"/>
      <c r="Y353" s="6"/>
    </row>
    <row r="354" spans="2:28" hidden="1" x14ac:dyDescent="0.25">
      <c r="C354" t="s">
        <v>121</v>
      </c>
      <c r="G354" s="10">
        <v>66678</v>
      </c>
      <c r="H354" s="10">
        <v>55419</v>
      </c>
      <c r="I354" s="10">
        <v>47971</v>
      </c>
      <c r="J354" s="10">
        <v>31127</v>
      </c>
      <c r="K354" s="10">
        <v>20039</v>
      </c>
      <c r="L354" s="10">
        <v>13200</v>
      </c>
      <c r="M354" s="10">
        <v>11938</v>
      </c>
      <c r="N354" s="10">
        <v>12146</v>
      </c>
      <c r="O354" s="10">
        <v>14493</v>
      </c>
      <c r="P354" s="10">
        <v>26251</v>
      </c>
      <c r="Q354" s="10">
        <v>1103</v>
      </c>
      <c r="R354" s="10">
        <v>1533</v>
      </c>
      <c r="S354" s="10">
        <v>1743</v>
      </c>
      <c r="T354" s="10">
        <v>1481</v>
      </c>
      <c r="U354" s="10">
        <v>1260</v>
      </c>
      <c r="V354" s="6"/>
      <c r="W354" s="6"/>
      <c r="X354" s="6"/>
      <c r="Y354" s="6"/>
    </row>
    <row r="355" spans="2:28" s="7" customFormat="1" x14ac:dyDescent="0.25">
      <c r="C355" t="s">
        <v>121</v>
      </c>
      <c r="G355" s="10">
        <f>G354/31</f>
        <v>2150.9032258064517</v>
      </c>
      <c r="H355" s="10">
        <v>1968</v>
      </c>
      <c r="I355" s="10">
        <f>I354/31</f>
        <v>1547.4516129032259</v>
      </c>
      <c r="J355" s="10">
        <f>J354/30</f>
        <v>1037.5666666666666</v>
      </c>
      <c r="K355" s="10">
        <f>K354/31</f>
        <v>646.41935483870964</v>
      </c>
      <c r="L355" s="10">
        <f>L354/30</f>
        <v>440</v>
      </c>
      <c r="M355" s="10">
        <f>M354/31</f>
        <v>385.09677419354841</v>
      </c>
      <c r="N355" s="10">
        <f>N354/31</f>
        <v>391.80645161290323</v>
      </c>
      <c r="O355" s="10">
        <f>O354/30</f>
        <v>483.1</v>
      </c>
      <c r="P355" s="10">
        <f>P354/31</f>
        <v>846.80645161290317</v>
      </c>
      <c r="Q355" s="10">
        <f>Q354/30</f>
        <v>36.766666666666666</v>
      </c>
      <c r="R355" s="10">
        <f>R354/31</f>
        <v>49.451612903225808</v>
      </c>
      <c r="S355" s="10">
        <f>S354/31</f>
        <v>56.225806451612904</v>
      </c>
      <c r="T355" s="10">
        <f>T354/28</f>
        <v>52.892857142857146</v>
      </c>
      <c r="U355" s="10">
        <f>U354/31</f>
        <v>40.645161290322584</v>
      </c>
      <c r="V355" s="6"/>
      <c r="W355" s="6"/>
      <c r="X355" s="6"/>
      <c r="Y355" s="6"/>
    </row>
    <row r="356" spans="2:28" x14ac:dyDescent="0.25">
      <c r="C356" t="s">
        <v>114</v>
      </c>
      <c r="G356" s="6">
        <v>5000</v>
      </c>
      <c r="H356" s="6">
        <v>5000</v>
      </c>
      <c r="I356" s="6">
        <v>5000</v>
      </c>
      <c r="J356" s="6">
        <v>5000</v>
      </c>
      <c r="K356" s="6">
        <v>5000</v>
      </c>
      <c r="L356" s="6">
        <v>5000</v>
      </c>
      <c r="M356" s="6">
        <v>5000</v>
      </c>
      <c r="N356" s="6">
        <v>5000</v>
      </c>
      <c r="O356" s="6">
        <v>5000</v>
      </c>
      <c r="P356" s="6">
        <v>5000</v>
      </c>
      <c r="Q356" s="6">
        <v>5000</v>
      </c>
      <c r="R356" s="6">
        <v>5000</v>
      </c>
      <c r="S356" s="6">
        <v>5000</v>
      </c>
      <c r="T356" s="6">
        <v>5000</v>
      </c>
      <c r="U356" s="6">
        <v>5000</v>
      </c>
      <c r="V356" s="6"/>
      <c r="W356" s="6"/>
      <c r="X356" s="6"/>
      <c r="Y356" s="6"/>
    </row>
    <row r="357" spans="2:28" x14ac:dyDescent="0.25">
      <c r="C357" t="s">
        <v>3</v>
      </c>
      <c r="G357" s="5" t="s">
        <v>110</v>
      </c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spans="2:28" x14ac:dyDescent="0.25"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spans="2:28" x14ac:dyDescent="0.25">
      <c r="B359" s="3" t="s">
        <v>45</v>
      </c>
      <c r="C359" s="3" t="s">
        <v>47</v>
      </c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2:28" x14ac:dyDescent="0.25"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2:28" hidden="1" x14ac:dyDescent="0.25">
      <c r="C361" t="s">
        <v>120</v>
      </c>
      <c r="G361" s="10">
        <v>36005</v>
      </c>
      <c r="H361" s="10">
        <v>32181</v>
      </c>
      <c r="I361" s="10">
        <v>25513</v>
      </c>
      <c r="J361" s="10">
        <v>12533</v>
      </c>
      <c r="K361" s="10">
        <v>11274</v>
      </c>
      <c r="L361" s="10">
        <v>9816</v>
      </c>
      <c r="M361" s="10">
        <v>9150</v>
      </c>
      <c r="N361" s="10">
        <v>9151</v>
      </c>
      <c r="O361" s="10">
        <v>8834</v>
      </c>
      <c r="P361" s="10">
        <v>9880</v>
      </c>
      <c r="Q361" s="10">
        <v>1610</v>
      </c>
      <c r="R361" s="10">
        <v>2840</v>
      </c>
      <c r="S361" s="10">
        <v>3127</v>
      </c>
      <c r="T361" s="10">
        <v>3200</v>
      </c>
      <c r="U361" s="10">
        <v>3400</v>
      </c>
      <c r="V361" s="6"/>
      <c r="W361" s="6"/>
      <c r="X361" s="6"/>
      <c r="Y361" s="6"/>
      <c r="Z361" s="6"/>
      <c r="AA361" s="6"/>
      <c r="AB361" s="6"/>
    </row>
    <row r="362" spans="2:28" s="7" customFormat="1" x14ac:dyDescent="0.25">
      <c r="C362" t="s">
        <v>120</v>
      </c>
      <c r="G362" s="10">
        <f>G361/31</f>
        <v>1161.4516129032259</v>
      </c>
      <c r="H362" s="10">
        <v>764</v>
      </c>
      <c r="I362" s="10">
        <v>632</v>
      </c>
      <c r="J362" s="10">
        <v>482</v>
      </c>
      <c r="K362" s="10">
        <v>415</v>
      </c>
      <c r="L362" s="10">
        <v>398</v>
      </c>
      <c r="M362" s="10">
        <v>316</v>
      </c>
      <c r="N362" s="10">
        <v>334</v>
      </c>
      <c r="O362" s="10">
        <v>359</v>
      </c>
      <c r="P362" s="10">
        <v>399</v>
      </c>
      <c r="Q362" s="10">
        <v>421</v>
      </c>
      <c r="R362" s="10">
        <v>414</v>
      </c>
      <c r="S362" s="10">
        <v>423</v>
      </c>
      <c r="T362" s="10">
        <v>470</v>
      </c>
      <c r="U362" s="10">
        <v>413</v>
      </c>
      <c r="V362" s="6"/>
      <c r="W362" s="6"/>
      <c r="X362" s="6"/>
      <c r="Y362" s="6"/>
      <c r="Z362" s="6"/>
      <c r="AA362" s="6"/>
      <c r="AB362" s="6"/>
    </row>
    <row r="363" spans="2:28" x14ac:dyDescent="0.25">
      <c r="C363" t="s">
        <v>114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/>
      <c r="W363" s="6"/>
      <c r="X363" s="6"/>
      <c r="Y363" s="6"/>
      <c r="Z363" s="6"/>
      <c r="AA363" s="6"/>
      <c r="AB363" s="6"/>
    </row>
    <row r="364" spans="2:28" hidden="1" x14ac:dyDescent="0.25">
      <c r="C364" t="s">
        <v>121</v>
      </c>
      <c r="G364" s="10">
        <f>34861+10332+37306</f>
        <v>82499</v>
      </c>
      <c r="H364" s="10">
        <f>34360+10295+33549</f>
        <v>78204</v>
      </c>
      <c r="I364" s="10">
        <f>29790+10258+25569</f>
        <v>65617</v>
      </c>
      <c r="J364" s="10">
        <f>25328+10220+20625</f>
        <v>56173</v>
      </c>
      <c r="K364" s="10">
        <f>23319+10183+21237</f>
        <v>54739</v>
      </c>
      <c r="L364" s="10">
        <f>15437+10145+20447</f>
        <v>46029</v>
      </c>
      <c r="M364" s="10">
        <f>14732+10108+21052</f>
        <v>45892</v>
      </c>
      <c r="N364" s="10">
        <f>14614+10071+20960</f>
        <v>45645</v>
      </c>
      <c r="O364" s="10">
        <f>14496+6222+20205</f>
        <v>40923</v>
      </c>
      <c r="P364" s="10">
        <f>14378+3940+20776</f>
        <v>39094</v>
      </c>
      <c r="Q364" s="10">
        <f>14261+1976+20002</f>
        <v>36239</v>
      </c>
      <c r="R364" s="10">
        <f>13472+1084+20592</f>
        <v>35148</v>
      </c>
      <c r="S364" s="10">
        <f>13095+457+20062</f>
        <v>33614</v>
      </c>
      <c r="T364" s="10">
        <f>6766+274+17527</f>
        <v>24567</v>
      </c>
      <c r="U364" s="10">
        <f>6468+65+4754</f>
        <v>11287</v>
      </c>
      <c r="V364" s="6"/>
      <c r="W364" s="6"/>
      <c r="X364" s="6"/>
      <c r="Y364" s="6"/>
      <c r="Z364" s="6"/>
      <c r="AA364" s="6"/>
      <c r="AB364" s="6"/>
    </row>
    <row r="365" spans="2:28" s="7" customFormat="1" x14ac:dyDescent="0.25">
      <c r="C365" t="s">
        <v>121</v>
      </c>
      <c r="G365" s="10">
        <f>G364/31</f>
        <v>2661.2580645161293</v>
      </c>
      <c r="H365" s="10">
        <v>2778</v>
      </c>
      <c r="I365" s="10">
        <f>I364/31</f>
        <v>2116.6774193548385</v>
      </c>
      <c r="J365" s="10">
        <f>J364/30</f>
        <v>1872.4333333333334</v>
      </c>
      <c r="K365" s="10">
        <f>K364/31</f>
        <v>1765.7741935483871</v>
      </c>
      <c r="L365" s="10">
        <f>L364/30</f>
        <v>1534.3</v>
      </c>
      <c r="M365" s="10">
        <f>M364/31</f>
        <v>1480.3870967741937</v>
      </c>
      <c r="N365" s="10">
        <f>N364/31</f>
        <v>1472.4193548387098</v>
      </c>
      <c r="O365" s="10">
        <f>O364/30</f>
        <v>1364.1</v>
      </c>
      <c r="P365" s="10">
        <f>P364/31</f>
        <v>1261.0967741935483</v>
      </c>
      <c r="Q365" s="10">
        <f>Q364/30</f>
        <v>1207.9666666666667</v>
      </c>
      <c r="R365" s="10">
        <f>R364/31</f>
        <v>1133.8064516129032</v>
      </c>
      <c r="S365" s="10">
        <f>S364/31</f>
        <v>1084.3225806451612</v>
      </c>
      <c r="T365" s="10">
        <f>T364/28</f>
        <v>877.39285714285711</v>
      </c>
      <c r="U365" s="10">
        <f>U364/31</f>
        <v>364.09677419354841</v>
      </c>
      <c r="V365" s="6"/>
      <c r="W365" s="6"/>
      <c r="X365" s="6"/>
      <c r="Y365" s="6"/>
      <c r="Z365" s="6"/>
      <c r="AA365" s="6"/>
      <c r="AB365" s="6"/>
    </row>
    <row r="366" spans="2:28" x14ac:dyDescent="0.25">
      <c r="C366" t="s">
        <v>114</v>
      </c>
      <c r="G366" s="6">
        <v>1306</v>
      </c>
      <c r="H366" s="6">
        <v>1306</v>
      </c>
      <c r="I366" s="6">
        <v>1304</v>
      </c>
      <c r="J366" s="6">
        <v>1298</v>
      </c>
      <c r="K366" s="6">
        <v>1265</v>
      </c>
      <c r="L366" s="6">
        <v>962</v>
      </c>
      <c r="M366" s="6">
        <v>51</v>
      </c>
      <c r="N366" s="6">
        <v>0</v>
      </c>
      <c r="O366" s="6">
        <v>0</v>
      </c>
      <c r="P366" s="6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/>
      <c r="W366" s="6"/>
      <c r="X366" s="6"/>
      <c r="Y366" s="6"/>
      <c r="Z366" s="6"/>
      <c r="AA366" s="6"/>
      <c r="AB366" s="6"/>
    </row>
    <row r="367" spans="2:28" x14ac:dyDescent="0.25">
      <c r="C367" t="s">
        <v>3</v>
      </c>
      <c r="G367" s="5" t="s">
        <v>111</v>
      </c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spans="2:28" x14ac:dyDescent="0.25"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spans="1:25" x14ac:dyDescent="0.25">
      <c r="B369" s="3" t="s">
        <v>45</v>
      </c>
      <c r="C369" s="3" t="s">
        <v>48</v>
      </c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5" x14ac:dyDescent="0.25"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hidden="1" x14ac:dyDescent="0.25">
      <c r="C371" t="s">
        <v>120</v>
      </c>
      <c r="G371" s="10">
        <f>642740+15208</f>
        <v>657948</v>
      </c>
      <c r="H371" s="10">
        <f>601347+10926</f>
        <v>612273</v>
      </c>
      <c r="I371" s="10">
        <f>635796+13463</f>
        <v>649259</v>
      </c>
      <c r="J371" s="10">
        <f>5604+12441</f>
        <v>18045</v>
      </c>
      <c r="K371" s="10">
        <f>4203+11152</f>
        <v>15355</v>
      </c>
      <c r="L371" s="10">
        <f>3745+11187</f>
        <v>14932</v>
      </c>
      <c r="M371" s="10">
        <f>3714+10977</f>
        <v>14691</v>
      </c>
      <c r="N371" s="10">
        <f>3824+10846</f>
        <v>14670</v>
      </c>
      <c r="O371" s="10">
        <f>3700+10958</f>
        <v>14658</v>
      </c>
      <c r="P371" s="10">
        <f>3076+12079</f>
        <v>15155</v>
      </c>
      <c r="Q371" s="10">
        <f>1643+11588</f>
        <v>13231</v>
      </c>
      <c r="R371" s="10">
        <f>10740</f>
        <v>10740</v>
      </c>
      <c r="S371" s="10">
        <f>10769</f>
        <v>10769</v>
      </c>
      <c r="T371" s="10">
        <v>10713</v>
      </c>
      <c r="U371" s="10">
        <v>10432</v>
      </c>
      <c r="V371" s="6"/>
      <c r="W371" s="6"/>
      <c r="X371" s="6"/>
      <c r="Y371" s="6"/>
    </row>
    <row r="372" spans="1:25" s="7" customFormat="1" x14ac:dyDescent="0.25">
      <c r="C372" t="s">
        <v>120</v>
      </c>
      <c r="G372" s="10">
        <v>21643</v>
      </c>
      <c r="H372" s="10">
        <v>18057</v>
      </c>
      <c r="I372" s="10">
        <v>17618</v>
      </c>
      <c r="J372" s="10">
        <v>197</v>
      </c>
      <c r="K372" s="10">
        <v>154</v>
      </c>
      <c r="L372" s="10">
        <v>29</v>
      </c>
      <c r="M372" s="10">
        <v>32</v>
      </c>
      <c r="N372" s="10">
        <v>27</v>
      </c>
      <c r="O372" s="10">
        <v>32</v>
      </c>
      <c r="P372" s="10">
        <v>67</v>
      </c>
      <c r="Q372" s="10">
        <v>53</v>
      </c>
      <c r="R372" s="10">
        <v>24</v>
      </c>
      <c r="S372" s="10">
        <v>25</v>
      </c>
      <c r="T372" s="10">
        <v>25</v>
      </c>
      <c r="U372" s="10">
        <v>14</v>
      </c>
      <c r="V372" s="6"/>
      <c r="W372" s="6"/>
      <c r="X372" s="6"/>
      <c r="Y372" s="6"/>
    </row>
    <row r="373" spans="1:25" x14ac:dyDescent="0.25">
      <c r="C373" t="s">
        <v>114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/>
      <c r="W373" s="6"/>
      <c r="X373" s="6"/>
      <c r="Y373" s="6"/>
    </row>
    <row r="374" spans="1:25" x14ac:dyDescent="0.25">
      <c r="C374" t="s">
        <v>121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/>
      <c r="W374" s="6"/>
      <c r="X374" s="6"/>
      <c r="Y374" s="6"/>
    </row>
    <row r="375" spans="1:25" x14ac:dyDescent="0.25">
      <c r="C375" t="s">
        <v>114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/>
      <c r="W375" s="6"/>
      <c r="X375" s="6"/>
      <c r="Y375" s="6"/>
    </row>
    <row r="376" spans="1:25" x14ac:dyDescent="0.25">
      <c r="C376" t="s">
        <v>3</v>
      </c>
      <c r="G376" s="5" t="s">
        <v>112</v>
      </c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spans="1:25" x14ac:dyDescent="0.25"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spans="1:25" x14ac:dyDescent="0.25"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5" x14ac:dyDescent="0.25">
      <c r="A379" s="3" t="s">
        <v>49</v>
      </c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5" x14ac:dyDescent="0.25">
      <c r="A380" s="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5" x14ac:dyDescent="0.25">
      <c r="A381" s="3"/>
      <c r="B381" s="3" t="s">
        <v>50</v>
      </c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5" x14ac:dyDescent="0.25">
      <c r="A382" s="3"/>
      <c r="B382" s="3"/>
      <c r="D382" s="13" t="s">
        <v>142</v>
      </c>
      <c r="E382" s="13"/>
      <c r="G382" s="12">
        <v>9.5000000000000001E-2</v>
      </c>
      <c r="H382" s="12">
        <v>9.5000000000000001E-2</v>
      </c>
      <c r="I382" s="12">
        <v>7.4999999999999997E-2</v>
      </c>
      <c r="J382" s="12">
        <v>0.01</v>
      </c>
      <c r="K382" s="12">
        <v>7.4999999999999997E-3</v>
      </c>
      <c r="L382" s="12">
        <v>7.4999999999999997E-3</v>
      </c>
      <c r="M382" s="12">
        <v>7.4999999999999997E-3</v>
      </c>
      <c r="N382" s="12">
        <v>7.4999999999999997E-3</v>
      </c>
      <c r="O382" s="12">
        <v>7.4999999999999997E-3</v>
      </c>
      <c r="P382" s="12">
        <v>0.01</v>
      </c>
      <c r="Q382" s="12">
        <v>9.5000000000000001E-2</v>
      </c>
      <c r="R382" s="12">
        <v>0.115</v>
      </c>
      <c r="S382" s="12">
        <v>0.115</v>
      </c>
      <c r="T382" s="12">
        <v>0.115</v>
      </c>
      <c r="U382" s="12">
        <v>9.5000000000000001E-2</v>
      </c>
    </row>
    <row r="383" spans="1:25" x14ac:dyDescent="0.25">
      <c r="A383" s="3"/>
      <c r="B383" s="3"/>
      <c r="D383" s="13" t="s">
        <v>143</v>
      </c>
      <c r="E383" s="13"/>
      <c r="G383" s="22">
        <v>0.13</v>
      </c>
      <c r="H383" s="22">
        <v>0.13</v>
      </c>
      <c r="I383" s="22">
        <v>0.1</v>
      </c>
      <c r="J383" s="22">
        <v>0.06</v>
      </c>
      <c r="K383" s="22">
        <v>0.02</v>
      </c>
      <c r="L383" s="22">
        <v>0.02</v>
      </c>
      <c r="M383" s="22">
        <v>0.02</v>
      </c>
      <c r="N383" s="22">
        <v>0.02</v>
      </c>
      <c r="O383" s="22">
        <v>0.02</v>
      </c>
      <c r="P383" s="22">
        <v>0.06</v>
      </c>
      <c r="Q383" s="22">
        <v>0.1</v>
      </c>
      <c r="R383" s="22">
        <v>0.11</v>
      </c>
      <c r="S383" s="22">
        <v>0.13</v>
      </c>
      <c r="T383" s="22">
        <v>0.13</v>
      </c>
      <c r="U383" s="22">
        <v>0.1</v>
      </c>
    </row>
    <row r="384" spans="1:25" x14ac:dyDescent="0.25">
      <c r="A384" s="3"/>
      <c r="B384" s="3"/>
      <c r="D384" s="13" t="s">
        <v>148</v>
      </c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spans="1:57" x14ac:dyDescent="0.25">
      <c r="A385" s="3"/>
      <c r="B385" s="3"/>
      <c r="D385" s="13" t="s">
        <v>140</v>
      </c>
      <c r="E385" s="13"/>
      <c r="G385" s="15" t="s">
        <v>145</v>
      </c>
      <c r="H385" s="15"/>
      <c r="I385" s="15"/>
      <c r="J385" s="18" t="s">
        <v>149</v>
      </c>
      <c r="K385" s="19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spans="1:57" x14ac:dyDescent="0.25">
      <c r="A386" s="3"/>
      <c r="B386" s="3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57" hidden="1" x14ac:dyDescent="0.25">
      <c r="A387" s="3"/>
      <c r="B387" s="3"/>
      <c r="C387" t="s">
        <v>120</v>
      </c>
      <c r="G387" s="10">
        <f>1324+54449+54410</f>
        <v>110183</v>
      </c>
      <c r="H387" s="10">
        <f>1148+54561+49295</f>
        <v>105004</v>
      </c>
      <c r="I387" s="10">
        <f>1243+52973+46052</f>
        <v>100268</v>
      </c>
      <c r="J387" s="10">
        <f>1187+40496+34995</f>
        <v>76678</v>
      </c>
      <c r="K387" s="10">
        <f>775+32204+30925</f>
        <v>63904</v>
      </c>
      <c r="L387" s="10">
        <f>27189+27478</f>
        <v>54667</v>
      </c>
      <c r="M387" s="10">
        <f>26806+27319</f>
        <v>54125</v>
      </c>
      <c r="N387" s="10">
        <f>27546+27514</f>
        <v>55060</v>
      </c>
      <c r="O387" s="10">
        <f>28515+27763</f>
        <v>56278</v>
      </c>
      <c r="P387" s="10">
        <f>23907+29030</f>
        <v>52937</v>
      </c>
      <c r="Q387" s="10">
        <f>3324+6300</f>
        <v>9624</v>
      </c>
      <c r="R387" s="10">
        <f>4397+6431</f>
        <v>10828</v>
      </c>
      <c r="S387" s="10">
        <f>4390+7928</f>
        <v>12318</v>
      </c>
      <c r="T387" s="10">
        <f>3816+7448</f>
        <v>11264</v>
      </c>
      <c r="U387" s="10">
        <f>3405+7431</f>
        <v>10836</v>
      </c>
      <c r="V387" s="6"/>
      <c r="W387" s="6"/>
      <c r="X387" s="6"/>
      <c r="Y387" s="6"/>
    </row>
    <row r="388" spans="1:57" s="7" customFormat="1" x14ac:dyDescent="0.25">
      <c r="C388" t="s">
        <v>120</v>
      </c>
      <c r="G388" s="10">
        <v>3554</v>
      </c>
      <c r="H388" s="10">
        <v>3949</v>
      </c>
      <c r="I388" s="10">
        <v>3145</v>
      </c>
      <c r="J388" s="10">
        <v>2556</v>
      </c>
      <c r="K388" s="10">
        <v>2111</v>
      </c>
      <c r="L388" s="10">
        <v>1874</v>
      </c>
      <c r="M388" s="10">
        <v>1770</v>
      </c>
      <c r="N388" s="10">
        <v>1791</v>
      </c>
      <c r="O388" s="10">
        <v>1892</v>
      </c>
      <c r="P388" s="10">
        <v>1736</v>
      </c>
      <c r="Q388" s="10">
        <f>Q387/30</f>
        <v>320.8</v>
      </c>
      <c r="R388" s="10">
        <f>R387/31</f>
        <v>349.29032258064518</v>
      </c>
      <c r="S388" s="10">
        <f>S387/31</f>
        <v>397.35483870967744</v>
      </c>
      <c r="T388" s="10">
        <f>T387/28</f>
        <v>402.28571428571428</v>
      </c>
      <c r="U388" s="10">
        <f>U387/31</f>
        <v>349.54838709677421</v>
      </c>
      <c r="V388" s="6"/>
      <c r="W388" s="6"/>
      <c r="X388" s="6"/>
      <c r="Y388" s="6"/>
    </row>
    <row r="389" spans="1:57" x14ac:dyDescent="0.25">
      <c r="A389" s="3"/>
      <c r="B389" s="3"/>
      <c r="C389" t="s">
        <v>114</v>
      </c>
      <c r="G389" s="6">
        <v>197</v>
      </c>
      <c r="H389" s="6">
        <v>197</v>
      </c>
      <c r="I389" s="6">
        <v>197</v>
      </c>
      <c r="J389" s="6">
        <v>186</v>
      </c>
      <c r="K389" s="6">
        <v>186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/>
      <c r="W389" s="6"/>
      <c r="X389" s="6"/>
      <c r="Y389" s="6"/>
    </row>
    <row r="390" spans="1:57" x14ac:dyDescent="0.25">
      <c r="A390" s="3"/>
      <c r="B390" s="3"/>
      <c r="C390" t="s">
        <v>3</v>
      </c>
      <c r="G390" s="5" t="s">
        <v>52</v>
      </c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spans="1:57" x14ac:dyDescent="0.25">
      <c r="A391" s="3"/>
      <c r="B391" s="3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spans="1:57" x14ac:dyDescent="0.25">
      <c r="A392" s="3"/>
      <c r="B392" s="3" t="s">
        <v>51</v>
      </c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57" x14ac:dyDescent="0.25">
      <c r="A393" s="3"/>
      <c r="B393" s="3"/>
      <c r="D393" s="13" t="s">
        <v>142</v>
      </c>
      <c r="E393" s="13"/>
      <c r="G393" s="12">
        <v>1.4999999999999999E-2</v>
      </c>
      <c r="H393" s="12">
        <v>1.4999999999999999E-2</v>
      </c>
      <c r="I393" s="12">
        <v>1.4999999999999999E-2</v>
      </c>
      <c r="J393" s="12">
        <v>0.01</v>
      </c>
      <c r="K393" s="12">
        <v>7.4999999999999997E-3</v>
      </c>
      <c r="L393" s="12">
        <v>7.4999999999999997E-3</v>
      </c>
      <c r="M393" s="12">
        <v>7.4999999999999997E-3</v>
      </c>
      <c r="N393" s="12">
        <v>7.4999999999999997E-3</v>
      </c>
      <c r="O393" s="12">
        <v>7.4999999999999997E-3</v>
      </c>
      <c r="P393" s="12">
        <v>0.01</v>
      </c>
      <c r="Q393" s="12">
        <v>1.4999999999999999E-2</v>
      </c>
      <c r="R393" s="12">
        <v>1.4999999999999999E-2</v>
      </c>
      <c r="S393" s="12">
        <v>1.4999999999999999E-2</v>
      </c>
      <c r="T393" s="12">
        <v>1.4999999999999999E-2</v>
      </c>
      <c r="U393" s="12">
        <v>1.4999999999999999E-2</v>
      </c>
    </row>
    <row r="394" spans="1:57" x14ac:dyDescent="0.25">
      <c r="A394" s="3"/>
      <c r="B394" s="3"/>
      <c r="D394" s="13" t="s">
        <v>143</v>
      </c>
      <c r="E394" s="13"/>
      <c r="G394" s="22">
        <v>0.13</v>
      </c>
      <c r="H394" s="22">
        <v>0.13</v>
      </c>
      <c r="I394" s="22">
        <v>0.1</v>
      </c>
      <c r="J394" s="22">
        <v>0.06</v>
      </c>
      <c r="K394" s="22">
        <v>0.02</v>
      </c>
      <c r="L394" s="22">
        <v>0.02</v>
      </c>
      <c r="M394" s="22">
        <v>0.02</v>
      </c>
      <c r="N394" s="22">
        <v>0.02</v>
      </c>
      <c r="O394" s="22">
        <v>0.02</v>
      </c>
      <c r="P394" s="22">
        <v>0.06</v>
      </c>
      <c r="Q394" s="22">
        <v>0.1</v>
      </c>
      <c r="R394" s="22">
        <v>0.11</v>
      </c>
      <c r="S394" s="22">
        <v>0.13</v>
      </c>
      <c r="T394" s="22">
        <v>0.13</v>
      </c>
      <c r="U394" s="22">
        <v>0.1</v>
      </c>
    </row>
    <row r="395" spans="1:57" x14ac:dyDescent="0.25">
      <c r="A395" s="3"/>
      <c r="B395" s="3"/>
      <c r="D395" s="13" t="s">
        <v>148</v>
      </c>
      <c r="E395" s="13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spans="1:57" x14ac:dyDescent="0.25">
      <c r="A396" s="3"/>
      <c r="B396" s="3"/>
      <c r="D396" s="13" t="s">
        <v>140</v>
      </c>
      <c r="E396" s="13"/>
      <c r="G396" s="15" t="s">
        <v>145</v>
      </c>
      <c r="H396" s="15"/>
      <c r="I396" s="15"/>
      <c r="J396" s="18" t="s">
        <v>149</v>
      </c>
      <c r="K396" s="19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spans="1:57" x14ac:dyDescent="0.25">
      <c r="A397" s="3"/>
      <c r="B397" s="3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</row>
    <row r="398" spans="1:57" hidden="1" x14ac:dyDescent="0.25">
      <c r="A398" s="3"/>
      <c r="B398" s="3"/>
      <c r="C398" t="s">
        <v>120</v>
      </c>
      <c r="G398" s="10">
        <f>9497+16281+332631</f>
        <v>358409</v>
      </c>
      <c r="H398" s="10">
        <f>9482+14660+302245</f>
        <v>326387</v>
      </c>
      <c r="I398" s="10">
        <f>9497+11960+310684</f>
        <v>332141</v>
      </c>
      <c r="J398" s="10">
        <f>8080+10797+18257</f>
        <v>37134</v>
      </c>
      <c r="K398" s="10">
        <f>6693+9947+15077</f>
        <v>31717</v>
      </c>
      <c r="L398" s="10">
        <f>6788+8933+12919</f>
        <v>28640</v>
      </c>
      <c r="M398" s="10">
        <f>7004+9333+12345</f>
        <v>28682</v>
      </c>
      <c r="N398" s="10">
        <f>4136+9675+12040</f>
        <v>25851</v>
      </c>
      <c r="O398" s="10">
        <f>4178+24232+12569</f>
        <v>40979</v>
      </c>
      <c r="P398" s="10">
        <f>21804+14143</f>
        <v>35947</v>
      </c>
      <c r="Q398" s="10">
        <f>5544</f>
        <v>5544</v>
      </c>
      <c r="R398" s="10">
        <f>3728</f>
        <v>3728</v>
      </c>
      <c r="S398" s="10">
        <f>3243</f>
        <v>3243</v>
      </c>
      <c r="T398" s="10">
        <f>2690</f>
        <v>2690</v>
      </c>
      <c r="U398" s="10">
        <f>2623</f>
        <v>2623</v>
      </c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</row>
    <row r="399" spans="1:57" s="7" customFormat="1" x14ac:dyDescent="0.25">
      <c r="C399" t="s">
        <v>120</v>
      </c>
      <c r="G399" s="10">
        <v>11562</v>
      </c>
      <c r="H399" s="10">
        <v>11327</v>
      </c>
      <c r="I399" s="10">
        <v>10604</v>
      </c>
      <c r="J399" s="10">
        <v>1167</v>
      </c>
      <c r="K399" s="10">
        <v>891</v>
      </c>
      <c r="L399" s="10">
        <v>769</v>
      </c>
      <c r="M399" s="10">
        <v>704</v>
      </c>
      <c r="N399" s="10">
        <v>569</v>
      </c>
      <c r="O399" s="10">
        <v>715</v>
      </c>
      <c r="P399" s="10">
        <v>531</v>
      </c>
      <c r="Q399" s="10">
        <f>Q398/30</f>
        <v>184.8</v>
      </c>
      <c r="R399" s="10">
        <f>R398/31</f>
        <v>120.25806451612904</v>
      </c>
      <c r="S399" s="10">
        <f>S398/31</f>
        <v>104.61290322580645</v>
      </c>
      <c r="T399" s="10">
        <f>T398/28</f>
        <v>96.071428571428569</v>
      </c>
      <c r="U399" s="10">
        <f>U398/31</f>
        <v>84.612903225806448</v>
      </c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</row>
    <row r="400" spans="1:57" x14ac:dyDescent="0.25">
      <c r="A400" s="3"/>
      <c r="B400" s="3"/>
      <c r="C400" t="s">
        <v>114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</row>
    <row r="401" spans="1:33" x14ac:dyDescent="0.25">
      <c r="A401" s="3"/>
      <c r="B401" s="3"/>
      <c r="C401" t="s">
        <v>3</v>
      </c>
      <c r="G401" s="5" t="s">
        <v>53</v>
      </c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spans="1:33" x14ac:dyDescent="0.25">
      <c r="A402" s="3"/>
      <c r="B402" s="3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spans="1:33" x14ac:dyDescent="0.25">
      <c r="A403" s="3"/>
      <c r="B403" s="3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33" x14ac:dyDescent="0.25">
      <c r="A404" s="3" t="s">
        <v>54</v>
      </c>
      <c r="B404" s="3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33" x14ac:dyDescent="0.25">
      <c r="A405" s="3"/>
      <c r="B405" s="3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33" x14ac:dyDescent="0.25">
      <c r="A406" s="3"/>
      <c r="B406" s="3" t="s">
        <v>55</v>
      </c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33" x14ac:dyDescent="0.25">
      <c r="A407" s="3"/>
      <c r="B407" s="3"/>
      <c r="D407" t="s">
        <v>161</v>
      </c>
      <c r="G407" s="5">
        <v>0.01</v>
      </c>
      <c r="H407" s="5">
        <v>0.01</v>
      </c>
      <c r="I407" s="5">
        <v>0.01</v>
      </c>
      <c r="J407" s="5">
        <v>7.4999999999999997E-3</v>
      </c>
      <c r="K407" s="5">
        <v>7.4999999999999997E-3</v>
      </c>
      <c r="L407" s="5">
        <v>7.4999999999999997E-3</v>
      </c>
      <c r="M407" s="5">
        <v>7.4999999999999997E-3</v>
      </c>
      <c r="N407" s="5">
        <v>7.4999999999999997E-3</v>
      </c>
      <c r="O407" s="5">
        <v>7.4999999999999997E-3</v>
      </c>
      <c r="P407" s="5">
        <v>7.4999999999999997E-3</v>
      </c>
      <c r="Q407" s="5">
        <v>0.01</v>
      </c>
      <c r="R407" s="5">
        <v>0.01</v>
      </c>
      <c r="S407" s="5">
        <v>0.01</v>
      </c>
      <c r="T407" s="5">
        <v>0.01</v>
      </c>
      <c r="U407" s="5">
        <v>0.01</v>
      </c>
    </row>
    <row r="408" spans="1:33" x14ac:dyDescent="0.25">
      <c r="A408" s="3"/>
      <c r="B408" s="3"/>
      <c r="D408" s="13" t="s">
        <v>146</v>
      </c>
      <c r="G408" s="12">
        <v>2.5000000000000001E-2</v>
      </c>
      <c r="H408" s="12">
        <v>2.5000000000000001E-2</v>
      </c>
      <c r="I408" s="12">
        <v>2.5000000000000001E-2</v>
      </c>
      <c r="J408" s="12">
        <v>0.01</v>
      </c>
      <c r="K408" s="12">
        <v>0.01</v>
      </c>
      <c r="L408" s="12">
        <v>0.01</v>
      </c>
      <c r="M408" s="12">
        <v>0.01</v>
      </c>
      <c r="N408" s="12">
        <v>0.01</v>
      </c>
      <c r="O408" s="12">
        <v>0.01</v>
      </c>
      <c r="P408" s="12">
        <v>0.01</v>
      </c>
      <c r="Q408" s="12">
        <v>0.03</v>
      </c>
      <c r="R408" s="12">
        <v>0.03</v>
      </c>
      <c r="S408" s="12">
        <v>0.03</v>
      </c>
      <c r="T408" s="12">
        <v>0.03</v>
      </c>
      <c r="U408" s="12">
        <v>0.03</v>
      </c>
    </row>
    <row r="409" spans="1:33" x14ac:dyDescent="0.25">
      <c r="A409" s="3"/>
      <c r="B409" s="3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spans="1:33" hidden="1" x14ac:dyDescent="0.25">
      <c r="A410" s="3"/>
      <c r="B410" s="3"/>
      <c r="C410" t="s">
        <v>120</v>
      </c>
      <c r="G410" s="10">
        <f>7087+27916+4164+47023</f>
        <v>86190</v>
      </c>
      <c r="H410" s="10">
        <f>6158+25495+4819+43765</f>
        <v>80237</v>
      </c>
      <c r="I410" s="10">
        <f>5882+24627+3288+41550</f>
        <v>75347</v>
      </c>
      <c r="J410" s="10">
        <f>4739+18344+3089+26820</f>
        <v>52992</v>
      </c>
      <c r="K410" s="10">
        <f>3956+14954+1646+22692</f>
        <v>43248</v>
      </c>
      <c r="L410" s="10">
        <f>3489+14518+610+20850</f>
        <v>39467</v>
      </c>
      <c r="M410" s="10">
        <f>3376+14445+409+19747</f>
        <v>37977</v>
      </c>
      <c r="N410" s="10">
        <f>3495+14423+403+20615</f>
        <v>38936</v>
      </c>
      <c r="O410" s="10">
        <f>1890+14607+495+22140</f>
        <v>39132</v>
      </c>
      <c r="P410" s="10">
        <f>2899+14341+1024+23932</f>
        <v>42196</v>
      </c>
      <c r="Q410" s="10">
        <f>2502+3600+1009</f>
        <v>7111</v>
      </c>
      <c r="R410" s="10">
        <f>2227+5890+1086</f>
        <v>9203</v>
      </c>
      <c r="S410" s="10">
        <f>2526+8680+272</f>
        <v>11478</v>
      </c>
      <c r="T410" s="10">
        <f>2526+6440+2089</f>
        <v>11055</v>
      </c>
      <c r="U410" s="10">
        <f>2188+6820+173</f>
        <v>9181</v>
      </c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spans="1:33" s="7" customFormat="1" x14ac:dyDescent="0.25">
      <c r="C411" t="s">
        <v>120</v>
      </c>
      <c r="G411" s="10">
        <v>4959</v>
      </c>
      <c r="H411" s="10">
        <v>4561</v>
      </c>
      <c r="I411" s="10">
        <v>4062</v>
      </c>
      <c r="J411" s="10">
        <v>2959</v>
      </c>
      <c r="K411" s="10">
        <v>2133</v>
      </c>
      <c r="L411" s="10">
        <v>2107</v>
      </c>
      <c r="M411" s="10">
        <v>1850</v>
      </c>
      <c r="N411" s="10">
        <v>2020</v>
      </c>
      <c r="O411" s="10">
        <v>2059</v>
      </c>
      <c r="P411" s="10">
        <v>2132</v>
      </c>
      <c r="Q411" s="10">
        <v>1172</v>
      </c>
      <c r="R411" s="10">
        <v>913</v>
      </c>
      <c r="S411" s="10">
        <v>945</v>
      </c>
      <c r="T411" s="10">
        <v>1011</v>
      </c>
      <c r="U411" s="10">
        <v>833</v>
      </c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spans="1:33" x14ac:dyDescent="0.25">
      <c r="A412" s="3"/>
      <c r="B412" s="3"/>
      <c r="C412" t="s">
        <v>114</v>
      </c>
      <c r="E412" t="s">
        <v>132</v>
      </c>
      <c r="G412" s="6">
        <v>145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spans="1:33" x14ac:dyDescent="0.25">
      <c r="A413" s="3"/>
      <c r="B413" s="3"/>
      <c r="C413" t="s">
        <v>3</v>
      </c>
      <c r="G413" s="5" t="s">
        <v>69</v>
      </c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1:33" x14ac:dyDescent="0.25">
      <c r="A414" s="3"/>
      <c r="B414" s="3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1:33" x14ac:dyDescent="0.25">
      <c r="A415" s="3" t="s">
        <v>56</v>
      </c>
      <c r="B415" s="3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33" x14ac:dyDescent="0.25">
      <c r="A416" s="3"/>
      <c r="B416" s="3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5" x14ac:dyDescent="0.25">
      <c r="A417" s="3"/>
      <c r="B417" s="3" t="s">
        <v>73</v>
      </c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5" x14ac:dyDescent="0.25">
      <c r="A418" s="3"/>
      <c r="B418" s="3"/>
      <c r="D418" s="23" t="s">
        <v>159</v>
      </c>
      <c r="G418" s="20">
        <v>0.01</v>
      </c>
      <c r="H418" s="20">
        <v>0.01</v>
      </c>
      <c r="I418" s="20">
        <v>0.01</v>
      </c>
      <c r="J418" s="20">
        <v>5.0000000000000001E-3</v>
      </c>
      <c r="K418" s="20">
        <v>5.0000000000000001E-3</v>
      </c>
      <c r="L418" s="20">
        <v>5.0000000000000001E-3</v>
      </c>
      <c r="M418" s="20">
        <v>5.0000000000000001E-3</v>
      </c>
      <c r="N418" s="20">
        <v>5.0000000000000001E-3</v>
      </c>
      <c r="O418" s="20">
        <v>5.0000000000000001E-3</v>
      </c>
      <c r="P418" s="20">
        <v>5.0000000000000001E-3</v>
      </c>
      <c r="Q418" s="20">
        <v>0.01</v>
      </c>
      <c r="R418" s="20">
        <v>0.01</v>
      </c>
      <c r="S418" s="20">
        <v>0.01</v>
      </c>
      <c r="T418" s="20">
        <v>0.01</v>
      </c>
      <c r="U418" s="20">
        <v>0.01</v>
      </c>
    </row>
    <row r="419" spans="1:25" x14ac:dyDescent="0.25">
      <c r="A419" s="3"/>
      <c r="B419" s="3"/>
      <c r="D419" s="23" t="s">
        <v>160</v>
      </c>
      <c r="G419" s="20">
        <v>0</v>
      </c>
      <c r="H419" s="20">
        <v>0</v>
      </c>
      <c r="I419" s="20">
        <v>0</v>
      </c>
      <c r="J419" s="20">
        <v>0</v>
      </c>
      <c r="K419" s="20">
        <v>0</v>
      </c>
      <c r="L419" s="20">
        <v>0</v>
      </c>
      <c r="M419" s="20">
        <v>0</v>
      </c>
      <c r="N419" s="20">
        <v>0</v>
      </c>
      <c r="O419" s="20">
        <v>0</v>
      </c>
      <c r="P419" s="20">
        <v>0</v>
      </c>
      <c r="Q419" s="20">
        <v>0</v>
      </c>
      <c r="R419" s="20">
        <v>0</v>
      </c>
      <c r="S419" s="20">
        <v>0</v>
      </c>
      <c r="T419" s="20">
        <v>0</v>
      </c>
      <c r="U419" s="20">
        <v>0</v>
      </c>
    </row>
    <row r="420" spans="1:25" x14ac:dyDescent="0.25">
      <c r="A420" s="3"/>
      <c r="B420" s="3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idden="1" x14ac:dyDescent="0.25">
      <c r="A421" s="3"/>
      <c r="B421" s="3"/>
      <c r="C421" t="s">
        <v>121</v>
      </c>
      <c r="G421" s="10">
        <f>499401+169611</f>
        <v>669012</v>
      </c>
      <c r="H421" s="10">
        <f>384499+177465</f>
        <v>561964</v>
      </c>
      <c r="I421" s="10">
        <f>246879+149191</f>
        <v>396070</v>
      </c>
      <c r="J421" s="10">
        <f>113692+210504</f>
        <v>324196</v>
      </c>
      <c r="K421" s="10">
        <f>51932+209903</f>
        <v>261835</v>
      </c>
      <c r="L421" s="10">
        <f>130190+36192</f>
        <v>166382</v>
      </c>
      <c r="M421" s="10">
        <f>155064+33912</f>
        <v>188976</v>
      </c>
      <c r="N421" s="10">
        <f>164241+33760</f>
        <v>198001</v>
      </c>
      <c r="O421" s="10">
        <f>163981+27690</f>
        <v>191671</v>
      </c>
      <c r="P421" s="10">
        <f>152450+37452</f>
        <v>189902</v>
      </c>
      <c r="Q421" s="10">
        <f>244778+74296</f>
        <v>319074</v>
      </c>
      <c r="R421" s="10">
        <f>132736+112577</f>
        <v>245313</v>
      </c>
      <c r="S421" s="10">
        <v>225262</v>
      </c>
      <c r="T421" s="10">
        <v>166697</v>
      </c>
      <c r="U421" s="10">
        <v>116507</v>
      </c>
      <c r="V421" s="6"/>
      <c r="W421" s="6"/>
      <c r="X421" s="6"/>
      <c r="Y421" s="6"/>
    </row>
    <row r="422" spans="1:25" s="7" customFormat="1" x14ac:dyDescent="0.25">
      <c r="C422" t="s">
        <v>121</v>
      </c>
      <c r="G422" s="10">
        <v>14066</v>
      </c>
      <c r="H422" s="10">
        <v>13706</v>
      </c>
      <c r="I422" s="10">
        <v>11801</v>
      </c>
      <c r="J422" s="10">
        <v>10067</v>
      </c>
      <c r="K422" s="10">
        <v>5775</v>
      </c>
      <c r="L422" s="10">
        <v>4266</v>
      </c>
      <c r="M422" s="10">
        <v>3873</v>
      </c>
      <c r="N422" s="10">
        <v>3789</v>
      </c>
      <c r="O422" s="10">
        <v>3311</v>
      </c>
      <c r="P422" s="10">
        <v>3814</v>
      </c>
      <c r="Q422" s="10">
        <v>3865</v>
      </c>
      <c r="R422" s="10">
        <v>3926</v>
      </c>
      <c r="S422" s="10">
        <v>3801</v>
      </c>
      <c r="T422" s="10">
        <v>3540</v>
      </c>
      <c r="U422" s="10">
        <v>3373</v>
      </c>
      <c r="V422" s="6"/>
      <c r="W422" s="6"/>
      <c r="X422" s="6"/>
      <c r="Y422" s="6"/>
    </row>
    <row r="423" spans="1:25" x14ac:dyDescent="0.25">
      <c r="A423" s="3"/>
      <c r="B423" s="3"/>
      <c r="C423" t="s">
        <v>114</v>
      </c>
      <c r="E423" t="s">
        <v>132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0</v>
      </c>
      <c r="S423" s="6">
        <v>0</v>
      </c>
      <c r="T423" s="6">
        <v>0</v>
      </c>
      <c r="U423" s="6">
        <v>0</v>
      </c>
      <c r="V423" s="6"/>
      <c r="W423" s="6"/>
      <c r="X423" s="6"/>
      <c r="Y423" s="6"/>
    </row>
    <row r="424" spans="1:25" x14ac:dyDescent="0.25">
      <c r="A424" s="3"/>
      <c r="B424" s="3"/>
      <c r="C424" t="s">
        <v>3</v>
      </c>
      <c r="G424" s="5" t="s">
        <v>77</v>
      </c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1:25" x14ac:dyDescent="0.25">
      <c r="A425" s="3"/>
      <c r="B425" s="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1:25" x14ac:dyDescent="0.25">
      <c r="A426" s="3"/>
      <c r="B426" s="3" t="s">
        <v>57</v>
      </c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1:25" x14ac:dyDescent="0.25">
      <c r="A427" s="3"/>
      <c r="B427" s="3"/>
      <c r="D427" s="23" t="s">
        <v>158</v>
      </c>
      <c r="G427" s="20">
        <v>0.01</v>
      </c>
      <c r="H427" s="20">
        <v>0.01</v>
      </c>
      <c r="I427" s="20">
        <v>0.01</v>
      </c>
      <c r="J427" s="20">
        <v>5.0000000000000001E-3</v>
      </c>
      <c r="K427" s="20">
        <v>5.0000000000000001E-3</v>
      </c>
      <c r="L427" s="20">
        <v>5.0000000000000001E-3</v>
      </c>
      <c r="M427" s="20">
        <v>5.0000000000000001E-3</v>
      </c>
      <c r="N427" s="20">
        <v>5.0000000000000001E-3</v>
      </c>
      <c r="O427" s="20">
        <v>5.0000000000000001E-3</v>
      </c>
      <c r="P427" s="20">
        <v>5.0000000000000001E-3</v>
      </c>
      <c r="Q427" s="20">
        <v>0.01</v>
      </c>
      <c r="R427" s="20">
        <v>0.01</v>
      </c>
      <c r="S427" s="20">
        <v>0.01</v>
      </c>
      <c r="T427" s="20">
        <v>0.01</v>
      </c>
      <c r="U427" s="20">
        <v>0.01</v>
      </c>
    </row>
    <row r="428" spans="1:25" x14ac:dyDescent="0.25">
      <c r="A428" s="3"/>
      <c r="B428" s="3"/>
      <c r="D428" s="23" t="s">
        <v>160</v>
      </c>
      <c r="G428" s="12">
        <v>0</v>
      </c>
      <c r="H428" s="12">
        <v>0</v>
      </c>
      <c r="I428" s="12">
        <v>0</v>
      </c>
      <c r="J428" s="12">
        <v>0</v>
      </c>
      <c r="K428" s="12">
        <v>0</v>
      </c>
      <c r="L428" s="12">
        <v>0</v>
      </c>
      <c r="M428" s="12">
        <v>0</v>
      </c>
      <c r="N428" s="12">
        <v>0</v>
      </c>
      <c r="O428" s="12">
        <v>0</v>
      </c>
      <c r="P428" s="12">
        <v>0</v>
      </c>
      <c r="Q428" s="12">
        <v>0</v>
      </c>
      <c r="R428" s="12">
        <v>0</v>
      </c>
      <c r="S428" s="12">
        <v>0</v>
      </c>
      <c r="T428" s="12">
        <v>0</v>
      </c>
      <c r="U428" s="12">
        <v>0</v>
      </c>
    </row>
    <row r="429" spans="1:25" x14ac:dyDescent="0.25">
      <c r="A429" s="3"/>
      <c r="B429" s="3"/>
      <c r="D429" s="13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</row>
    <row r="430" spans="1:25" x14ac:dyDescent="0.25">
      <c r="A430" s="3"/>
      <c r="B430" s="3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5" hidden="1" x14ac:dyDescent="0.25">
      <c r="A431" s="3"/>
      <c r="B431" s="3"/>
      <c r="C431" t="s">
        <v>120</v>
      </c>
      <c r="G431" s="8">
        <f>3500+4500</f>
        <v>8000</v>
      </c>
      <c r="H431" s="8">
        <f>3500+4500</f>
        <v>8000</v>
      </c>
      <c r="I431" s="8">
        <f>3500+4500</f>
        <v>8000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</row>
    <row r="432" spans="1:25" s="7" customFormat="1" x14ac:dyDescent="0.25">
      <c r="C432" t="s">
        <v>120</v>
      </c>
      <c r="G432" s="9">
        <v>1258</v>
      </c>
      <c r="H432" s="9">
        <v>1138</v>
      </c>
      <c r="I432" s="9">
        <v>1065</v>
      </c>
      <c r="J432" s="9">
        <f>J431/30</f>
        <v>0</v>
      </c>
      <c r="K432" s="9">
        <f>K431/31</f>
        <v>0</v>
      </c>
      <c r="L432" s="9">
        <f>L431/30</f>
        <v>0</v>
      </c>
      <c r="M432" s="9">
        <f>M431/31</f>
        <v>0</v>
      </c>
      <c r="N432" s="9">
        <f>N431/31</f>
        <v>0</v>
      </c>
      <c r="O432" s="9">
        <f>O431/30</f>
        <v>0</v>
      </c>
      <c r="P432" s="9">
        <f>P431/31</f>
        <v>0</v>
      </c>
      <c r="Q432" s="9">
        <f>Q431/30</f>
        <v>0</v>
      </c>
      <c r="R432" s="9">
        <f>R431/31</f>
        <v>0</v>
      </c>
      <c r="S432" s="9">
        <f>S431/31</f>
        <v>0</v>
      </c>
      <c r="T432" s="9">
        <f>T431/28</f>
        <v>0</v>
      </c>
      <c r="U432" s="9">
        <f>U431/31</f>
        <v>0</v>
      </c>
    </row>
    <row r="433" spans="1:46" x14ac:dyDescent="0.25">
      <c r="A433" s="3"/>
      <c r="B433" s="3"/>
      <c r="C433" t="s">
        <v>114</v>
      </c>
      <c r="G433" s="6">
        <v>150</v>
      </c>
      <c r="H433" s="6">
        <v>150</v>
      </c>
      <c r="I433" s="6">
        <v>150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0</v>
      </c>
      <c r="S433" s="6">
        <v>0</v>
      </c>
      <c r="T433" s="6">
        <v>0</v>
      </c>
      <c r="U433" s="6">
        <v>0</v>
      </c>
    </row>
    <row r="434" spans="1:46" x14ac:dyDescent="0.25">
      <c r="A434" s="3"/>
      <c r="B434" s="3"/>
      <c r="C434" t="s">
        <v>3</v>
      </c>
      <c r="G434" s="5" t="s">
        <v>66</v>
      </c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46" x14ac:dyDescent="0.25">
      <c r="A435" s="3"/>
      <c r="B435" s="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1:46" x14ac:dyDescent="0.25">
      <c r="A436" s="3"/>
      <c r="B436" s="3" t="s">
        <v>58</v>
      </c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spans="1:46" x14ac:dyDescent="0.25">
      <c r="A437" s="3"/>
      <c r="B437" s="3"/>
      <c r="D437" s="23" t="s">
        <v>158</v>
      </c>
      <c r="G437" s="20">
        <v>0.01</v>
      </c>
      <c r="H437" s="20">
        <v>0.01</v>
      </c>
      <c r="I437" s="20">
        <v>0.01</v>
      </c>
      <c r="J437" s="20">
        <v>5.0000000000000001E-3</v>
      </c>
      <c r="K437" s="20">
        <v>5.0000000000000001E-3</v>
      </c>
      <c r="L437" s="20">
        <v>5.0000000000000001E-3</v>
      </c>
      <c r="M437" s="20">
        <v>5.0000000000000001E-3</v>
      </c>
      <c r="N437" s="20">
        <v>5.0000000000000001E-3</v>
      </c>
      <c r="O437" s="20">
        <v>5.0000000000000001E-3</v>
      </c>
      <c r="P437" s="20">
        <v>5.0000000000000001E-3</v>
      </c>
      <c r="Q437" s="20">
        <v>0.01</v>
      </c>
      <c r="R437" s="20">
        <v>0.01</v>
      </c>
      <c r="S437" s="20">
        <v>0.01</v>
      </c>
      <c r="T437" s="20">
        <v>0.01</v>
      </c>
      <c r="U437" s="20">
        <v>0.01</v>
      </c>
    </row>
    <row r="438" spans="1:46" x14ac:dyDescent="0.25">
      <c r="A438" s="3"/>
      <c r="B438" s="3"/>
      <c r="D438" s="13" t="s">
        <v>146</v>
      </c>
      <c r="G438" s="12">
        <v>2.5000000000000001E-2</v>
      </c>
      <c r="H438" s="12">
        <v>2.5000000000000001E-2</v>
      </c>
      <c r="I438" s="12">
        <v>2.5000000000000001E-2</v>
      </c>
      <c r="J438" s="12">
        <v>0.01</v>
      </c>
      <c r="K438" s="12">
        <v>0.01</v>
      </c>
      <c r="L438" s="12">
        <v>0.01</v>
      </c>
      <c r="M438" s="12">
        <v>0.01</v>
      </c>
      <c r="N438" s="12">
        <v>0.01</v>
      </c>
      <c r="O438" s="12">
        <v>0.01</v>
      </c>
      <c r="P438" s="12">
        <v>0.01</v>
      </c>
      <c r="Q438" s="12">
        <v>0.03</v>
      </c>
      <c r="R438" s="12">
        <v>0.03</v>
      </c>
      <c r="S438" s="12">
        <v>0.03</v>
      </c>
      <c r="T438" s="12">
        <v>0.03</v>
      </c>
      <c r="U438" s="12">
        <v>0.03</v>
      </c>
    </row>
    <row r="439" spans="1:46" x14ac:dyDescent="0.25">
      <c r="A439" s="3"/>
      <c r="B439" s="3"/>
      <c r="D439" s="13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</row>
    <row r="440" spans="1:46" x14ac:dyDescent="0.25">
      <c r="A440" s="3"/>
      <c r="B440" s="3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</row>
    <row r="441" spans="1:46" hidden="1" x14ac:dyDescent="0.25">
      <c r="A441" s="3"/>
      <c r="B441" s="3"/>
      <c r="C441" t="s">
        <v>120</v>
      </c>
      <c r="G441" s="10">
        <f>240184+363+4477</f>
        <v>245024</v>
      </c>
      <c r="H441" s="10">
        <f>189853+414+4408</f>
        <v>194675</v>
      </c>
      <c r="I441" s="10">
        <f>166813+239+3404</f>
        <v>170456</v>
      </c>
      <c r="J441" s="10">
        <f>85167+2379+2292</f>
        <v>89838</v>
      </c>
      <c r="K441" s="10">
        <f>43589+162+762</f>
        <v>44513</v>
      </c>
      <c r="L441" s="10">
        <f>23204+76+538</f>
        <v>23818</v>
      </c>
      <c r="M441" s="10">
        <f>14589+77+439</f>
        <v>15105</v>
      </c>
      <c r="N441" s="10">
        <f>11893+77+484</f>
        <v>12454</v>
      </c>
      <c r="O441" s="10">
        <f>12111+75+449</f>
        <v>12635</v>
      </c>
      <c r="P441" s="10">
        <f>20267+3+327</f>
        <v>20597</v>
      </c>
      <c r="Q441" s="10">
        <f>27297</f>
        <v>27297</v>
      </c>
      <c r="R441" s="10">
        <f>29474</f>
        <v>29474</v>
      </c>
      <c r="S441" s="10">
        <f>31418</f>
        <v>31418</v>
      </c>
      <c r="T441" s="10">
        <f>19314</f>
        <v>19314</v>
      </c>
      <c r="U441" s="10">
        <f>7119</f>
        <v>7119</v>
      </c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</row>
    <row r="442" spans="1:46" s="7" customFormat="1" x14ac:dyDescent="0.25">
      <c r="C442" t="s">
        <v>120</v>
      </c>
      <c r="G442" s="10">
        <v>8101</v>
      </c>
      <c r="H442" s="10">
        <v>6880</v>
      </c>
      <c r="I442" s="10">
        <v>5636</v>
      </c>
      <c r="J442" s="10">
        <v>3082</v>
      </c>
      <c r="K442" s="10">
        <v>1490</v>
      </c>
      <c r="L442" s="10">
        <v>839</v>
      </c>
      <c r="M442" s="10">
        <v>528</v>
      </c>
      <c r="N442" s="10">
        <v>442</v>
      </c>
      <c r="O442" s="10">
        <v>460</v>
      </c>
      <c r="P442" s="10">
        <v>713</v>
      </c>
      <c r="Q442" s="10">
        <v>972</v>
      </c>
      <c r="R442" s="10">
        <v>1017</v>
      </c>
      <c r="S442" s="10">
        <v>1075</v>
      </c>
      <c r="T442" s="10">
        <v>756</v>
      </c>
      <c r="U442" s="10">
        <v>287</v>
      </c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</row>
    <row r="443" spans="1:46" x14ac:dyDescent="0.25">
      <c r="A443" s="3"/>
      <c r="B443" s="3"/>
      <c r="C443" t="s">
        <v>114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</row>
    <row r="444" spans="1:46" x14ac:dyDescent="0.25">
      <c r="A444" s="3"/>
      <c r="B444" s="3"/>
      <c r="C444" t="s">
        <v>3</v>
      </c>
      <c r="G444" s="5" t="s">
        <v>67</v>
      </c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1:46" x14ac:dyDescent="0.25">
      <c r="A445" s="3"/>
      <c r="B445" s="3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1:46" x14ac:dyDescent="0.25">
      <c r="A446" s="3"/>
      <c r="B446" s="3" t="s">
        <v>59</v>
      </c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1:46" x14ac:dyDescent="0.25">
      <c r="A447" s="3"/>
      <c r="B447" s="3"/>
      <c r="D447" s="23" t="s">
        <v>158</v>
      </c>
      <c r="G447" s="20">
        <v>0.01</v>
      </c>
      <c r="H447" s="20">
        <v>0.01</v>
      </c>
      <c r="I447" s="20">
        <v>0.01</v>
      </c>
      <c r="J447" s="20">
        <v>5.0000000000000001E-3</v>
      </c>
      <c r="K447" s="20">
        <v>5.0000000000000001E-3</v>
      </c>
      <c r="L447" s="20">
        <v>5.0000000000000001E-3</v>
      </c>
      <c r="M447" s="20">
        <v>5.0000000000000001E-3</v>
      </c>
      <c r="N447" s="20">
        <v>5.0000000000000001E-3</v>
      </c>
      <c r="O447" s="20">
        <v>5.0000000000000001E-3</v>
      </c>
      <c r="P447" s="20">
        <v>5.0000000000000001E-3</v>
      </c>
      <c r="Q447" s="20">
        <v>0.01</v>
      </c>
      <c r="R447" s="20">
        <v>0.01</v>
      </c>
      <c r="S447" s="20">
        <v>0.01</v>
      </c>
      <c r="T447" s="20">
        <v>0.01</v>
      </c>
      <c r="U447" s="20">
        <v>0.01</v>
      </c>
    </row>
    <row r="448" spans="1:46" x14ac:dyDescent="0.25">
      <c r="A448" s="3"/>
      <c r="B448" s="3"/>
      <c r="D448" s="13" t="s">
        <v>147</v>
      </c>
      <c r="G448" s="12">
        <v>0.4</v>
      </c>
      <c r="H448" s="12">
        <v>0.16</v>
      </c>
      <c r="I448" s="12">
        <v>0.08</v>
      </c>
      <c r="J448" s="12">
        <v>0.01</v>
      </c>
      <c r="K448" s="12">
        <v>0.01</v>
      </c>
      <c r="L448" s="12">
        <v>0.01</v>
      </c>
      <c r="M448" s="12">
        <v>0.01</v>
      </c>
      <c r="N448" s="12">
        <v>0.01</v>
      </c>
      <c r="O448" s="12">
        <v>0.01</v>
      </c>
      <c r="P448" s="12">
        <v>0.01</v>
      </c>
      <c r="Q448" s="12">
        <v>0.04</v>
      </c>
      <c r="R448" s="12">
        <v>0.04</v>
      </c>
      <c r="S448" s="12">
        <v>0.04</v>
      </c>
      <c r="T448" s="12">
        <v>0.04</v>
      </c>
      <c r="U448" s="12">
        <v>0.04</v>
      </c>
    </row>
    <row r="449" spans="1:24" x14ac:dyDescent="0.25">
      <c r="A449" s="3"/>
      <c r="B449" s="3"/>
      <c r="D449" s="13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</row>
    <row r="450" spans="1:24" x14ac:dyDescent="0.25">
      <c r="A450" s="3"/>
      <c r="B450" s="3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1:24" hidden="1" x14ac:dyDescent="0.25">
      <c r="A451" s="3"/>
      <c r="B451" s="3"/>
      <c r="C451" t="s">
        <v>120</v>
      </c>
      <c r="G451" s="10">
        <f>5782+9028+43507</f>
        <v>58317</v>
      </c>
      <c r="H451" s="10">
        <f>5075+7482+40769</f>
        <v>53326</v>
      </c>
      <c r="I451" s="10">
        <f>3995+7174+37839</f>
        <v>49008</v>
      </c>
      <c r="J451" s="10">
        <f>791+2563+26146</f>
        <v>29500</v>
      </c>
      <c r="K451" s="10">
        <f>632+1727+16450</f>
        <v>18809</v>
      </c>
      <c r="L451" s="10">
        <f>602+1497+13439</f>
        <v>15538</v>
      </c>
      <c r="M451" s="10">
        <f>611+1402+12551</f>
        <v>14564</v>
      </c>
      <c r="N451" s="10">
        <f>611+1359+12546</f>
        <v>14516</v>
      </c>
      <c r="O451" s="10">
        <f>596+1358+11570</f>
        <v>13524</v>
      </c>
      <c r="P451" s="10">
        <f>556+996+14928</f>
        <v>16480</v>
      </c>
      <c r="Q451" s="10">
        <f>536+754+18569</f>
        <v>19859</v>
      </c>
      <c r="R451" s="10">
        <f>548+767+20604</f>
        <v>21919</v>
      </c>
      <c r="S451" s="10">
        <f>548+767+19194</f>
        <v>20509</v>
      </c>
      <c r="T451" s="10">
        <f>512+728+18612</f>
        <v>19852</v>
      </c>
      <c r="U451" s="10">
        <f>544+767+17898</f>
        <v>19209</v>
      </c>
      <c r="V451" s="6"/>
      <c r="W451" s="6"/>
      <c r="X451" s="6"/>
    </row>
    <row r="452" spans="1:24" s="7" customFormat="1" x14ac:dyDescent="0.25">
      <c r="C452" t="s">
        <v>120</v>
      </c>
      <c r="G452" s="10">
        <v>233</v>
      </c>
      <c r="H452" s="10">
        <v>272</v>
      </c>
      <c r="I452" s="10">
        <v>245</v>
      </c>
      <c r="J452" s="10">
        <v>89</v>
      </c>
      <c r="K452" s="10">
        <v>59</v>
      </c>
      <c r="L452" s="10">
        <v>54</v>
      </c>
      <c r="M452" s="10">
        <v>49</v>
      </c>
      <c r="N452" s="10">
        <v>44</v>
      </c>
      <c r="O452" s="10">
        <v>45</v>
      </c>
      <c r="P452" s="10">
        <v>32</v>
      </c>
      <c r="Q452" s="10">
        <v>25</v>
      </c>
      <c r="R452" s="10">
        <v>25</v>
      </c>
      <c r="S452" s="10">
        <v>25</v>
      </c>
      <c r="T452" s="10">
        <v>26</v>
      </c>
      <c r="U452" s="10">
        <v>25</v>
      </c>
      <c r="V452" s="6"/>
      <c r="W452" s="6"/>
      <c r="X452" s="6"/>
    </row>
    <row r="453" spans="1:24" x14ac:dyDescent="0.25">
      <c r="A453" s="3"/>
      <c r="B453" s="3"/>
      <c r="C453" t="s">
        <v>114</v>
      </c>
      <c r="G453" s="6">
        <v>572</v>
      </c>
      <c r="H453" s="6">
        <v>572</v>
      </c>
      <c r="I453" s="6">
        <v>572</v>
      </c>
      <c r="J453" s="6">
        <v>572</v>
      </c>
      <c r="K453" s="6">
        <v>572</v>
      </c>
      <c r="L453" s="6">
        <v>572</v>
      </c>
      <c r="M453" s="6">
        <v>572</v>
      </c>
      <c r="N453" s="6">
        <v>572</v>
      </c>
      <c r="O453" s="6">
        <v>572</v>
      </c>
      <c r="P453" s="6">
        <v>572</v>
      </c>
      <c r="Q453" s="6">
        <v>572</v>
      </c>
      <c r="R453" s="6">
        <v>572</v>
      </c>
      <c r="S453" s="6">
        <v>572</v>
      </c>
      <c r="T453" s="6">
        <v>572</v>
      </c>
      <c r="U453" s="6">
        <v>572</v>
      </c>
      <c r="V453" s="6"/>
      <c r="W453" s="6"/>
      <c r="X453" s="6"/>
    </row>
    <row r="454" spans="1:24" x14ac:dyDescent="0.25">
      <c r="A454" s="3"/>
      <c r="B454" s="3"/>
      <c r="C454" t="s">
        <v>3</v>
      </c>
      <c r="G454" s="5" t="s">
        <v>68</v>
      </c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spans="1:24" x14ac:dyDescent="0.25">
      <c r="A455" s="3"/>
      <c r="B455" s="3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spans="1:24" x14ac:dyDescent="0.25">
      <c r="A456" s="3" t="s">
        <v>60</v>
      </c>
      <c r="B456" s="3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spans="1:24" x14ac:dyDescent="0.25">
      <c r="A457" s="3"/>
      <c r="B457" s="3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 spans="1:24" x14ac:dyDescent="0.25">
      <c r="A458" s="3"/>
      <c r="B458" s="3" t="s">
        <v>57</v>
      </c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4" x14ac:dyDescent="0.25">
      <c r="A459" s="3"/>
      <c r="B459" s="3"/>
      <c r="D459" t="s">
        <v>157</v>
      </c>
      <c r="G459" s="5">
        <v>0.01</v>
      </c>
      <c r="H459" s="5">
        <v>0.01</v>
      </c>
      <c r="I459" s="5">
        <v>0.01</v>
      </c>
      <c r="J459" s="5">
        <v>0.01</v>
      </c>
      <c r="K459" s="5">
        <v>0.01</v>
      </c>
      <c r="L459" s="5">
        <v>0.01</v>
      </c>
      <c r="M459" s="5">
        <v>0.01</v>
      </c>
      <c r="N459" s="5">
        <v>0.01</v>
      </c>
      <c r="O459" s="5">
        <v>0.01</v>
      </c>
      <c r="P459" s="5">
        <v>0.01</v>
      </c>
      <c r="Q459" s="5">
        <v>0.01</v>
      </c>
      <c r="R459" s="5">
        <v>0.01</v>
      </c>
      <c r="S459" s="5">
        <v>0.01</v>
      </c>
      <c r="T459" s="5">
        <v>0.01</v>
      </c>
      <c r="U459" s="5">
        <v>0.01</v>
      </c>
    </row>
    <row r="460" spans="1:24" x14ac:dyDescent="0.25">
      <c r="A460" s="3"/>
      <c r="B460" s="3"/>
      <c r="D460" s="13" t="s">
        <v>146</v>
      </c>
      <c r="G460" s="12">
        <v>2.5000000000000001E-2</v>
      </c>
      <c r="H460" s="12">
        <v>2.5000000000000001E-2</v>
      </c>
      <c r="I460" s="12">
        <v>2.5000000000000001E-2</v>
      </c>
      <c r="J460" s="12">
        <v>0.01</v>
      </c>
      <c r="K460" s="12">
        <v>0.01</v>
      </c>
      <c r="L460" s="12">
        <v>0.01</v>
      </c>
      <c r="M460" s="12">
        <v>0.01</v>
      </c>
      <c r="N460" s="12">
        <v>0.01</v>
      </c>
      <c r="O460" s="12">
        <v>0.01</v>
      </c>
      <c r="P460" s="12">
        <v>0.01</v>
      </c>
      <c r="Q460" s="12">
        <v>0.03</v>
      </c>
      <c r="R460" s="12">
        <v>0.03</v>
      </c>
      <c r="S460" s="12">
        <v>0.03</v>
      </c>
      <c r="T460" s="12">
        <v>0.03</v>
      </c>
      <c r="U460" s="12">
        <v>0.03</v>
      </c>
    </row>
    <row r="461" spans="1:24" x14ac:dyDescent="0.25">
      <c r="A461" s="3"/>
      <c r="B461" s="3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4" x14ac:dyDescent="0.25">
      <c r="A462" s="3"/>
      <c r="B462" s="3"/>
      <c r="C462" t="s">
        <v>120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</row>
    <row r="463" spans="1:24" x14ac:dyDescent="0.25">
      <c r="A463" s="3"/>
      <c r="B463" s="3"/>
      <c r="C463" t="s">
        <v>114</v>
      </c>
      <c r="G463" s="6">
        <v>479</v>
      </c>
      <c r="H463" s="6">
        <v>479</v>
      </c>
      <c r="I463" s="6">
        <v>479</v>
      </c>
      <c r="J463" s="6">
        <v>479</v>
      </c>
      <c r="K463" s="6">
        <v>479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</row>
    <row r="464" spans="1:24" x14ac:dyDescent="0.25">
      <c r="A464" s="3"/>
      <c r="B464" s="3"/>
      <c r="C464" t="s">
        <v>3</v>
      </c>
      <c r="G464" s="5" t="s">
        <v>65</v>
      </c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spans="1:51" x14ac:dyDescent="0.25">
      <c r="A465" s="3"/>
      <c r="B465" s="3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51" x14ac:dyDescent="0.25">
      <c r="A466" s="3"/>
      <c r="B466" s="3" t="s">
        <v>61</v>
      </c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spans="1:51" x14ac:dyDescent="0.25">
      <c r="A467" s="3"/>
      <c r="B467" s="3"/>
      <c r="D467" t="s">
        <v>157</v>
      </c>
      <c r="G467" s="5">
        <v>0.01</v>
      </c>
      <c r="H467" s="5">
        <v>0.01</v>
      </c>
      <c r="I467" s="5">
        <v>0.01</v>
      </c>
      <c r="J467" s="5">
        <v>0.01</v>
      </c>
      <c r="K467" s="5">
        <v>0.01</v>
      </c>
      <c r="L467" s="5">
        <v>0.01</v>
      </c>
      <c r="M467" s="5">
        <v>0.01</v>
      </c>
      <c r="N467" s="5">
        <v>0.01</v>
      </c>
      <c r="O467" s="5">
        <v>0.01</v>
      </c>
      <c r="P467" s="5">
        <v>0.01</v>
      </c>
      <c r="Q467" s="5">
        <v>0.01</v>
      </c>
      <c r="R467" s="5">
        <v>0.01</v>
      </c>
      <c r="S467" s="5">
        <v>0.01</v>
      </c>
      <c r="T467" s="5">
        <v>0.01</v>
      </c>
      <c r="U467" s="5">
        <v>0.01</v>
      </c>
    </row>
    <row r="468" spans="1:51" x14ac:dyDescent="0.25">
      <c r="A468" s="3"/>
      <c r="B468" s="3"/>
      <c r="D468" s="13" t="s">
        <v>146</v>
      </c>
      <c r="G468" s="12">
        <v>0.2</v>
      </c>
      <c r="H468" s="12">
        <v>0.2</v>
      </c>
      <c r="I468" s="12">
        <v>0.2</v>
      </c>
      <c r="J468" s="12">
        <v>0.1</v>
      </c>
      <c r="K468" s="12">
        <v>0.1</v>
      </c>
      <c r="L468" s="12">
        <v>0.1</v>
      </c>
      <c r="M468" s="12">
        <v>0.1</v>
      </c>
      <c r="N468" s="12">
        <v>0.1</v>
      </c>
      <c r="O468" s="12">
        <v>0.1</v>
      </c>
      <c r="P468" s="12">
        <v>0.1</v>
      </c>
      <c r="Q468" s="12">
        <v>0.25</v>
      </c>
      <c r="R468" s="12">
        <v>0.25</v>
      </c>
      <c r="S468" s="12">
        <v>0.25</v>
      </c>
      <c r="T468" s="12">
        <v>0.25</v>
      </c>
      <c r="U468" s="12">
        <v>0.25</v>
      </c>
    </row>
    <row r="469" spans="1:51" x14ac:dyDescent="0.25">
      <c r="A469" s="3"/>
      <c r="B469" s="3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</row>
    <row r="470" spans="1:51" hidden="1" x14ac:dyDescent="0.25">
      <c r="A470" s="3"/>
      <c r="B470" s="3"/>
      <c r="C470" t="s">
        <v>113</v>
      </c>
      <c r="G470" s="10">
        <f>997+1560+605+9069+620+688+38419+10075+1856+1000</f>
        <v>64889</v>
      </c>
      <c r="H470" s="10">
        <f>949+1435+605+8556+600+700+38361+1758+565</f>
        <v>53529</v>
      </c>
      <c r="I470" s="10">
        <f>817+1300+500+610+400+29526+2507+588</f>
        <v>36248</v>
      </c>
      <c r="J470" s="10">
        <f>280+400+600+26346+2829+588</f>
        <v>31043</v>
      </c>
      <c r="K470" s="10">
        <f>96+300+580+24552+2930+567</f>
        <v>29025</v>
      </c>
      <c r="L470" s="10">
        <f>53+200+400+24487+1201+536</f>
        <v>26877</v>
      </c>
      <c r="M470" s="10">
        <f>51+100+350+22943+984+652</f>
        <v>25080</v>
      </c>
      <c r="N470" s="10">
        <f>49+100+350+24562+1131+621</f>
        <v>26813</v>
      </c>
      <c r="O470" s="10">
        <f>56+120+300+24633+1183+450</f>
        <v>26742</v>
      </c>
      <c r="P470" s="10">
        <f>64+300+400+27441+3060+465</f>
        <v>31730</v>
      </c>
      <c r="Q470" s="10">
        <f>350+450+6203+480</f>
        <v>7483</v>
      </c>
      <c r="R470" s="10">
        <f>605+600+7503+550</f>
        <v>9258</v>
      </c>
      <c r="S470" s="10">
        <f>605+620+8433</f>
        <v>9658</v>
      </c>
      <c r="T470" s="10">
        <f>605+580+5925</f>
        <v>7110</v>
      </c>
      <c r="U470" s="10">
        <f>500+4579</f>
        <v>5079</v>
      </c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</row>
    <row r="471" spans="1:51" s="7" customFormat="1" x14ac:dyDescent="0.25">
      <c r="C471" t="s">
        <v>120</v>
      </c>
      <c r="G471" s="10">
        <v>1991</v>
      </c>
      <c r="H471" s="10">
        <v>2054</v>
      </c>
      <c r="I471" s="10">
        <f>I470/31</f>
        <v>1169.2903225806451</v>
      </c>
      <c r="J471" s="10">
        <f>J470/30</f>
        <v>1034.7666666666667</v>
      </c>
      <c r="K471" s="10">
        <f>K470/31</f>
        <v>936.29032258064512</v>
      </c>
      <c r="L471" s="10">
        <f>L470/30</f>
        <v>895.9</v>
      </c>
      <c r="M471" s="10">
        <f>M470/31</f>
        <v>809.0322580645161</v>
      </c>
      <c r="N471" s="10">
        <f>N470/31</f>
        <v>864.93548387096769</v>
      </c>
      <c r="O471" s="10">
        <f>O470/30</f>
        <v>891.4</v>
      </c>
      <c r="P471" s="10">
        <f>P470/31</f>
        <v>1023.5483870967741</v>
      </c>
      <c r="Q471" s="10">
        <f>Q470/30</f>
        <v>249.43333333333334</v>
      </c>
      <c r="R471" s="10">
        <f>R470/31</f>
        <v>298.64516129032256</v>
      </c>
      <c r="S471" s="10">
        <f>S470/31</f>
        <v>311.54838709677421</v>
      </c>
      <c r="T471" s="10">
        <f>T470/28</f>
        <v>253.92857142857142</v>
      </c>
      <c r="U471" s="10">
        <f>U470/31</f>
        <v>163.83870967741936</v>
      </c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</row>
    <row r="472" spans="1:51" x14ac:dyDescent="0.25">
      <c r="A472" s="3"/>
      <c r="B472" s="3"/>
      <c r="C472" t="s">
        <v>114</v>
      </c>
      <c r="E472" t="s">
        <v>132</v>
      </c>
      <c r="G472" s="21">
        <v>0</v>
      </c>
      <c r="H472" s="21">
        <v>0</v>
      </c>
      <c r="I472" s="21">
        <v>0</v>
      </c>
      <c r="J472" s="21">
        <v>0</v>
      </c>
      <c r="K472" s="21">
        <v>0</v>
      </c>
      <c r="L472" s="21">
        <v>0</v>
      </c>
      <c r="M472" s="21">
        <v>0</v>
      </c>
      <c r="N472" s="21">
        <v>0</v>
      </c>
      <c r="O472" s="21">
        <v>0</v>
      </c>
      <c r="P472" s="21">
        <v>0</v>
      </c>
      <c r="Q472" s="21">
        <v>0</v>
      </c>
      <c r="R472" s="21">
        <v>0</v>
      </c>
      <c r="S472" s="21">
        <v>0</v>
      </c>
      <c r="T472" s="21">
        <v>0</v>
      </c>
      <c r="U472" s="21">
        <v>0</v>
      </c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</row>
    <row r="473" spans="1:51" x14ac:dyDescent="0.25">
      <c r="A473" s="3"/>
      <c r="B473" s="3"/>
      <c r="C473" t="s">
        <v>3</v>
      </c>
      <c r="G473" s="5" t="s">
        <v>64</v>
      </c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spans="1:51" x14ac:dyDescent="0.25">
      <c r="A474" s="3"/>
      <c r="B474" s="3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spans="1:51" x14ac:dyDescent="0.25">
      <c r="A475" s="3"/>
      <c r="B475" s="3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spans="1:51" x14ac:dyDescent="0.25">
      <c r="A476" s="3" t="s">
        <v>128</v>
      </c>
      <c r="B476" s="3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spans="1:51" x14ac:dyDescent="0.25">
      <c r="A477" s="3"/>
      <c r="B477" s="3"/>
      <c r="D477" t="s">
        <v>157</v>
      </c>
      <c r="G477" s="5">
        <v>0.01</v>
      </c>
      <c r="H477" s="5">
        <v>0.01</v>
      </c>
      <c r="I477" s="5">
        <v>0.01</v>
      </c>
      <c r="J477" s="5">
        <v>0.01</v>
      </c>
      <c r="K477" s="5">
        <v>0.01</v>
      </c>
      <c r="L477" s="5">
        <v>0.01</v>
      </c>
      <c r="M477" s="5">
        <v>0.01</v>
      </c>
      <c r="N477" s="5">
        <v>0.01</v>
      </c>
      <c r="O477" s="5">
        <v>0.01</v>
      </c>
      <c r="P477" s="5">
        <v>0.01</v>
      </c>
      <c r="Q477" s="5">
        <v>0.01</v>
      </c>
      <c r="R477" s="5">
        <v>0.01</v>
      </c>
      <c r="S477" s="5">
        <v>0.01</v>
      </c>
      <c r="T477" s="5">
        <v>0.01</v>
      </c>
      <c r="U477" s="5">
        <v>0.01</v>
      </c>
    </row>
    <row r="478" spans="1:51" x14ac:dyDescent="0.25">
      <c r="A478" s="3"/>
      <c r="B478" s="3"/>
      <c r="D478" s="23" t="s">
        <v>155</v>
      </c>
      <c r="E478" s="23"/>
      <c r="F478" s="23"/>
      <c r="G478" s="26">
        <v>0</v>
      </c>
      <c r="H478" s="26">
        <v>0</v>
      </c>
      <c r="I478" s="26">
        <v>0</v>
      </c>
      <c r="J478" s="26">
        <v>0</v>
      </c>
      <c r="K478" s="26">
        <v>0</v>
      </c>
      <c r="L478" s="26">
        <v>0</v>
      </c>
      <c r="M478" s="26">
        <v>0</v>
      </c>
      <c r="N478" s="26">
        <v>0</v>
      </c>
      <c r="O478" s="26">
        <v>0</v>
      </c>
      <c r="P478" s="26">
        <v>0</v>
      </c>
      <c r="Q478" s="26">
        <v>0</v>
      </c>
      <c r="R478" s="26">
        <v>0</v>
      </c>
      <c r="S478" s="26">
        <v>0</v>
      </c>
      <c r="T478" s="26">
        <v>0</v>
      </c>
      <c r="U478" s="26">
        <v>0</v>
      </c>
      <c r="V478" s="23"/>
      <c r="W478" s="23"/>
      <c r="X478" s="23"/>
      <c r="Y478" s="23"/>
      <c r="Z478" s="23"/>
      <c r="AA478" s="23"/>
      <c r="AB478" s="23"/>
      <c r="AC478" s="23"/>
      <c r="AD478" s="23"/>
    </row>
    <row r="479" spans="1:51" x14ac:dyDescent="0.25">
      <c r="A479" s="3"/>
      <c r="B479" s="3"/>
      <c r="E479" s="24"/>
      <c r="F479" s="24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</row>
    <row r="480" spans="1:51" hidden="1" x14ac:dyDescent="0.25">
      <c r="A480" s="3"/>
      <c r="B480" s="3"/>
      <c r="C480" t="s">
        <v>113</v>
      </c>
      <c r="G480" s="10">
        <v>0</v>
      </c>
      <c r="H480" s="10">
        <v>0</v>
      </c>
      <c r="I480" s="10">
        <v>0</v>
      </c>
      <c r="J480" s="10">
        <v>0</v>
      </c>
      <c r="K480" s="10">
        <v>0</v>
      </c>
      <c r="L480" s="10">
        <v>0</v>
      </c>
      <c r="M480" s="10">
        <v>0</v>
      </c>
      <c r="N480" s="10">
        <v>0</v>
      </c>
      <c r="O480" s="10">
        <v>0</v>
      </c>
      <c r="P480" s="10">
        <v>0</v>
      </c>
      <c r="Q480" s="10">
        <v>0</v>
      </c>
      <c r="R480" s="10">
        <v>0</v>
      </c>
      <c r="S480" s="10">
        <v>0</v>
      </c>
      <c r="T480" s="10">
        <v>0</v>
      </c>
      <c r="U480" s="10">
        <v>0</v>
      </c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</row>
    <row r="481" spans="1:51" s="7" customFormat="1" x14ac:dyDescent="0.25">
      <c r="C481" t="s">
        <v>121</v>
      </c>
      <c r="G481" s="10">
        <v>4115</v>
      </c>
      <c r="H481" s="10">
        <v>4061</v>
      </c>
      <c r="I481" s="10">
        <v>3641</v>
      </c>
      <c r="J481" s="10">
        <v>2617</v>
      </c>
      <c r="K481" s="10">
        <f>K480/31</f>
        <v>0</v>
      </c>
      <c r="L481" s="10">
        <f>L480/30</f>
        <v>0</v>
      </c>
      <c r="M481" s="10">
        <f>M480/31</f>
        <v>0</v>
      </c>
      <c r="N481" s="10">
        <f>N480/31</f>
        <v>0</v>
      </c>
      <c r="O481" s="10">
        <f>O480/30</f>
        <v>0</v>
      </c>
      <c r="P481" s="10">
        <v>1016</v>
      </c>
      <c r="Q481" s="10">
        <v>1183</v>
      </c>
      <c r="R481" s="10">
        <v>1155</v>
      </c>
      <c r="S481" s="10">
        <v>1112</v>
      </c>
      <c r="T481" s="10">
        <v>1041</v>
      </c>
      <c r="U481" s="10">
        <v>1037</v>
      </c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</row>
    <row r="482" spans="1:51" x14ac:dyDescent="0.25">
      <c r="A482" s="3"/>
      <c r="B482" s="3"/>
      <c r="C482" t="s">
        <v>114</v>
      </c>
      <c r="E482" t="s">
        <v>132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0</v>
      </c>
      <c r="S482" s="6">
        <v>0</v>
      </c>
      <c r="T482" s="6">
        <v>0</v>
      </c>
      <c r="U482" s="6">
        <v>0</v>
      </c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</row>
    <row r="483" spans="1:51" x14ac:dyDescent="0.25">
      <c r="A483" s="3"/>
      <c r="B483" s="3"/>
      <c r="C483" t="s">
        <v>3</v>
      </c>
      <c r="G483" s="5" t="s">
        <v>77</v>
      </c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spans="1:51" x14ac:dyDescent="0.25">
      <c r="A484" s="3"/>
      <c r="B484" s="3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spans="1:51" x14ac:dyDescent="0.25">
      <c r="A485" s="3" t="s">
        <v>62</v>
      </c>
      <c r="B485" s="3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spans="1:51" x14ac:dyDescent="0.25">
      <c r="A486" s="3"/>
      <c r="B486" s="3"/>
      <c r="D486" s="14" t="s">
        <v>166</v>
      </c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1:51" x14ac:dyDescent="0.25">
      <c r="A487" s="3"/>
      <c r="B487" s="3"/>
      <c r="D487" s="13" t="s">
        <v>146</v>
      </c>
      <c r="G487" s="20">
        <v>0.2165</v>
      </c>
      <c r="H487" s="20">
        <v>0.2165</v>
      </c>
      <c r="I487" s="12">
        <v>0.2</v>
      </c>
      <c r="J487" s="12">
        <v>0.1</v>
      </c>
      <c r="K487" s="12">
        <v>0.1</v>
      </c>
      <c r="L487" s="12">
        <v>0.1</v>
      </c>
      <c r="M487" s="12">
        <v>0.1</v>
      </c>
      <c r="N487" s="12">
        <v>0.1</v>
      </c>
      <c r="O487" s="12">
        <v>0.1</v>
      </c>
      <c r="P487" s="12">
        <v>0.1</v>
      </c>
      <c r="Q487" s="12">
        <v>0.25</v>
      </c>
      <c r="R487" s="12">
        <v>0.25</v>
      </c>
      <c r="S487" s="12">
        <v>0.2165</v>
      </c>
      <c r="T487" s="12">
        <v>0.2165</v>
      </c>
      <c r="U487" s="12">
        <v>0.25</v>
      </c>
    </row>
    <row r="488" spans="1:51" x14ac:dyDescent="0.25">
      <c r="A488" s="3"/>
      <c r="B488" s="3"/>
      <c r="G488" s="6" t="s">
        <v>165</v>
      </c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</row>
    <row r="489" spans="1:51" hidden="1" x14ac:dyDescent="0.25">
      <c r="A489" s="3"/>
      <c r="B489" s="3"/>
      <c r="C489" t="s">
        <v>113</v>
      </c>
      <c r="G489" s="10">
        <f>90+56267+3102+650+8600+72</f>
        <v>68781</v>
      </c>
      <c r="H489" s="10">
        <f>10+52659+1219+650+8000+68</f>
        <v>62606</v>
      </c>
      <c r="I489" s="10">
        <f>6+4291+1143+650+7500+67</f>
        <v>13657</v>
      </c>
      <c r="J489" s="10">
        <f>4+4792+1226+650+7000+76</f>
        <v>13748</v>
      </c>
      <c r="K489" s="10">
        <f>16+5486+10350+650+7000+68</f>
        <v>23570</v>
      </c>
      <c r="L489" s="10">
        <f>32+8205+3726+650+7020+71</f>
        <v>19704</v>
      </c>
      <c r="M489" s="10">
        <f>8377+3555+650+8000</f>
        <v>20582</v>
      </c>
      <c r="N489" s="10">
        <f>13012+5085+650+8000</f>
        <v>26747</v>
      </c>
      <c r="O489" s="10">
        <f>11510+6478+650+8500</f>
        <v>27138</v>
      </c>
      <c r="P489" s="10">
        <f>9140+5779+650+8500</f>
        <v>24069</v>
      </c>
      <c r="Q489" s="10">
        <f>3718+650+7000</f>
        <v>11368</v>
      </c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</row>
    <row r="490" spans="1:51" s="7" customFormat="1" x14ac:dyDescent="0.25">
      <c r="C490" t="s">
        <v>120</v>
      </c>
      <c r="G490" s="10">
        <f>G489/31</f>
        <v>2218.7419354838707</v>
      </c>
      <c r="H490" s="10">
        <f>H489/29</f>
        <v>2158.8275862068967</v>
      </c>
      <c r="I490" s="10">
        <f>I489/31</f>
        <v>440.54838709677421</v>
      </c>
      <c r="J490" s="10">
        <f>J489/30</f>
        <v>458.26666666666665</v>
      </c>
      <c r="K490" s="10">
        <f>K489/31</f>
        <v>760.32258064516134</v>
      </c>
      <c r="L490" s="10">
        <f>L489/30</f>
        <v>656.8</v>
      </c>
      <c r="M490" s="10">
        <f>M489/31</f>
        <v>663.93548387096769</v>
      </c>
      <c r="N490" s="10">
        <f>N489/31</f>
        <v>862.80645161290317</v>
      </c>
      <c r="O490" s="10">
        <f>O489/30</f>
        <v>904.6</v>
      </c>
      <c r="P490" s="10">
        <f>P489/31</f>
        <v>776.41935483870964</v>
      </c>
      <c r="Q490" s="10">
        <f>Q489/30</f>
        <v>378.93333333333334</v>
      </c>
      <c r="R490" s="10">
        <f>R489/31</f>
        <v>0</v>
      </c>
      <c r="S490" s="10">
        <f>S489/31</f>
        <v>0</v>
      </c>
      <c r="T490" s="10">
        <f>T489/28</f>
        <v>0</v>
      </c>
      <c r="U490" s="10">
        <f>U489/31</f>
        <v>0</v>
      </c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</row>
    <row r="491" spans="1:51" x14ac:dyDescent="0.25">
      <c r="A491" s="3"/>
      <c r="B491" s="3"/>
      <c r="C491" t="s">
        <v>114</v>
      </c>
      <c r="F491" s="7"/>
      <c r="G491" s="6">
        <v>844</v>
      </c>
      <c r="H491" s="6">
        <v>844</v>
      </c>
      <c r="I491" s="6">
        <v>844</v>
      </c>
      <c r="J491" s="6">
        <v>844</v>
      </c>
      <c r="K491" s="6">
        <v>844</v>
      </c>
      <c r="L491" s="6">
        <v>775</v>
      </c>
      <c r="M491" s="6">
        <v>775</v>
      </c>
      <c r="N491" s="6">
        <v>775</v>
      </c>
      <c r="O491" s="6">
        <v>775</v>
      </c>
      <c r="P491" s="6">
        <v>775</v>
      </c>
      <c r="Q491" s="6">
        <v>672</v>
      </c>
      <c r="R491" s="6">
        <v>672</v>
      </c>
      <c r="S491" s="6">
        <v>672</v>
      </c>
      <c r="T491" s="6">
        <v>672</v>
      </c>
      <c r="U491" s="6">
        <v>672</v>
      </c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spans="1:51" x14ac:dyDescent="0.25">
      <c r="A492" s="3"/>
      <c r="B492" s="3"/>
      <c r="C492" t="s">
        <v>3</v>
      </c>
      <c r="G492" s="5" t="s">
        <v>131</v>
      </c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 spans="1:51" x14ac:dyDescent="0.25">
      <c r="A493" s="3"/>
      <c r="B493" s="3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spans="1:51" x14ac:dyDescent="0.25">
      <c r="A494" s="3"/>
      <c r="B494" s="3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spans="1:51" x14ac:dyDescent="0.25">
      <c r="A495" s="3" t="s">
        <v>63</v>
      </c>
      <c r="B495" s="3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51" x14ac:dyDescent="0.25">
      <c r="A496" s="3"/>
      <c r="B496" s="3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1:21" x14ac:dyDescent="0.25">
      <c r="A497" s="3"/>
      <c r="B497" s="3"/>
      <c r="G497" s="5" t="s">
        <v>151</v>
      </c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1:21" x14ac:dyDescent="0.25">
      <c r="A498" s="3"/>
      <c r="B498" s="3"/>
      <c r="G498" s="5" t="s">
        <v>152</v>
      </c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 x14ac:dyDescent="0.25">
      <c r="A499" s="3"/>
      <c r="B499" s="3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1:21" x14ac:dyDescent="0.25">
      <c r="A500" s="3"/>
      <c r="B500" s="3"/>
      <c r="C500" t="s">
        <v>113</v>
      </c>
      <c r="G500" s="8">
        <v>4500</v>
      </c>
      <c r="H500" s="8">
        <v>4500</v>
      </c>
      <c r="I500" s="8">
        <v>4500</v>
      </c>
      <c r="J500" s="8">
        <v>4200</v>
      </c>
      <c r="K500" s="8">
        <v>4200</v>
      </c>
      <c r="L500" s="8">
        <v>4200</v>
      </c>
      <c r="M500" s="8">
        <v>4200</v>
      </c>
      <c r="N500" s="8">
        <v>4200</v>
      </c>
      <c r="O500" s="8">
        <v>4200</v>
      </c>
      <c r="P500" s="8">
        <v>4200</v>
      </c>
      <c r="Q500" s="6">
        <v>0</v>
      </c>
      <c r="R500" s="6">
        <v>0</v>
      </c>
      <c r="S500" s="6">
        <v>0</v>
      </c>
      <c r="T500" s="6">
        <v>0</v>
      </c>
      <c r="U500" s="6">
        <v>0</v>
      </c>
    </row>
    <row r="501" spans="1:21" x14ac:dyDescent="0.25">
      <c r="A501" s="3"/>
      <c r="B501" s="3"/>
      <c r="C501" t="s">
        <v>114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0</v>
      </c>
      <c r="S501" s="6">
        <v>0</v>
      </c>
      <c r="T501" s="6">
        <v>0</v>
      </c>
      <c r="U501" s="6">
        <v>0</v>
      </c>
    </row>
    <row r="502" spans="1:21" x14ac:dyDescent="0.25">
      <c r="A502" s="3"/>
      <c r="B502" s="3"/>
      <c r="C502" t="s">
        <v>3</v>
      </c>
      <c r="G502" s="20" t="s">
        <v>150</v>
      </c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1:21" x14ac:dyDescent="0.25">
      <c r="A503" s="3"/>
      <c r="B503" s="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 spans="1:21" x14ac:dyDescent="0.25">
      <c r="A504" s="3"/>
      <c r="B504" s="3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spans="1:21" x14ac:dyDescent="0.25">
      <c r="A505" s="3" t="s">
        <v>70</v>
      </c>
      <c r="B505" s="3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1:21" x14ac:dyDescent="0.25">
      <c r="A506" s="3"/>
      <c r="B506" s="3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1:21" x14ac:dyDescent="0.25">
      <c r="A507" s="3"/>
      <c r="B507" s="3"/>
      <c r="D507" s="16" t="s">
        <v>164</v>
      </c>
      <c r="G507" s="5">
        <v>6.5000000000000002E-2</v>
      </c>
      <c r="H507" s="5">
        <v>6.5000000000000002E-2</v>
      </c>
      <c r="I507" s="5">
        <v>6.5000000000000002E-2</v>
      </c>
      <c r="J507" s="5">
        <v>0.03</v>
      </c>
      <c r="K507" s="5">
        <v>2.75E-2</v>
      </c>
      <c r="L507" s="5">
        <v>2.75E-2</v>
      </c>
      <c r="M507" s="5">
        <v>2.75E-2</v>
      </c>
      <c r="N507" s="5">
        <v>2.75E-2</v>
      </c>
      <c r="O507" s="5">
        <v>2.75E-2</v>
      </c>
      <c r="P507" s="5">
        <v>0.03</v>
      </c>
      <c r="Q507" s="5">
        <v>6.5000000000000002E-2</v>
      </c>
      <c r="R507" s="5">
        <v>6.5000000000000002E-2</v>
      </c>
      <c r="S507" s="5">
        <v>6.5000000000000002E-2</v>
      </c>
      <c r="T507" s="5">
        <v>6.5000000000000002E-2</v>
      </c>
      <c r="U507" s="5">
        <v>6.5000000000000002E-2</v>
      </c>
    </row>
    <row r="508" spans="1:21" x14ac:dyDescent="0.25">
      <c r="A508" s="3"/>
      <c r="B508" s="3"/>
      <c r="G508" s="5" t="s">
        <v>153</v>
      </c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1:21" hidden="1" x14ac:dyDescent="0.25">
      <c r="A509" s="3"/>
      <c r="B509" s="3"/>
      <c r="C509" t="s">
        <v>113</v>
      </c>
      <c r="G509" s="8">
        <v>9127</v>
      </c>
      <c r="H509" s="8">
        <v>6543</v>
      </c>
      <c r="I509" s="8">
        <v>4501</v>
      </c>
      <c r="J509" s="8">
        <v>4045</v>
      </c>
      <c r="K509" s="8">
        <v>6366</v>
      </c>
      <c r="L509" s="8">
        <v>6428</v>
      </c>
      <c r="M509" s="8">
        <v>2499</v>
      </c>
      <c r="N509" s="8">
        <v>2447</v>
      </c>
      <c r="O509" s="8">
        <v>2570</v>
      </c>
      <c r="P509" s="8">
        <v>895</v>
      </c>
      <c r="Q509" s="8">
        <v>37</v>
      </c>
      <c r="R509" s="8">
        <v>53</v>
      </c>
      <c r="S509" s="8">
        <v>99</v>
      </c>
      <c r="T509" s="8">
        <v>68</v>
      </c>
      <c r="U509" s="8">
        <v>38</v>
      </c>
    </row>
    <row r="510" spans="1:21" s="7" customFormat="1" x14ac:dyDescent="0.25">
      <c r="C510" t="s">
        <v>120</v>
      </c>
      <c r="G510" s="9">
        <v>2190</v>
      </c>
      <c r="H510" s="9">
        <v>2329</v>
      </c>
      <c r="I510" s="9">
        <v>2224</v>
      </c>
      <c r="J510" s="9">
        <v>2109</v>
      </c>
      <c r="K510" s="9">
        <v>1762</v>
      </c>
      <c r="L510" s="9">
        <v>1135</v>
      </c>
      <c r="M510" s="9">
        <v>781</v>
      </c>
      <c r="N510" s="9">
        <v>683</v>
      </c>
      <c r="O510" s="9">
        <v>435</v>
      </c>
      <c r="P510" s="9">
        <v>402</v>
      </c>
      <c r="Q510" s="9">
        <v>456</v>
      </c>
      <c r="R510" s="9">
        <v>2</v>
      </c>
      <c r="S510" s="9">
        <v>3</v>
      </c>
      <c r="T510" s="9">
        <v>2</v>
      </c>
      <c r="U510" s="9">
        <v>1</v>
      </c>
    </row>
    <row r="511" spans="1:21" x14ac:dyDescent="0.25">
      <c r="A511" s="3"/>
      <c r="B511" s="3"/>
      <c r="C511" t="s">
        <v>114</v>
      </c>
      <c r="G511" s="6">
        <v>0</v>
      </c>
      <c r="H511" s="6">
        <v>0</v>
      </c>
      <c r="I511" s="6">
        <v>0</v>
      </c>
      <c r="J511" s="6">
        <v>0</v>
      </c>
      <c r="K511" s="6">
        <v>0</v>
      </c>
      <c r="L511" s="6">
        <v>0</v>
      </c>
      <c r="M511" s="6">
        <v>0</v>
      </c>
      <c r="N511" s="6">
        <v>0</v>
      </c>
      <c r="O511" s="6">
        <v>0</v>
      </c>
      <c r="P511" s="6">
        <v>0</v>
      </c>
      <c r="Q511" s="6">
        <v>0</v>
      </c>
      <c r="R511" s="6">
        <v>0</v>
      </c>
      <c r="S511" s="6">
        <v>0</v>
      </c>
      <c r="T511" s="6">
        <v>0</v>
      </c>
      <c r="U511" s="6">
        <v>0</v>
      </c>
    </row>
    <row r="512" spans="1:21" x14ac:dyDescent="0.25">
      <c r="A512" s="3"/>
      <c r="B512" s="3"/>
      <c r="C512" t="s">
        <v>3</v>
      </c>
      <c r="G512" s="5" t="s">
        <v>71</v>
      </c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 spans="1:25" x14ac:dyDescent="0.25">
      <c r="A513" s="3"/>
      <c r="B513" s="3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 spans="1:25" x14ac:dyDescent="0.25">
      <c r="A514" s="3"/>
      <c r="B514" s="3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 spans="1:25" x14ac:dyDescent="0.25">
      <c r="A515" s="3" t="s">
        <v>72</v>
      </c>
      <c r="B515" s="3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1:25" x14ac:dyDescent="0.25">
      <c r="A516" s="3"/>
      <c r="B516" s="3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1:25" x14ac:dyDescent="0.25">
      <c r="A517" s="3"/>
      <c r="B517" s="3" t="s">
        <v>73</v>
      </c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1:25" x14ac:dyDescent="0.25">
      <c r="A518" s="3"/>
      <c r="B518" s="3"/>
      <c r="D518" s="16" t="s">
        <v>164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</row>
    <row r="519" spans="1:25" x14ac:dyDescent="0.25">
      <c r="A519" s="3"/>
      <c r="B519" s="3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idden="1" x14ac:dyDescent="0.25">
      <c r="A520" s="3"/>
      <c r="B520" s="3"/>
      <c r="C520" t="s">
        <v>113</v>
      </c>
      <c r="G520" s="6">
        <f>102+36400</f>
        <v>36502</v>
      </c>
      <c r="H520" s="6">
        <f>102+34400</f>
        <v>34502</v>
      </c>
      <c r="I520" s="6">
        <f>102+34400</f>
        <v>34502</v>
      </c>
      <c r="J520" s="6">
        <f>102+23000</f>
        <v>23102</v>
      </c>
      <c r="K520" s="6">
        <f>102+21000</f>
        <v>21102</v>
      </c>
      <c r="L520" s="6">
        <v>102</v>
      </c>
      <c r="M520" s="6">
        <v>102</v>
      </c>
      <c r="N520" s="6">
        <v>102</v>
      </c>
      <c r="O520" s="6">
        <v>102</v>
      </c>
      <c r="P520" s="6">
        <v>102</v>
      </c>
      <c r="Q520" s="6">
        <v>102</v>
      </c>
      <c r="R520" s="6">
        <v>102</v>
      </c>
      <c r="S520" s="6">
        <v>102</v>
      </c>
      <c r="T520" s="6">
        <v>102</v>
      </c>
      <c r="U520" s="6">
        <v>102</v>
      </c>
      <c r="V520" s="6"/>
      <c r="W520" s="6"/>
      <c r="X520" s="6"/>
      <c r="Y520" s="6"/>
    </row>
    <row r="521" spans="1:25" s="7" customFormat="1" x14ac:dyDescent="0.25">
      <c r="C521" t="s">
        <v>120</v>
      </c>
      <c r="G521" s="10">
        <v>2918</v>
      </c>
      <c r="H521" s="10">
        <v>2751</v>
      </c>
      <c r="I521" s="10">
        <v>2372</v>
      </c>
      <c r="J521" s="10">
        <v>1481</v>
      </c>
      <c r="K521" s="10">
        <v>1228</v>
      </c>
      <c r="L521" s="10">
        <v>429</v>
      </c>
      <c r="M521" s="10">
        <v>427</v>
      </c>
      <c r="N521" s="10">
        <v>428</v>
      </c>
      <c r="O521" s="10">
        <v>440</v>
      </c>
      <c r="P521" s="10">
        <v>526</v>
      </c>
      <c r="Q521" s="10">
        <v>280</v>
      </c>
      <c r="R521" s="10">
        <v>55</v>
      </c>
      <c r="S521" s="10">
        <v>78</v>
      </c>
      <c r="T521" s="10">
        <v>54</v>
      </c>
      <c r="U521" s="10">
        <v>51</v>
      </c>
      <c r="V521" s="6"/>
      <c r="W521" s="6"/>
      <c r="X521" s="6"/>
      <c r="Y521" s="6"/>
    </row>
    <row r="522" spans="1:25" x14ac:dyDescent="0.25">
      <c r="A522" s="3"/>
      <c r="B522" s="3"/>
      <c r="C522" t="s">
        <v>114</v>
      </c>
      <c r="G522" s="21">
        <v>0</v>
      </c>
      <c r="H522" s="21">
        <v>0</v>
      </c>
      <c r="I522" s="21">
        <v>0</v>
      </c>
      <c r="J522" s="21">
        <v>0</v>
      </c>
      <c r="K522" s="21">
        <v>0</v>
      </c>
      <c r="L522" s="21">
        <v>0</v>
      </c>
      <c r="M522" s="21">
        <v>0</v>
      </c>
      <c r="N522" s="21">
        <v>0</v>
      </c>
      <c r="O522" s="21">
        <v>0</v>
      </c>
      <c r="P522" s="21">
        <v>0</v>
      </c>
      <c r="Q522" s="21">
        <v>0</v>
      </c>
      <c r="R522" s="21">
        <v>0</v>
      </c>
      <c r="S522" s="21">
        <v>0</v>
      </c>
      <c r="T522" s="21">
        <v>0</v>
      </c>
      <c r="U522" s="21">
        <v>0</v>
      </c>
      <c r="V522" s="6"/>
      <c r="W522" s="6"/>
      <c r="X522" s="6"/>
      <c r="Y522" s="6"/>
    </row>
    <row r="523" spans="1:25" x14ac:dyDescent="0.25">
      <c r="A523" s="3"/>
      <c r="B523" s="3"/>
      <c r="C523" t="s">
        <v>3</v>
      </c>
      <c r="G523" s="5" t="s">
        <v>74</v>
      </c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 spans="1:25" x14ac:dyDescent="0.25">
      <c r="A524" s="3"/>
      <c r="B524" s="3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 spans="1:25" x14ac:dyDescent="0.25">
      <c r="A525" s="3" t="s">
        <v>75</v>
      </c>
      <c r="B525" s="3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 spans="1:25" x14ac:dyDescent="0.25">
      <c r="A526" s="3"/>
      <c r="B526" s="3" t="s">
        <v>76</v>
      </c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1:25" x14ac:dyDescent="0.25">
      <c r="A527" s="3"/>
      <c r="B527" s="3"/>
      <c r="D527" s="23" t="s">
        <v>156</v>
      </c>
      <c r="G527" s="5">
        <v>0.01</v>
      </c>
      <c r="H527" s="5">
        <v>0.01</v>
      </c>
      <c r="I527" s="5">
        <v>0.01</v>
      </c>
      <c r="J527" s="5">
        <v>0.01</v>
      </c>
      <c r="K527" s="5">
        <v>0.01</v>
      </c>
      <c r="L527" s="5">
        <v>0.01</v>
      </c>
      <c r="M527" s="5">
        <v>0.01</v>
      </c>
      <c r="N527" s="5">
        <v>0.01</v>
      </c>
      <c r="O527" s="5">
        <v>0.01</v>
      </c>
      <c r="P527" s="5">
        <v>0.01</v>
      </c>
      <c r="Q527" s="5">
        <v>0.01</v>
      </c>
      <c r="R527" s="5">
        <v>0.01</v>
      </c>
      <c r="S527" s="5">
        <v>0.01</v>
      </c>
      <c r="T527" s="5">
        <v>0.01</v>
      </c>
      <c r="U527" s="5">
        <v>0.01</v>
      </c>
    </row>
    <row r="528" spans="1:25" x14ac:dyDescent="0.25">
      <c r="A528" s="3"/>
      <c r="B528" s="3"/>
      <c r="D528" s="23" t="s">
        <v>155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</row>
    <row r="529" spans="1:35" x14ac:dyDescent="0.25">
      <c r="A529" s="3"/>
      <c r="B529" s="3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35" hidden="1" x14ac:dyDescent="0.25">
      <c r="A530" s="3"/>
      <c r="B530" s="3"/>
      <c r="C530" t="s">
        <v>113</v>
      </c>
      <c r="G530" s="10">
        <f>868976+295129</f>
        <v>1164105</v>
      </c>
      <c r="H530" s="10">
        <f>683580+315505</f>
        <v>999085</v>
      </c>
      <c r="I530" s="10">
        <f>422148+255108</f>
        <v>677256</v>
      </c>
      <c r="J530" s="10">
        <f>193676+358596</f>
        <v>552272</v>
      </c>
      <c r="K530" s="10">
        <f>91498+369826</f>
        <v>461324</v>
      </c>
      <c r="L530" s="10">
        <f>68345+245852</f>
        <v>314197</v>
      </c>
      <c r="M530" s="10">
        <f>64349+294239</f>
        <v>358588</v>
      </c>
      <c r="N530" s="10">
        <f>61857+300931</f>
        <v>362788</v>
      </c>
      <c r="O530" s="10">
        <f>53919+319316</f>
        <v>373235</v>
      </c>
      <c r="P530" s="10">
        <f>73483+299110</f>
        <v>372593</v>
      </c>
      <c r="Q530" s="10">
        <f>131968+434789</f>
        <v>566757</v>
      </c>
      <c r="R530" s="10">
        <f>207117+244206</f>
        <v>451323</v>
      </c>
      <c r="S530" s="10">
        <v>225262</v>
      </c>
      <c r="T530" s="10">
        <v>166697</v>
      </c>
      <c r="U530" s="10">
        <v>116507</v>
      </c>
      <c r="V530" s="6"/>
      <c r="W530" s="6"/>
      <c r="X530" s="6"/>
      <c r="Y530" s="6"/>
    </row>
    <row r="531" spans="1:35" s="7" customFormat="1" x14ac:dyDescent="0.25">
      <c r="C531" t="s">
        <v>130</v>
      </c>
      <c r="G531" s="10">
        <v>33409</v>
      </c>
      <c r="H531" s="10">
        <v>31464</v>
      </c>
      <c r="I531" s="10">
        <v>17118</v>
      </c>
      <c r="J531" s="10">
        <v>3495</v>
      </c>
      <c r="K531" s="10">
        <v>1591</v>
      </c>
      <c r="L531" s="10">
        <v>1175</v>
      </c>
      <c r="M531" s="10">
        <v>1067</v>
      </c>
      <c r="N531" s="10">
        <v>1044</v>
      </c>
      <c r="O531" s="10">
        <v>912</v>
      </c>
      <c r="P531" s="10">
        <v>1331</v>
      </c>
      <c r="Q531" s="10">
        <v>6485</v>
      </c>
      <c r="R531" s="10">
        <v>9148</v>
      </c>
      <c r="S531" s="10">
        <v>9205</v>
      </c>
      <c r="T531" s="10">
        <v>8243</v>
      </c>
      <c r="U531" s="10">
        <v>5267</v>
      </c>
      <c r="V531" s="6"/>
      <c r="W531" s="6"/>
      <c r="X531" s="6"/>
      <c r="Y531" s="6"/>
    </row>
    <row r="532" spans="1:35" x14ac:dyDescent="0.25">
      <c r="A532" s="3"/>
      <c r="B532" s="3"/>
      <c r="C532" t="s">
        <v>114</v>
      </c>
      <c r="E532" t="s">
        <v>132</v>
      </c>
      <c r="G532" s="6">
        <v>39226</v>
      </c>
      <c r="H532" s="6">
        <v>0</v>
      </c>
      <c r="I532" s="6">
        <v>0</v>
      </c>
      <c r="J532" s="6">
        <v>0</v>
      </c>
      <c r="K532" s="6">
        <v>0</v>
      </c>
      <c r="L532" s="6">
        <v>0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6">
        <v>0</v>
      </c>
      <c r="S532" s="6">
        <v>0</v>
      </c>
      <c r="T532" s="6">
        <v>0</v>
      </c>
      <c r="U532" s="6">
        <v>0</v>
      </c>
      <c r="V532" s="6"/>
      <c r="W532" s="6"/>
      <c r="X532" s="6"/>
      <c r="Y532" s="6"/>
    </row>
    <row r="533" spans="1:35" x14ac:dyDescent="0.25">
      <c r="A533" s="3"/>
      <c r="B533" s="3"/>
      <c r="C533" t="s">
        <v>3</v>
      </c>
      <c r="G533" s="5" t="s">
        <v>77</v>
      </c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 spans="1:35" x14ac:dyDescent="0.25">
      <c r="A534" s="3"/>
      <c r="B534" s="3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r="535" spans="1:35" x14ac:dyDescent="0.25">
      <c r="A535" s="3" t="s">
        <v>116</v>
      </c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spans="1:35" x14ac:dyDescent="0.25">
      <c r="A536" s="3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spans="1:35" x14ac:dyDescent="0.25">
      <c r="A537" s="3"/>
      <c r="D537" s="16" t="s">
        <v>119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</row>
    <row r="538" spans="1:35" x14ac:dyDescent="0.25">
      <c r="A538" s="3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</row>
    <row r="539" spans="1:35" hidden="1" x14ac:dyDescent="0.25">
      <c r="A539" s="3"/>
      <c r="C539" t="s">
        <v>113</v>
      </c>
      <c r="G539" s="10">
        <v>406573</v>
      </c>
      <c r="H539" s="10">
        <v>359126</v>
      </c>
      <c r="I539" s="10">
        <v>305826</v>
      </c>
      <c r="J539" s="10">
        <v>162419</v>
      </c>
      <c r="K539" s="10">
        <v>97390</v>
      </c>
      <c r="L539" s="10">
        <v>54734</v>
      </c>
      <c r="M539" s="10">
        <v>43817</v>
      </c>
      <c r="N539" s="10">
        <v>46682</v>
      </c>
      <c r="O539" s="10">
        <v>73242</v>
      </c>
      <c r="P539" s="10">
        <v>139437</v>
      </c>
      <c r="Q539" s="10">
        <v>202820</v>
      </c>
      <c r="R539" s="10">
        <v>281221</v>
      </c>
      <c r="S539" s="10">
        <v>313615</v>
      </c>
      <c r="T539" s="10">
        <v>276994</v>
      </c>
      <c r="U539" s="10">
        <v>235879</v>
      </c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</row>
    <row r="540" spans="1:35" s="7" customFormat="1" x14ac:dyDescent="0.25">
      <c r="C540" t="s">
        <v>121</v>
      </c>
      <c r="G540" s="10">
        <v>12824</v>
      </c>
      <c r="H540" s="10">
        <v>12472</v>
      </c>
      <c r="I540" s="10">
        <v>9646</v>
      </c>
      <c r="J540" s="10">
        <v>5090</v>
      </c>
      <c r="K540" s="10">
        <v>3051</v>
      </c>
      <c r="L540" s="10">
        <v>1713</v>
      </c>
      <c r="M540" s="10">
        <v>1371</v>
      </c>
      <c r="N540" s="10">
        <v>1461</v>
      </c>
      <c r="O540" s="10">
        <v>2294</v>
      </c>
      <c r="P540" s="10">
        <v>4369</v>
      </c>
      <c r="Q540" s="10">
        <v>6356</v>
      </c>
      <c r="R540" s="10">
        <v>8814</v>
      </c>
      <c r="S540" s="10">
        <v>9830</v>
      </c>
      <c r="T540" s="10">
        <v>8682</v>
      </c>
      <c r="U540" s="10">
        <v>7393</v>
      </c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</row>
    <row r="541" spans="1:35" x14ac:dyDescent="0.25">
      <c r="A541" s="3"/>
      <c r="C541" t="s">
        <v>114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0</v>
      </c>
      <c r="M541" s="6">
        <v>0</v>
      </c>
      <c r="N541" s="6">
        <v>0</v>
      </c>
      <c r="O541" s="6">
        <v>0</v>
      </c>
      <c r="P541" s="6">
        <v>0</v>
      </c>
      <c r="Q541" s="6">
        <v>0</v>
      </c>
      <c r="R541" s="6">
        <v>0</v>
      </c>
      <c r="S541" s="6">
        <v>0</v>
      </c>
      <c r="T541" s="6">
        <v>0</v>
      </c>
      <c r="U541" s="6">
        <v>0</v>
      </c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</row>
    <row r="542" spans="1:35" x14ac:dyDescent="0.25">
      <c r="A542" s="3"/>
      <c r="C542" t="s">
        <v>3</v>
      </c>
      <c r="G542" s="5" t="s">
        <v>116</v>
      </c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 spans="1:35" x14ac:dyDescent="0.25">
      <c r="A543" s="3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r="544" spans="1:35" x14ac:dyDescent="0.25">
      <c r="A544" s="3" t="s">
        <v>127</v>
      </c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spans="1:70" x14ac:dyDescent="0.25">
      <c r="A545" s="3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spans="1:70" x14ac:dyDescent="0.25">
      <c r="A546" s="3"/>
      <c r="D546" s="16" t="s">
        <v>118</v>
      </c>
      <c r="G546" s="5">
        <v>0.01</v>
      </c>
      <c r="H546" s="5">
        <v>0.01</v>
      </c>
      <c r="I546" s="5">
        <v>0.01</v>
      </c>
      <c r="J546" s="5">
        <v>0.01</v>
      </c>
      <c r="K546" s="5">
        <v>0.01</v>
      </c>
      <c r="L546" s="5">
        <v>0.01</v>
      </c>
      <c r="M546" s="5">
        <v>0.01</v>
      </c>
      <c r="N546" s="5">
        <v>0.01</v>
      </c>
      <c r="O546" s="5">
        <v>0.01</v>
      </c>
      <c r="P546" s="5">
        <v>0.01</v>
      </c>
      <c r="Q546" s="5">
        <v>0.01</v>
      </c>
      <c r="R546" s="5">
        <v>0.01</v>
      </c>
      <c r="S546" s="5">
        <v>0.01</v>
      </c>
      <c r="T546" s="5">
        <v>0.01</v>
      </c>
      <c r="U546" s="5">
        <v>0.01</v>
      </c>
    </row>
    <row r="547" spans="1:70" x14ac:dyDescent="0.25">
      <c r="A547" s="3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</row>
    <row r="548" spans="1:70" hidden="1" x14ac:dyDescent="0.25">
      <c r="A548" s="3"/>
      <c r="C548" t="s">
        <v>120</v>
      </c>
      <c r="G548" s="6">
        <v>131</v>
      </c>
      <c r="H548" s="6">
        <v>129</v>
      </c>
      <c r="I548" s="6">
        <v>98</v>
      </c>
      <c r="J548" s="6">
        <v>0</v>
      </c>
      <c r="K548" s="6">
        <v>0</v>
      </c>
      <c r="L548" s="6">
        <v>0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6">
        <v>0</v>
      </c>
      <c r="S548" s="6">
        <v>0</v>
      </c>
      <c r="T548" s="6">
        <v>0</v>
      </c>
      <c r="U548" s="6">
        <v>0</v>
      </c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</row>
    <row r="549" spans="1:70" s="7" customFormat="1" x14ac:dyDescent="0.25">
      <c r="C549" t="s">
        <v>120</v>
      </c>
      <c r="G549" s="10">
        <f>G548/31</f>
        <v>4.225806451612903</v>
      </c>
      <c r="H549" s="10">
        <f>H548/29</f>
        <v>4.4482758620689653</v>
      </c>
      <c r="I549" s="10">
        <f>I548/31</f>
        <v>3.161290322580645</v>
      </c>
      <c r="J549" s="10">
        <f>J548/30</f>
        <v>0</v>
      </c>
      <c r="K549" s="10">
        <f>K548/31</f>
        <v>0</v>
      </c>
      <c r="L549" s="10">
        <f>L548/30</f>
        <v>0</v>
      </c>
      <c r="M549" s="10">
        <f>M548/31</f>
        <v>0</v>
      </c>
      <c r="N549" s="10">
        <f>N548/31</f>
        <v>0</v>
      </c>
      <c r="O549" s="10">
        <f>O548/30</f>
        <v>0</v>
      </c>
      <c r="P549" s="10">
        <f>P548/31</f>
        <v>0</v>
      </c>
      <c r="Q549" s="10">
        <f>Q548/30</f>
        <v>0</v>
      </c>
      <c r="R549" s="10">
        <f>R548/31</f>
        <v>0</v>
      </c>
      <c r="S549" s="10">
        <f>S548/31</f>
        <v>0</v>
      </c>
      <c r="T549" s="10">
        <f>T548/28</f>
        <v>0</v>
      </c>
      <c r="U549" s="10">
        <f>U548/31</f>
        <v>0</v>
      </c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</row>
    <row r="550" spans="1:70" x14ac:dyDescent="0.25">
      <c r="A550" s="3"/>
      <c r="C550" t="s">
        <v>114</v>
      </c>
      <c r="G550" s="6">
        <v>0</v>
      </c>
      <c r="H550" s="6">
        <v>0</v>
      </c>
      <c r="I550" s="6">
        <v>0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0</v>
      </c>
      <c r="S550" s="6">
        <v>0</v>
      </c>
      <c r="T550" s="6">
        <v>0</v>
      </c>
      <c r="U550" s="6">
        <v>0</v>
      </c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</row>
    <row r="551" spans="1:70" hidden="1" x14ac:dyDescent="0.25">
      <c r="A551" s="3"/>
      <c r="C551" t="s">
        <v>121</v>
      </c>
      <c r="G551" s="10">
        <v>33136</v>
      </c>
      <c r="H551" s="10">
        <v>26999</v>
      </c>
      <c r="I551" s="10">
        <v>22807</v>
      </c>
      <c r="J551" s="10">
        <v>13872</v>
      </c>
      <c r="K551" s="10">
        <v>11531</v>
      </c>
      <c r="L551" s="10">
        <v>383</v>
      </c>
      <c r="M551" s="10">
        <v>317</v>
      </c>
      <c r="N551" s="10">
        <v>316</v>
      </c>
      <c r="O551" s="10">
        <v>378</v>
      </c>
      <c r="P551" s="6">
        <v>0</v>
      </c>
      <c r="Q551" s="6">
        <v>0</v>
      </c>
      <c r="R551" s="6">
        <v>0</v>
      </c>
      <c r="S551" s="6">
        <v>0</v>
      </c>
      <c r="T551" s="6">
        <v>0</v>
      </c>
      <c r="U551" s="6">
        <v>0</v>
      </c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</row>
    <row r="552" spans="1:70" s="7" customFormat="1" x14ac:dyDescent="0.25">
      <c r="C552" t="s">
        <v>121</v>
      </c>
      <c r="G552" s="10">
        <f>G551/31</f>
        <v>1068.9032258064517</v>
      </c>
      <c r="H552" s="10">
        <v>959</v>
      </c>
      <c r="I552" s="10">
        <f>I551/31</f>
        <v>735.70967741935488</v>
      </c>
      <c r="J552" s="10">
        <f>J551/30</f>
        <v>462.4</v>
      </c>
      <c r="K552" s="10">
        <f>K551/31</f>
        <v>371.96774193548384</v>
      </c>
      <c r="L552" s="10">
        <f>L551/30</f>
        <v>12.766666666666667</v>
      </c>
      <c r="M552" s="10">
        <f>M551/31</f>
        <v>10.225806451612904</v>
      </c>
      <c r="N552" s="10">
        <f>N551/31</f>
        <v>10.193548387096774</v>
      </c>
      <c r="O552" s="10">
        <f>O551/30</f>
        <v>12.6</v>
      </c>
      <c r="P552" s="10">
        <f>P551/31</f>
        <v>0</v>
      </c>
      <c r="Q552" s="10">
        <f>Q551/30</f>
        <v>0</v>
      </c>
      <c r="R552" s="10">
        <f>R551/31</f>
        <v>0</v>
      </c>
      <c r="S552" s="10">
        <f>S551/31</f>
        <v>0</v>
      </c>
      <c r="T552" s="10">
        <f>T551/28</f>
        <v>0</v>
      </c>
      <c r="U552" s="10">
        <f>U551/31</f>
        <v>0</v>
      </c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</row>
    <row r="553" spans="1:70" x14ac:dyDescent="0.25">
      <c r="A553" s="3"/>
      <c r="C553" t="s">
        <v>114</v>
      </c>
      <c r="E553" t="s">
        <v>132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6">
        <v>0</v>
      </c>
      <c r="M553" s="6">
        <v>0</v>
      </c>
      <c r="N553" s="6">
        <v>0</v>
      </c>
      <c r="O553" s="6">
        <v>0</v>
      </c>
      <c r="P553" s="6">
        <v>0</v>
      </c>
      <c r="Q553" s="6">
        <v>0</v>
      </c>
      <c r="R553" s="6">
        <v>0</v>
      </c>
      <c r="S553" s="6">
        <v>0</v>
      </c>
      <c r="T553" s="6">
        <v>0</v>
      </c>
      <c r="U553" s="6">
        <v>0</v>
      </c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</row>
    <row r="554" spans="1:70" x14ac:dyDescent="0.25">
      <c r="A554" s="3"/>
      <c r="C554" t="s">
        <v>3</v>
      </c>
      <c r="G554" s="5" t="s">
        <v>117</v>
      </c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r="555" spans="1:70" x14ac:dyDescent="0.25">
      <c r="A555" s="3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 spans="1:70" x14ac:dyDescent="0.25">
      <c r="A556" s="3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spans="1:70" x14ac:dyDescent="0.25">
      <c r="A557" s="3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spans="1:70" x14ac:dyDescent="0.25">
      <c r="A558" s="3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spans="1:70" x14ac:dyDescent="0.25">
      <c r="A559" s="3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spans="1:70" x14ac:dyDescent="0.25">
      <c r="A560" s="3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spans="1:21" x14ac:dyDescent="0.25">
      <c r="A561" s="3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spans="1:21" x14ac:dyDescent="0.25">
      <c r="A562" s="3"/>
      <c r="B562" t="s">
        <v>135</v>
      </c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spans="1:21" x14ac:dyDescent="0.25">
      <c r="A563" s="3"/>
      <c r="B563">
        <v>1</v>
      </c>
      <c r="C563" t="s">
        <v>136</v>
      </c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spans="1:21" x14ac:dyDescent="0.25">
      <c r="A564" s="3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spans="1:21" x14ac:dyDescent="0.25">
      <c r="A565" s="3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spans="1:21" x14ac:dyDescent="0.25">
      <c r="A566" s="3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spans="1:21" x14ac:dyDescent="0.25">
      <c r="A567" s="3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spans="1:21" x14ac:dyDescent="0.25">
      <c r="A568" s="3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spans="1:21" x14ac:dyDescent="0.25">
      <c r="A569" s="3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spans="1:21" x14ac:dyDescent="0.25">
      <c r="A570" s="3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spans="1:21" x14ac:dyDescent="0.25">
      <c r="A571" s="3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spans="1:21" x14ac:dyDescent="0.25">
      <c r="A572" s="3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spans="1:21" x14ac:dyDescent="0.25">
      <c r="A573" s="3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spans="1:21" x14ac:dyDescent="0.25">
      <c r="A574" s="3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spans="1:21" x14ac:dyDescent="0.25">
      <c r="A575" s="3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spans="1:21" x14ac:dyDescent="0.25">
      <c r="A576" s="3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spans="1:21" x14ac:dyDescent="0.25">
      <c r="A577" s="3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spans="1:21" x14ac:dyDescent="0.25">
      <c r="A578" s="3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spans="1:21" x14ac:dyDescent="0.25">
      <c r="A579" s="3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spans="1:21" x14ac:dyDescent="0.25">
      <c r="A580" s="3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spans="1:21" x14ac:dyDescent="0.25">
      <c r="A581" s="3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spans="1:21" x14ac:dyDescent="0.25">
      <c r="A582" s="3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spans="1:21" x14ac:dyDescent="0.25">
      <c r="A583" s="3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spans="1:21" x14ac:dyDescent="0.25">
      <c r="A584" s="3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spans="1:21" x14ac:dyDescent="0.25">
      <c r="A585" s="3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1:21" x14ac:dyDescent="0.25">
      <c r="A586" s="3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spans="1:21" x14ac:dyDescent="0.25">
      <c r="A587" s="3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spans="1:21" x14ac:dyDescent="0.25">
      <c r="A588" s="3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spans="1:21" x14ac:dyDescent="0.25">
      <c r="A589" s="3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spans="1:21" x14ac:dyDescent="0.25">
      <c r="A590" s="3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spans="1:21" x14ac:dyDescent="0.25">
      <c r="A591" s="3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spans="1:21" x14ac:dyDescent="0.25">
      <c r="A592" s="3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spans="1:21" x14ac:dyDescent="0.25">
      <c r="A593" s="3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spans="1:21" x14ac:dyDescent="0.25">
      <c r="A594" s="3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spans="1:21" x14ac:dyDescent="0.25">
      <c r="A595" s="3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spans="1:21" x14ac:dyDescent="0.25">
      <c r="A596" s="3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spans="1:21" x14ac:dyDescent="0.25">
      <c r="A597" s="3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spans="1:21" x14ac:dyDescent="0.25">
      <c r="A598" s="3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spans="1:21" x14ac:dyDescent="0.25">
      <c r="A599" s="3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spans="1:21" x14ac:dyDescent="0.25">
      <c r="A600" s="3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spans="1:21" x14ac:dyDescent="0.25">
      <c r="A601" s="3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spans="1:21" x14ac:dyDescent="0.25">
      <c r="A602" s="3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spans="1:21" x14ac:dyDescent="0.25">
      <c r="A603" s="3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spans="1:21" x14ac:dyDescent="0.25">
      <c r="A604" s="3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spans="1:21" x14ac:dyDescent="0.25">
      <c r="A605" s="3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spans="1:21" x14ac:dyDescent="0.25">
      <c r="A606" s="3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spans="1:21" x14ac:dyDescent="0.25">
      <c r="A607" s="3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1:21" x14ac:dyDescent="0.25">
      <c r="A608" s="3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spans="1:21" x14ac:dyDescent="0.25">
      <c r="A609" s="3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spans="1:21" x14ac:dyDescent="0.25">
      <c r="A610" s="3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spans="1:21" x14ac:dyDescent="0.25">
      <c r="A611" s="3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spans="1:21" x14ac:dyDescent="0.25">
      <c r="A612" s="3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spans="1:21" x14ac:dyDescent="0.25">
      <c r="A613" s="3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spans="1:21" x14ac:dyDescent="0.25">
      <c r="A614" s="3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spans="1:21" x14ac:dyDescent="0.25">
      <c r="A615" s="3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spans="1:21" x14ac:dyDescent="0.25">
      <c r="A616" s="3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spans="1:21" x14ac:dyDescent="0.25">
      <c r="A617" s="3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spans="1:21" x14ac:dyDescent="0.25">
      <c r="A618" s="3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spans="1:21" x14ac:dyDescent="0.25">
      <c r="A619" s="3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spans="1:21" x14ac:dyDescent="0.25">
      <c r="A620" s="3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spans="1:21" x14ac:dyDescent="0.25">
      <c r="A621" s="3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spans="1:21" x14ac:dyDescent="0.25">
      <c r="A622" s="3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spans="1:21" x14ac:dyDescent="0.25">
      <c r="A623" s="3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spans="1:21" x14ac:dyDescent="0.25">
      <c r="A624" s="3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spans="1:21" x14ac:dyDescent="0.25">
      <c r="A625" s="3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spans="1:21" x14ac:dyDescent="0.25">
      <c r="A626" s="3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spans="1:21" x14ac:dyDescent="0.25">
      <c r="A627" s="3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spans="1:21" x14ac:dyDescent="0.25">
      <c r="A628" s="3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spans="1:21" x14ac:dyDescent="0.25">
      <c r="A629" s="3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spans="1:21" x14ac:dyDescent="0.25">
      <c r="A630" s="3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spans="1:21" x14ac:dyDescent="0.25">
      <c r="A631" s="3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spans="1:21" x14ac:dyDescent="0.25">
      <c r="A632" s="3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spans="1:21" x14ac:dyDescent="0.25">
      <c r="A633" s="3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spans="1:21" x14ac:dyDescent="0.25">
      <c r="A634" s="3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spans="1:21" x14ac:dyDescent="0.25">
      <c r="A635" s="3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spans="1:21" x14ac:dyDescent="0.25">
      <c r="A636" s="3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spans="1:21" x14ac:dyDescent="0.25">
      <c r="A637" s="3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spans="1:21" x14ac:dyDescent="0.25">
      <c r="A638" s="3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spans="1:21" x14ac:dyDescent="0.25">
      <c r="A639" s="3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spans="1:21" x14ac:dyDescent="0.25">
      <c r="A640" s="3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spans="1:21" x14ac:dyDescent="0.25">
      <c r="A641" s="3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spans="1:21" x14ac:dyDescent="0.25">
      <c r="A642" s="3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spans="1:21" x14ac:dyDescent="0.25">
      <c r="A643" s="3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spans="1:21" x14ac:dyDescent="0.25">
      <c r="A644" s="3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spans="1:21" x14ac:dyDescent="0.25">
      <c r="A645" s="3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spans="1:21" x14ac:dyDescent="0.25">
      <c r="A646" s="3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spans="1:21" x14ac:dyDescent="0.25">
      <c r="A647" s="3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spans="1:21" x14ac:dyDescent="0.25">
      <c r="A648" s="3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spans="1:21" x14ac:dyDescent="0.25">
      <c r="A649" s="3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spans="1:21" x14ac:dyDescent="0.25">
      <c r="A650" s="3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spans="1:21" x14ac:dyDescent="0.25">
      <c r="A651" s="3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spans="1:21" x14ac:dyDescent="0.25">
      <c r="A652" s="3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spans="1:21" x14ac:dyDescent="0.25">
      <c r="A653" s="3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spans="1:21" x14ac:dyDescent="0.25">
      <c r="A654" s="3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spans="1:21" x14ac:dyDescent="0.25">
      <c r="A655" s="3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spans="1:21" x14ac:dyDescent="0.25">
      <c r="A656" s="3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spans="1:21" x14ac:dyDescent="0.25">
      <c r="A657" s="3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spans="1:21" x14ac:dyDescent="0.25">
      <c r="A658" s="3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spans="1:21" x14ac:dyDescent="0.25">
      <c r="A659" s="3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spans="1:21" x14ac:dyDescent="0.25">
      <c r="A660" s="3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spans="1:21" x14ac:dyDescent="0.25"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spans="1:21" x14ac:dyDescent="0.25"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spans="1:21" x14ac:dyDescent="0.25"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spans="1:21" x14ac:dyDescent="0.25"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spans="1:21" x14ac:dyDescent="0.25"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spans="1:21" x14ac:dyDescent="0.25"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x14ac:dyDescent="0.25"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spans="1:21" x14ac:dyDescent="0.25"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spans="1:21" x14ac:dyDescent="0.25"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spans="1:21" x14ac:dyDescent="0.25"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x14ac:dyDescent="0.25"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x14ac:dyDescent="0.25"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spans="7:21" x14ac:dyDescent="0.25"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7:21" x14ac:dyDescent="0.25"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spans="7:21" x14ac:dyDescent="0.25"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7:21" x14ac:dyDescent="0.25"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7:21" x14ac:dyDescent="0.25"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7:21" x14ac:dyDescent="0.25"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spans="7:21" x14ac:dyDescent="0.25"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 spans="7:21" x14ac:dyDescent="0.25"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 spans="7:21" x14ac:dyDescent="0.25"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</sheetData>
  <pageMargins left="0.34" right="0.26" top="0.17" bottom="0.21" header="0.5" footer="0.5"/>
  <pageSetup scale="5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4" sqref="B34"/>
    </sheetView>
  </sheetViews>
  <sheetFormatPr defaultRowHeight="13.2" x14ac:dyDescent="0.25"/>
  <cols>
    <col min="3" max="3" width="3.88671875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Havlíček Jan</cp:lastModifiedBy>
  <cp:lastPrinted>1999-12-29T16:48:49Z</cp:lastPrinted>
  <dcterms:created xsi:type="dcterms:W3CDTF">1999-12-06T20:04:21Z</dcterms:created>
  <dcterms:modified xsi:type="dcterms:W3CDTF">2023-09-10T15:47:43Z</dcterms:modified>
</cp:coreProperties>
</file>