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2" yWindow="5652" windowWidth="15096" windowHeight="5340" tabRatio="602" activeTab="2"/>
  </bookViews>
  <sheets>
    <sheet name="Pricing" sheetId="21" r:id="rId1"/>
    <sheet name="CGAS Volume" sheetId="23" r:id="rId2"/>
    <sheet name="Ces Retail" sheetId="19" r:id="rId3"/>
  </sheets>
  <calcPr calcId="0"/>
</workbook>
</file>

<file path=xl/calcChain.xml><?xml version="1.0" encoding="utf-8"?>
<calcChain xmlns="http://schemas.openxmlformats.org/spreadsheetml/2006/main">
  <c r="J12" i="19" l="1"/>
  <c r="T12" i="19"/>
  <c r="T13" i="19"/>
  <c r="J15" i="19"/>
  <c r="P15" i="19"/>
  <c r="T15" i="19"/>
  <c r="J16" i="19"/>
  <c r="P16" i="19"/>
  <c r="T16" i="19"/>
  <c r="J17" i="19"/>
  <c r="P17" i="19"/>
  <c r="T17" i="19"/>
  <c r="J18" i="19"/>
  <c r="P18" i="19"/>
  <c r="T18" i="19"/>
  <c r="J19" i="19"/>
  <c r="P19" i="19"/>
  <c r="T19" i="19"/>
  <c r="J20" i="19"/>
  <c r="P20" i="19"/>
  <c r="T20" i="19"/>
  <c r="J21" i="19"/>
  <c r="P21" i="19"/>
  <c r="T21" i="19"/>
  <c r="J22" i="19"/>
  <c r="P22" i="19"/>
  <c r="T22" i="19"/>
  <c r="J23" i="19"/>
  <c r="P23" i="19"/>
  <c r="T23" i="19"/>
  <c r="J24" i="19"/>
  <c r="P24" i="19"/>
  <c r="T24" i="19"/>
  <c r="J25" i="19"/>
  <c r="P25" i="19"/>
  <c r="T25" i="19"/>
  <c r="J26" i="19"/>
  <c r="P26" i="19"/>
  <c r="T26" i="19"/>
  <c r="J27" i="19"/>
  <c r="P27" i="19"/>
  <c r="T27" i="19"/>
  <c r="J28" i="19"/>
  <c r="P28" i="19"/>
  <c r="T28" i="19"/>
  <c r="R29" i="19"/>
  <c r="T29" i="19"/>
  <c r="U29" i="19"/>
  <c r="J31" i="19"/>
  <c r="P31" i="19"/>
  <c r="T31" i="19"/>
  <c r="J32" i="19"/>
  <c r="P32" i="19"/>
  <c r="T32" i="19"/>
  <c r="J33" i="19"/>
  <c r="P33" i="19"/>
  <c r="T33" i="19"/>
  <c r="J34" i="19"/>
  <c r="P34" i="19"/>
  <c r="T34" i="19"/>
  <c r="J35" i="19"/>
  <c r="P35" i="19"/>
  <c r="T35" i="19"/>
  <c r="J36" i="19"/>
  <c r="P36" i="19"/>
  <c r="T36" i="19"/>
  <c r="P37" i="19"/>
  <c r="T37" i="19"/>
  <c r="J38" i="19"/>
  <c r="P38" i="19"/>
  <c r="T38" i="19"/>
  <c r="J39" i="19"/>
  <c r="P39" i="19"/>
  <c r="T39" i="19"/>
  <c r="T40" i="19"/>
  <c r="T41" i="19"/>
  <c r="P42" i="19"/>
  <c r="T42" i="19"/>
  <c r="R43" i="19"/>
  <c r="T43" i="19"/>
  <c r="U43" i="19"/>
  <c r="W44" i="19"/>
  <c r="J45" i="19"/>
  <c r="P45" i="19"/>
  <c r="T45" i="19"/>
  <c r="P46" i="19"/>
  <c r="T46" i="19"/>
  <c r="P47" i="19"/>
  <c r="T47" i="19"/>
  <c r="J48" i="19"/>
  <c r="P48" i="19"/>
  <c r="T48" i="19"/>
  <c r="P49" i="19"/>
  <c r="T49" i="19"/>
  <c r="P50" i="19"/>
  <c r="T50" i="19"/>
  <c r="P51" i="19"/>
  <c r="T51" i="19"/>
  <c r="J52" i="19"/>
  <c r="P52" i="19"/>
  <c r="T52" i="19"/>
  <c r="P53" i="19"/>
  <c r="T53" i="19"/>
  <c r="J54" i="19"/>
  <c r="J55" i="19"/>
  <c r="P55" i="19"/>
  <c r="T55" i="19"/>
  <c r="P56" i="19"/>
  <c r="T56" i="19"/>
  <c r="J57" i="19"/>
  <c r="P57" i="19"/>
  <c r="T57" i="19"/>
  <c r="J58" i="19"/>
  <c r="P58" i="19"/>
  <c r="T58" i="19"/>
  <c r="J59" i="19"/>
  <c r="P59" i="19"/>
  <c r="T59" i="19"/>
  <c r="J60" i="19"/>
  <c r="P60" i="19"/>
  <c r="T60" i="19"/>
  <c r="J61" i="19"/>
  <c r="P61" i="19"/>
  <c r="T61" i="19"/>
  <c r="P62" i="19"/>
  <c r="T62" i="19"/>
  <c r="P63" i="19"/>
  <c r="T63" i="19"/>
  <c r="J64" i="19"/>
  <c r="P64" i="19"/>
  <c r="T64" i="19"/>
  <c r="P65" i="19"/>
  <c r="T65" i="19"/>
  <c r="J66" i="19"/>
  <c r="P66" i="19"/>
  <c r="T66" i="19"/>
  <c r="J67" i="19"/>
  <c r="P67" i="19"/>
  <c r="T67" i="19"/>
  <c r="J68" i="19"/>
  <c r="P68" i="19"/>
  <c r="T68" i="19"/>
  <c r="J69" i="19"/>
  <c r="P69" i="19"/>
  <c r="T69" i="19"/>
  <c r="J70" i="19"/>
  <c r="P70" i="19"/>
  <c r="T70" i="19"/>
  <c r="J71" i="19"/>
  <c r="P71" i="19"/>
  <c r="T71" i="19"/>
  <c r="J72" i="19"/>
  <c r="P72" i="19"/>
  <c r="T72" i="19"/>
  <c r="J73" i="19"/>
  <c r="P73" i="19"/>
  <c r="T73" i="19"/>
  <c r="J74" i="19"/>
  <c r="P74" i="19"/>
  <c r="T74" i="19"/>
  <c r="J75" i="19"/>
  <c r="P75" i="19"/>
  <c r="T75" i="19"/>
  <c r="J76" i="19"/>
  <c r="P76" i="19"/>
  <c r="T76" i="19"/>
  <c r="J77" i="19"/>
  <c r="P77" i="19"/>
  <c r="T77" i="19"/>
  <c r="J78" i="19"/>
  <c r="P78" i="19"/>
  <c r="T78" i="19"/>
  <c r="P79" i="19"/>
  <c r="T79" i="19"/>
  <c r="J80" i="19"/>
  <c r="P80" i="19"/>
  <c r="T80" i="19"/>
  <c r="J81" i="19"/>
  <c r="J82" i="19"/>
  <c r="P82" i="19"/>
  <c r="T82" i="19"/>
  <c r="J83" i="19"/>
  <c r="P83" i="19"/>
  <c r="T83" i="19"/>
  <c r="J84" i="19"/>
  <c r="P84" i="19"/>
  <c r="T84" i="19"/>
  <c r="J86" i="19"/>
  <c r="P86" i="19"/>
  <c r="T86" i="19"/>
  <c r="J87" i="19"/>
  <c r="P87" i="19"/>
  <c r="T87" i="19"/>
  <c r="J88" i="19"/>
  <c r="J89" i="19"/>
  <c r="P89" i="19"/>
  <c r="T89" i="19"/>
  <c r="R90" i="19"/>
  <c r="T90" i="19"/>
  <c r="U90" i="19"/>
  <c r="W91" i="19"/>
  <c r="J92" i="19"/>
  <c r="P92" i="19"/>
  <c r="T92" i="19"/>
  <c r="J93" i="19"/>
  <c r="P93" i="19"/>
  <c r="T93" i="19"/>
  <c r="J94" i="19"/>
  <c r="P94" i="19"/>
  <c r="T94" i="19"/>
  <c r="J95" i="19"/>
  <c r="P95" i="19"/>
  <c r="T95" i="19"/>
  <c r="J96" i="19"/>
  <c r="P96" i="19"/>
  <c r="T96" i="19"/>
  <c r="J97" i="19"/>
  <c r="P97" i="19"/>
  <c r="T97" i="19"/>
  <c r="J98" i="19"/>
  <c r="P98" i="19"/>
  <c r="T98" i="19"/>
  <c r="J99" i="19"/>
  <c r="P99" i="19"/>
  <c r="T99" i="19"/>
  <c r="J100" i="19"/>
  <c r="P100" i="19"/>
  <c r="T100" i="19"/>
  <c r="J101" i="19"/>
  <c r="P101" i="19"/>
  <c r="T101" i="19"/>
  <c r="J102" i="19"/>
  <c r="P102" i="19"/>
  <c r="T102" i="19"/>
  <c r="J103" i="19"/>
  <c r="P103" i="19"/>
  <c r="T103" i="19"/>
  <c r="J104" i="19"/>
  <c r="P104" i="19"/>
  <c r="T104" i="19"/>
  <c r="J105" i="19"/>
  <c r="P105" i="19"/>
  <c r="T105" i="19"/>
  <c r="J106" i="19"/>
  <c r="P106" i="19"/>
  <c r="T106" i="19"/>
  <c r="J107" i="19"/>
  <c r="P107" i="19"/>
  <c r="T107" i="19"/>
  <c r="J108" i="19"/>
  <c r="P108" i="19"/>
  <c r="T108" i="19"/>
  <c r="J109" i="19"/>
  <c r="P109" i="19"/>
  <c r="T109" i="19"/>
  <c r="J110" i="19"/>
  <c r="P110" i="19"/>
  <c r="T110" i="19"/>
  <c r="R111" i="19"/>
  <c r="T111" i="19"/>
  <c r="W112" i="19"/>
  <c r="P113" i="19"/>
  <c r="T113" i="19"/>
  <c r="P114" i="19"/>
  <c r="T114" i="19"/>
  <c r="J115" i="19"/>
  <c r="P115" i="19"/>
  <c r="T115" i="19"/>
  <c r="P116" i="19"/>
  <c r="T116" i="19"/>
  <c r="P117" i="19"/>
  <c r="T117" i="19"/>
  <c r="P118" i="19"/>
  <c r="T118" i="19"/>
  <c r="P119" i="19"/>
  <c r="T119" i="19"/>
  <c r="R122" i="19"/>
  <c r="T122" i="19"/>
  <c r="W123" i="19"/>
  <c r="P124" i="19"/>
  <c r="T124" i="19"/>
  <c r="P125" i="19"/>
  <c r="T125" i="19"/>
  <c r="J126" i="19"/>
  <c r="P126" i="19"/>
  <c r="T126" i="19"/>
  <c r="P127" i="19"/>
  <c r="T127" i="19"/>
  <c r="P128" i="19"/>
  <c r="T128" i="19"/>
  <c r="P129" i="19"/>
  <c r="T129" i="19"/>
  <c r="P130" i="19"/>
  <c r="T130" i="19"/>
  <c r="R133" i="19"/>
  <c r="T133" i="19"/>
  <c r="W134" i="19"/>
  <c r="P135" i="19"/>
  <c r="T135" i="19"/>
  <c r="P136" i="19"/>
  <c r="T136" i="19"/>
  <c r="P137" i="19"/>
  <c r="T137" i="19"/>
  <c r="P138" i="19"/>
  <c r="T138" i="19"/>
  <c r="P139" i="19"/>
  <c r="T139" i="19"/>
  <c r="P140" i="19"/>
  <c r="T140" i="19"/>
  <c r="P141" i="19"/>
  <c r="T141" i="19"/>
  <c r="P142" i="19"/>
  <c r="T142" i="19"/>
  <c r="P143" i="19"/>
  <c r="T143" i="19"/>
  <c r="P144" i="19"/>
  <c r="T144" i="19"/>
  <c r="U145" i="19"/>
  <c r="J146" i="19"/>
  <c r="J147" i="19"/>
  <c r="P148" i="19"/>
  <c r="T148" i="19"/>
  <c r="R149" i="19"/>
  <c r="T149" i="19"/>
  <c r="W150" i="19"/>
  <c r="P151" i="19"/>
  <c r="T151" i="19"/>
  <c r="P152" i="19"/>
  <c r="T152" i="19"/>
  <c r="P153" i="19"/>
  <c r="T153" i="19"/>
  <c r="P154" i="19"/>
  <c r="T154" i="19"/>
  <c r="P155" i="19"/>
  <c r="T155" i="19"/>
  <c r="P156" i="19"/>
  <c r="T156" i="19"/>
  <c r="J157" i="19"/>
  <c r="P157" i="19"/>
  <c r="T157" i="19"/>
  <c r="U157" i="19"/>
  <c r="R158" i="19"/>
  <c r="T158" i="19"/>
  <c r="W159" i="19"/>
  <c r="P160" i="19"/>
  <c r="T160" i="19"/>
  <c r="P161" i="19"/>
  <c r="T161" i="19"/>
  <c r="P162" i="19"/>
  <c r="R162" i="19"/>
  <c r="T162" i="19"/>
  <c r="J163" i="19"/>
  <c r="P163" i="19"/>
  <c r="T163" i="19"/>
  <c r="J164" i="19"/>
  <c r="P164" i="19"/>
  <c r="T164" i="19"/>
  <c r="J165" i="19"/>
  <c r="P165" i="19"/>
  <c r="R165" i="19"/>
  <c r="T165" i="19"/>
  <c r="J166" i="19"/>
  <c r="P166" i="19"/>
  <c r="T166" i="19"/>
  <c r="J167" i="19"/>
  <c r="P167" i="19"/>
  <c r="T167" i="19"/>
  <c r="J168" i="19"/>
  <c r="P168" i="19"/>
  <c r="R168" i="19"/>
  <c r="T168" i="19"/>
  <c r="J169" i="19"/>
  <c r="P169" i="19"/>
  <c r="T169" i="19"/>
  <c r="J170" i="19"/>
  <c r="P170" i="19"/>
  <c r="T170" i="19"/>
  <c r="J171" i="19"/>
  <c r="P171" i="19"/>
  <c r="R171" i="19"/>
  <c r="T171" i="19"/>
  <c r="J172" i="19"/>
  <c r="P172" i="19"/>
  <c r="T172" i="19"/>
  <c r="J173" i="19"/>
  <c r="P173" i="19"/>
  <c r="T173" i="19"/>
  <c r="P174" i="19"/>
  <c r="T174" i="19"/>
  <c r="P175" i="19"/>
  <c r="T175" i="19"/>
  <c r="P176" i="19"/>
  <c r="T176" i="19"/>
  <c r="P177" i="19"/>
  <c r="T177" i="19"/>
  <c r="J178" i="19"/>
  <c r="P178" i="19"/>
  <c r="T178" i="19"/>
  <c r="J179" i="19"/>
  <c r="P179" i="19"/>
  <c r="T179" i="19"/>
  <c r="J180" i="19"/>
  <c r="P180" i="19"/>
  <c r="T180" i="19"/>
  <c r="P181" i="19"/>
  <c r="T181" i="19"/>
  <c r="J182" i="19"/>
  <c r="P182" i="19"/>
  <c r="T182" i="19"/>
  <c r="J183" i="19"/>
  <c r="P183" i="19"/>
  <c r="T183" i="19"/>
  <c r="T184" i="19"/>
  <c r="T186" i="19"/>
  <c r="F8" i="23"/>
  <c r="V8" i="23"/>
  <c r="W8" i="23"/>
  <c r="Y8" i="23"/>
  <c r="Z8" i="23"/>
  <c r="A9" i="23"/>
  <c r="F9" i="23"/>
  <c r="H9" i="23"/>
  <c r="V9" i="23"/>
  <c r="W9" i="23"/>
  <c r="Y9" i="23"/>
  <c r="Z9" i="23"/>
  <c r="AI9" i="23"/>
  <c r="AJ9" i="23"/>
  <c r="A10" i="23"/>
  <c r="F10" i="23"/>
  <c r="H10" i="23"/>
  <c r="V10" i="23"/>
  <c r="W10" i="23"/>
  <c r="Y10" i="23"/>
  <c r="Z10" i="23"/>
  <c r="AE10" i="23"/>
  <c r="AI10" i="23"/>
  <c r="AJ10" i="23"/>
  <c r="A11" i="23"/>
  <c r="F11" i="23"/>
  <c r="H11" i="23"/>
  <c r="V11" i="23"/>
  <c r="W11" i="23"/>
  <c r="Y11" i="23"/>
  <c r="Z11" i="23"/>
  <c r="AE11" i="23"/>
  <c r="AF11" i="23"/>
  <c r="AI11" i="23"/>
  <c r="AJ11" i="23"/>
  <c r="A12" i="23"/>
  <c r="F12" i="23"/>
  <c r="H12" i="23"/>
  <c r="V12" i="23"/>
  <c r="W12" i="23"/>
  <c r="Y12" i="23"/>
  <c r="Z12" i="23"/>
  <c r="AE12" i="23"/>
  <c r="AI12" i="23"/>
  <c r="AJ12" i="23"/>
  <c r="A13" i="23"/>
  <c r="F13" i="23"/>
  <c r="H13" i="23"/>
  <c r="V13" i="23"/>
  <c r="W13" i="23"/>
  <c r="Y13" i="23"/>
  <c r="Z13" i="23"/>
  <c r="AE13" i="23"/>
  <c r="AI13" i="23"/>
  <c r="AJ13" i="23"/>
  <c r="A14" i="23"/>
  <c r="F14" i="23"/>
  <c r="H14" i="23"/>
  <c r="V14" i="23"/>
  <c r="W14" i="23"/>
  <c r="Y14" i="23"/>
  <c r="Z14" i="23"/>
  <c r="AE14" i="23"/>
  <c r="AI14" i="23"/>
  <c r="AJ14" i="23"/>
  <c r="A15" i="23"/>
  <c r="F15" i="23"/>
  <c r="H15" i="23"/>
  <c r="V15" i="23"/>
  <c r="W15" i="23"/>
  <c r="Y15" i="23"/>
  <c r="Z15" i="23"/>
  <c r="AE15" i="23"/>
  <c r="AI15" i="23"/>
  <c r="AJ15" i="23"/>
  <c r="A16" i="23"/>
  <c r="F16" i="23"/>
  <c r="H16" i="23"/>
  <c r="V16" i="23"/>
  <c r="W16" i="23"/>
  <c r="Y16" i="23"/>
  <c r="Z16" i="23"/>
  <c r="AE16" i="23"/>
  <c r="AI16" i="23"/>
  <c r="AJ16" i="23"/>
  <c r="A17" i="23"/>
  <c r="F17" i="23"/>
  <c r="H17" i="23"/>
  <c r="V17" i="23"/>
  <c r="W17" i="23"/>
  <c r="Y17" i="23"/>
  <c r="Z17" i="23"/>
  <c r="AE17" i="23"/>
  <c r="AI17" i="23"/>
  <c r="AJ17" i="23"/>
  <c r="A18" i="23"/>
  <c r="F18" i="23"/>
  <c r="H18" i="23"/>
  <c r="V18" i="23"/>
  <c r="W18" i="23"/>
  <c r="Y18" i="23"/>
  <c r="Z18" i="23"/>
  <c r="AE18" i="23"/>
  <c r="AI18" i="23"/>
  <c r="AJ18" i="23"/>
  <c r="A19" i="23"/>
  <c r="F19" i="23"/>
  <c r="H19" i="23"/>
  <c r="V19" i="23"/>
  <c r="W19" i="23"/>
  <c r="Y19" i="23"/>
  <c r="Z19" i="23"/>
  <c r="AE19" i="23"/>
  <c r="AI19" i="23"/>
  <c r="AJ19" i="23"/>
  <c r="A20" i="23"/>
  <c r="F20" i="23"/>
  <c r="H20" i="23"/>
  <c r="V20" i="23"/>
  <c r="W20" i="23"/>
  <c r="Y20" i="23"/>
  <c r="Z20" i="23"/>
  <c r="AE20" i="23"/>
  <c r="AI20" i="23"/>
  <c r="AJ20" i="23"/>
  <c r="A21" i="23"/>
  <c r="F21" i="23"/>
  <c r="H21" i="23"/>
  <c r="V21" i="23"/>
  <c r="W21" i="23"/>
  <c r="Y21" i="23"/>
  <c r="Z21" i="23"/>
  <c r="AE21" i="23"/>
  <c r="AI21" i="23"/>
  <c r="AJ21" i="23"/>
  <c r="A22" i="23"/>
  <c r="F22" i="23"/>
  <c r="V22" i="23"/>
  <c r="W22" i="23"/>
  <c r="Y22" i="23"/>
  <c r="Z22" i="23"/>
  <c r="AE22" i="23"/>
  <c r="AI22" i="23"/>
  <c r="AJ22" i="23"/>
  <c r="A23" i="23"/>
  <c r="F23" i="23"/>
  <c r="V23" i="23"/>
  <c r="W23" i="23"/>
  <c r="Y23" i="23"/>
  <c r="Z23" i="23"/>
  <c r="AE23" i="23"/>
  <c r="AI23" i="23"/>
  <c r="AJ23" i="23"/>
  <c r="A24" i="23"/>
  <c r="F24" i="23"/>
  <c r="H24" i="23"/>
  <c r="V24" i="23"/>
  <c r="W24" i="23"/>
  <c r="Y24" i="23"/>
  <c r="Z24" i="23"/>
  <c r="AF24" i="23"/>
  <c r="AJ24" i="23"/>
  <c r="A25" i="23"/>
  <c r="F25" i="23"/>
  <c r="H25" i="23"/>
  <c r="V25" i="23"/>
  <c r="W25" i="23"/>
  <c r="Y25" i="23"/>
  <c r="Z25" i="23"/>
  <c r="AJ25" i="23"/>
  <c r="A26" i="23"/>
  <c r="C26" i="23"/>
  <c r="F26" i="23"/>
  <c r="H26" i="23"/>
  <c r="V26" i="23"/>
  <c r="W26" i="23"/>
  <c r="Y26" i="23"/>
  <c r="Z26" i="23"/>
  <c r="A27" i="23"/>
  <c r="F27" i="23"/>
  <c r="H27" i="23"/>
  <c r="V27" i="23"/>
  <c r="W27" i="23"/>
  <c r="Y27" i="23"/>
  <c r="Z27" i="23"/>
  <c r="A28" i="23"/>
  <c r="F28" i="23"/>
  <c r="V28" i="23"/>
  <c r="W28" i="23"/>
  <c r="Y28" i="23"/>
  <c r="Z28" i="23"/>
  <c r="A29" i="23"/>
  <c r="D29" i="23"/>
  <c r="F29" i="23"/>
  <c r="V29" i="23"/>
  <c r="W29" i="23"/>
  <c r="Y29" i="23"/>
  <c r="Z29" i="23"/>
  <c r="A30" i="23"/>
  <c r="D30" i="23"/>
  <c r="F30" i="23"/>
  <c r="V30" i="23"/>
  <c r="W30" i="23"/>
  <c r="Y30" i="23"/>
  <c r="Z30" i="23"/>
  <c r="A31" i="23"/>
  <c r="D31" i="23"/>
  <c r="F31" i="23"/>
  <c r="V31" i="23"/>
  <c r="W31" i="23"/>
  <c r="Y31" i="23"/>
  <c r="Z31" i="23"/>
  <c r="A32" i="23"/>
  <c r="F32" i="23"/>
  <c r="H32" i="23"/>
  <c r="V32" i="23"/>
  <c r="W32" i="23"/>
  <c r="Y32" i="23"/>
  <c r="Z32" i="23"/>
  <c r="A33" i="23"/>
  <c r="F33" i="23"/>
  <c r="H33" i="23"/>
  <c r="V33" i="23"/>
  <c r="W33" i="23"/>
  <c r="Y33" i="23"/>
  <c r="Z33" i="23"/>
  <c r="A34" i="23"/>
  <c r="F34" i="23"/>
  <c r="H34" i="23"/>
  <c r="V34" i="23"/>
  <c r="W34" i="23"/>
  <c r="Y34" i="23"/>
  <c r="Z34" i="23"/>
  <c r="A35" i="23"/>
  <c r="F35" i="23"/>
  <c r="H35" i="23"/>
  <c r="V35" i="23"/>
  <c r="W35" i="23"/>
  <c r="Y35" i="23"/>
  <c r="Z35" i="23"/>
  <c r="A36" i="23"/>
  <c r="F36" i="23"/>
  <c r="H36" i="23"/>
  <c r="V36" i="23"/>
  <c r="W36" i="23"/>
  <c r="Y36" i="23"/>
  <c r="Z36" i="23"/>
  <c r="A37" i="23"/>
  <c r="F37" i="23"/>
  <c r="H37" i="23"/>
  <c r="V37" i="23"/>
  <c r="W37" i="23"/>
  <c r="Y37" i="23"/>
  <c r="Z37" i="23"/>
  <c r="A38" i="23"/>
  <c r="F38" i="23"/>
  <c r="H38" i="23"/>
  <c r="V38" i="23"/>
  <c r="W38" i="23"/>
  <c r="Y38" i="23"/>
  <c r="Z38" i="23"/>
  <c r="B39" i="23"/>
  <c r="C39" i="23"/>
  <c r="D39" i="23"/>
  <c r="F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Y39" i="23"/>
  <c r="Z39" i="23"/>
  <c r="B41" i="23"/>
  <c r="X45" i="23"/>
  <c r="X46" i="23"/>
  <c r="X47" i="23"/>
  <c r="X48" i="23"/>
  <c r="X49" i="23"/>
  <c r="X51" i="23"/>
  <c r="X53" i="23"/>
  <c r="C4" i="21"/>
  <c r="C6" i="21"/>
  <c r="C7" i="21"/>
  <c r="C13" i="21"/>
  <c r="C15" i="21"/>
  <c r="C16" i="21"/>
  <c r="C23" i="21"/>
  <c r="E23" i="21"/>
  <c r="C25" i="21"/>
  <c r="E25" i="21"/>
  <c r="C26" i="21"/>
  <c r="E26" i="21"/>
  <c r="C41" i="21"/>
  <c r="E41" i="21"/>
  <c r="G41" i="21"/>
  <c r="C43" i="21"/>
  <c r="E43" i="21"/>
  <c r="G43" i="21"/>
  <c r="C45" i="21"/>
  <c r="E45" i="21"/>
  <c r="G45" i="21"/>
  <c r="C46" i="21"/>
  <c r="E46" i="21"/>
  <c r="C56" i="21"/>
  <c r="E56" i="21"/>
  <c r="C58" i="21"/>
  <c r="E58" i="21"/>
  <c r="C59" i="21"/>
  <c r="E59" i="21"/>
  <c r="C68" i="21"/>
  <c r="C70" i="21"/>
  <c r="C71" i="21"/>
  <c r="C78" i="21"/>
  <c r="C80" i="21"/>
  <c r="C81" i="21"/>
  <c r="C88" i="21"/>
  <c r="C90" i="21"/>
  <c r="C91" i="21"/>
  <c r="B105" i="21"/>
  <c r="D105" i="21"/>
  <c r="C111" i="21"/>
  <c r="G111" i="21"/>
  <c r="K111" i="21"/>
  <c r="C113" i="21"/>
  <c r="G113" i="21"/>
  <c r="K113" i="21"/>
  <c r="E119" i="21"/>
  <c r="G119" i="21"/>
  <c r="I119" i="21"/>
  <c r="K119" i="21"/>
  <c r="E120" i="21"/>
  <c r="G120" i="21"/>
  <c r="I120" i="21"/>
  <c r="K120" i="21"/>
  <c r="E121" i="21"/>
  <c r="G121" i="21"/>
  <c r="I121" i="21"/>
  <c r="K121" i="21"/>
  <c r="G122" i="21"/>
  <c r="K122" i="21"/>
  <c r="D124" i="21"/>
  <c r="D125" i="21"/>
  <c r="D126" i="21"/>
  <c r="C133" i="21"/>
  <c r="G133" i="21"/>
  <c r="K133" i="21"/>
  <c r="C135" i="21"/>
  <c r="G135" i="21"/>
  <c r="K135" i="21"/>
  <c r="C137" i="21"/>
  <c r="K137" i="21"/>
  <c r="E141" i="21"/>
  <c r="G141" i="21"/>
  <c r="I141" i="21"/>
  <c r="K141" i="21"/>
  <c r="E142" i="21"/>
  <c r="G142" i="21"/>
  <c r="I142" i="21"/>
  <c r="K142" i="21"/>
  <c r="E143" i="21"/>
  <c r="G143" i="21"/>
  <c r="I143" i="21"/>
  <c r="K143" i="21"/>
  <c r="G144" i="21"/>
  <c r="K144" i="21"/>
  <c r="D146" i="21"/>
  <c r="D147" i="21"/>
  <c r="D148" i="21"/>
  <c r="C155" i="21"/>
  <c r="K155" i="21"/>
  <c r="C157" i="21"/>
  <c r="K157" i="21"/>
  <c r="C158" i="21"/>
  <c r="K158" i="21"/>
  <c r="C164" i="21"/>
  <c r="C166" i="21"/>
  <c r="C168" i="21"/>
</calcChain>
</file>

<file path=xl/sharedStrings.xml><?xml version="1.0" encoding="utf-8"?>
<sst xmlns="http://schemas.openxmlformats.org/spreadsheetml/2006/main" count="1567" uniqueCount="403">
  <si>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</si>
  <si>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</si>
  <si>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</si>
  <si>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</si>
  <si>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</si>
  <si>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</si>
  <si>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</si>
  <si>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</si>
  <si>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</si>
  <si>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</si>
  <si>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</si>
  <si>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</si>
  <si>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</si>
  <si>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</si>
  <si>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</si>
  <si>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</si>
  <si>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%</t>
  </si>
  <si>
    <t>total</t>
  </si>
  <si>
    <t>K#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</si>
  <si>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</si>
  <si>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</si>
  <si>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</si>
  <si>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</si>
  <si>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</si>
  <si>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</si>
  <si>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</si>
  <si>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</si>
  <si>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</si>
  <si>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</si>
  <si>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</si>
  <si>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</si>
  <si>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</si>
  <si>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</si>
  <si>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</si>
  <si>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</si>
  <si>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</si>
  <si>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Sitara</t>
  </si>
  <si>
    <t>Agency</t>
  </si>
  <si>
    <t>Items have been checked</t>
  </si>
  <si>
    <t>Need to verify</t>
  </si>
  <si>
    <t>CES East Desk Transportation Capacity for Jan, 2000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</si>
  <si>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</si>
  <si>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</si>
  <si>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</si>
  <si>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</si>
  <si>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</si>
  <si>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</si>
  <si>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</si>
  <si>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</si>
  <si>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</si>
  <si>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</si>
  <si>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</si>
  <si>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</si>
  <si>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8</t>
  </si>
  <si>
    <t>Delivery to CPA Op. Area 9</t>
  </si>
  <si>
    <t>Maumee</t>
  </si>
  <si>
    <t>COH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</si>
  <si>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</si>
  <si>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</si>
  <si>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</si>
  <si>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</si>
  <si>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</si>
  <si>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</si>
  <si>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</si>
  <si>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</si>
  <si>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</si>
  <si>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</si>
  <si>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#24364, 1dt to 19-26, 1dt to 19-27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</si>
  <si>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</si>
  <si>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</si>
  <si>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</si>
  <si>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</si>
  <si>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</si>
  <si>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</si>
  <si>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</si>
  <si>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</si>
  <si>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</si>
  <si>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</si>
  <si>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</si>
  <si>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</si>
  <si>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</si>
  <si>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</si>
  <si>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</si>
  <si>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</si>
  <si>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</si>
  <si>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</si>
  <si>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</si>
  <si>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</si>
  <si>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</si>
  <si>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</si>
  <si>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</si>
  <si>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</si>
  <si>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</si>
  <si>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</si>
  <si>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</si>
  <si>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</si>
  <si>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</si>
  <si>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</si>
  <si>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</si>
  <si>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COH-07</t>
  </si>
  <si>
    <t>#26694</t>
  </si>
  <si>
    <t>#27127</t>
  </si>
  <si>
    <t>COH-03</t>
  </si>
  <si>
    <t>SST</t>
  </si>
  <si>
    <t>#26984</t>
  </si>
  <si>
    <t>COH-03, COH-07, COH-05, COH-08</t>
  </si>
  <si>
    <t>#24857</t>
  </si>
  <si>
    <t>Killed 141165.  See deal 140435</t>
  </si>
  <si>
    <t>Killed 141160.  See deal 140436.</t>
  </si>
  <si>
    <t>See deal 140434.</t>
  </si>
  <si>
    <t>See deal 140433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</si>
  <si>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</si>
  <si>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</si>
  <si>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</si>
  <si>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</si>
  <si>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</si>
  <si>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</si>
  <si>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</si>
  <si>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</si>
  <si>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</si>
  <si>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</si>
  <si>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</si>
  <si>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00023 East Braintree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</si>
  <si>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</si>
  <si>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</si>
  <si>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</si>
  <si>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</si>
  <si>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</si>
  <si>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</si>
  <si>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</si>
  <si>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#10403</t>
  </si>
  <si>
    <t>60001 Lebanon</t>
  </si>
  <si>
    <t>40208 Oakford</t>
  </si>
  <si>
    <t>#12372</t>
  </si>
  <si>
    <t>5A1982</t>
  </si>
  <si>
    <t>20700 NYSEG</t>
  </si>
  <si>
    <t>CEM/Agency</t>
  </si>
  <si>
    <t>#12599</t>
  </si>
  <si>
    <t>5A2083</t>
  </si>
  <si>
    <t>GSSTE</t>
  </si>
  <si>
    <t>Storage Demand</t>
  </si>
  <si>
    <t>Storage Capacity</t>
  </si>
  <si>
    <t>#10410</t>
  </si>
  <si>
    <t>NIMO</t>
  </si>
  <si>
    <t>20500 NIMO</t>
  </si>
  <si>
    <t>60004 Finnefrock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</si>
  <si>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</si>
  <si>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</si>
  <si>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</si>
  <si>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</si>
  <si>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</si>
  <si>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</si>
  <si>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</si>
  <si>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</si>
  <si>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</si>
  <si>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</si>
  <si>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</si>
  <si>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</si>
  <si>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</si>
  <si>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</si>
  <si>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</si>
  <si>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</si>
  <si>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</si>
  <si>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</si>
  <si>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</si>
  <si>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</si>
  <si>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</si>
  <si>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???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</si>
  <si>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</si>
  <si>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</si>
  <si>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</si>
  <si>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</si>
  <si>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</si>
  <si>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</si>
  <si>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</si>
  <si>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</si>
  <si>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</si>
  <si>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</si>
  <si>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</si>
  <si>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</si>
  <si>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</si>
  <si>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</si>
  <si>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</si>
  <si>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</si>
  <si>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</si>
  <si>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</si>
  <si>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</si>
  <si>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</si>
  <si>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</si>
  <si>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</si>
  <si>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</si>
  <si>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</si>
  <si>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3.3014 / 1.1703</t>
  </si>
  <si>
    <t>#17800; Lilco bills CES the demand charge</t>
  </si>
  <si>
    <t>St 45</t>
  </si>
  <si>
    <t>Z3</t>
  </si>
  <si>
    <t>6484 Atlanta</t>
  </si>
  <si>
    <t>#17860</t>
  </si>
  <si>
    <t>3.3039 / 1.1703</t>
  </si>
  <si>
    <t>#17829</t>
  </si>
  <si>
    <t>6971 St 85</t>
  </si>
  <si>
    <t>3.3109 / 2.7425</t>
  </si>
  <si>
    <t>FTCHR</t>
  </si>
  <si>
    <t>FTSR</t>
  </si>
  <si>
    <t>3.3085 / 2.7423</t>
  </si>
  <si>
    <t>3.3053 / 1.1703</t>
  </si>
  <si>
    <t>#17815</t>
  </si>
  <si>
    <t>St 65</t>
  </si>
  <si>
    <t>PSNC</t>
  </si>
  <si>
    <t>6608 PSNC</t>
  </si>
  <si>
    <t>FTR</t>
  </si>
  <si>
    <t>volumetric</t>
  </si>
  <si>
    <t>00211 Hanover</t>
  </si>
  <si>
    <t>3.3096 / 1.1703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</si>
  <si>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</si>
  <si>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</si>
  <si>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</si>
  <si>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</si>
  <si>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</si>
  <si>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</si>
  <si>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</si>
  <si>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</si>
  <si>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</si>
  <si>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</si>
  <si>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</si>
  <si>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3.3115 / 2.7479</t>
  </si>
  <si>
    <t>WSR Capacity</t>
  </si>
  <si>
    <t>ESR Capacity</t>
  </si>
  <si>
    <t>ESR Demand</t>
  </si>
  <si>
    <t>ESR</t>
  </si>
  <si>
    <t>3.3114 / 2.7502</t>
  </si>
  <si>
    <t>#17886, sheet 27A</t>
  </si>
  <si>
    <t>#17885, sheet 27A</t>
  </si>
  <si>
    <t>#17871, Sheet no 37M - Cherokee Expansion</t>
  </si>
  <si>
    <t>143914 / 143913</t>
  </si>
  <si>
    <t>143915 / 143913</t>
  </si>
  <si>
    <t>143916 / 143913</t>
  </si>
  <si>
    <t>143917 / 143913</t>
  </si>
  <si>
    <t>#17847, Sheet no 37F, Southern Expansion 7C converted to 284 FT.</t>
  </si>
  <si>
    <t>143918 / 143919</t>
  </si>
  <si>
    <t>143921 / 143920</t>
  </si>
  <si>
    <t>143922 / 143925</t>
  </si>
  <si>
    <t>143926 / 143927</t>
  </si>
  <si>
    <t>143929 / 143928</t>
  </si>
  <si>
    <t>143930 / 143928</t>
  </si>
  <si>
    <t>143931 / 143928</t>
  </si>
  <si>
    <t>5A2181</t>
  </si>
  <si>
    <t>5A2182</t>
  </si>
  <si>
    <t>#12744, Nimo East</t>
  </si>
  <si>
    <t>#12743, Nimo West</t>
  </si>
  <si>
    <t>3.3190</t>
  </si>
  <si>
    <t>Eagle Point COG</t>
  </si>
  <si>
    <t>F1 Paulding</t>
  </si>
  <si>
    <t>91A West Deptford</t>
  </si>
  <si>
    <t>BUG</t>
  </si>
  <si>
    <t>Nipsco</t>
  </si>
  <si>
    <t>Portland</t>
  </si>
  <si>
    <t>Nipcso</t>
  </si>
  <si>
    <t>T015904</t>
  </si>
  <si>
    <t>East Tenn</t>
  </si>
  <si>
    <t>Lobelville</t>
  </si>
  <si>
    <t>Primary receipt Toledo agg., ROFR, total MDQ is 20,000 day, contract will be split between retail and wholesale with 15,000/day going to Retail-Mass Markets.  Old contract was 62039.</t>
  </si>
  <si>
    <t>B9 Broad run</t>
  </si>
  <si>
    <t>#24854, Sheet No 29</t>
  </si>
  <si>
    <t>Goodell</t>
  </si>
  <si>
    <t>Midwestern</t>
  </si>
  <si>
    <t>Retail</t>
  </si>
  <si>
    <t>Z1</t>
  </si>
  <si>
    <t>Essex</t>
  </si>
  <si>
    <t>max</t>
  </si>
  <si>
    <t>Released to ENA for Jan</t>
  </si>
  <si>
    <t>FT-a</t>
  </si>
  <si>
    <t>Bayer/Agency</t>
  </si>
  <si>
    <t>Hope</t>
  </si>
  <si>
    <t>20300 Hope</t>
  </si>
  <si>
    <t>5A2197</t>
  </si>
  <si>
    <t>#12806; CES is the nominating agent for Bayer.  Bayer pays all transportation cost.  This deal is not in Sitara.</t>
  </si>
  <si>
    <t>N/A</t>
  </si>
  <si>
    <t>#12692, Meter 40105 - Cornwell is a primary receipt and delivery point.  Beg inventory bal = 10526 dt.</t>
  </si>
  <si>
    <t>#22428; Primary to Op 5, ROFR</t>
  </si>
  <si>
    <t>734462 Crossroads</t>
  </si>
  <si>
    <t>23N-2 COH 5</t>
  </si>
  <si>
    <t>#22747; Primary to contrained Op 7, ROFR</t>
  </si>
  <si>
    <t>23-4 COH-07-4</t>
  </si>
  <si>
    <t>FT Z1-Z6</t>
  </si>
  <si>
    <t>FT Z2-Z6</t>
  </si>
  <si>
    <t>FT Z3-Z6</t>
  </si>
  <si>
    <t>Index</t>
  </si>
  <si>
    <t>Comm</t>
  </si>
  <si>
    <t>Surcharges</t>
  </si>
  <si>
    <t>Fuel</t>
  </si>
  <si>
    <t>Transport</t>
  </si>
  <si>
    <t>Commodity - Telescoped</t>
  </si>
  <si>
    <t>Price - Telescoped</t>
  </si>
  <si>
    <t>Weighted</t>
  </si>
  <si>
    <t>Z6 Deliveries</t>
  </si>
  <si>
    <t>Premium</t>
  </si>
  <si>
    <t>Total Index</t>
  </si>
  <si>
    <t>%</t>
  </si>
  <si>
    <t>Avg</t>
  </si>
  <si>
    <t>Z2</t>
  </si>
  <si>
    <t>Avg Price</t>
  </si>
  <si>
    <t>Avg Trans</t>
  </si>
  <si>
    <t>Total Price</t>
  </si>
  <si>
    <t>CES/Transco Capacity for Jan 2000</t>
  </si>
  <si>
    <t>Total Transport</t>
  </si>
  <si>
    <t>Delivered Price</t>
  </si>
  <si>
    <t>Algo Comm</t>
  </si>
  <si>
    <t>Algo Transport</t>
  </si>
  <si>
    <t>Deal 143332 Mendon Supply</t>
  </si>
  <si>
    <t>Deal 143333</t>
  </si>
  <si>
    <t>Index Prem</t>
  </si>
  <si>
    <t>Deal 143334</t>
  </si>
  <si>
    <t>CGAS</t>
  </si>
  <si>
    <t xml:space="preserve">Total Demand  </t>
  </si>
  <si>
    <t>fuel $</t>
  </si>
  <si>
    <t>Est demand</t>
  </si>
  <si>
    <t>Act demand</t>
  </si>
  <si>
    <t>buy</t>
  </si>
  <si>
    <t>Algon</t>
  </si>
  <si>
    <t>Bay State</t>
  </si>
  <si>
    <t>2755 from Lambertville, 1245 from Centerville</t>
  </si>
  <si>
    <t>Taunton</t>
  </si>
  <si>
    <t>n</t>
  </si>
  <si>
    <t>offer # 3451</t>
  </si>
  <si>
    <t>Union Camp</t>
  </si>
  <si>
    <t>8696 Sta 165</t>
  </si>
  <si>
    <t>Emporia</t>
  </si>
  <si>
    <t>CES fuel management customer. Union Camp capacity</t>
  </si>
  <si>
    <t>FT Z1-Z4</t>
  </si>
  <si>
    <t>FT Z2-Z4</t>
  </si>
  <si>
    <t>FT Z3-Z4</t>
  </si>
  <si>
    <t>Deal  144621</t>
  </si>
  <si>
    <t>Z4 Deliveries</t>
  </si>
  <si>
    <t>St 85</t>
  </si>
  <si>
    <t>FT Z4-Z4 Rate Schedule FTSR No. 37F</t>
  </si>
  <si>
    <t>FT Z4-Z4 Rate Schedule FTCHR No. 37M</t>
  </si>
  <si>
    <t>(excluded Great Plains)</t>
  </si>
  <si>
    <t>Deal 144616</t>
  </si>
  <si>
    <t>Deal 144620</t>
  </si>
  <si>
    <t>Z6 Lilco</t>
  </si>
  <si>
    <t xml:space="preserve">Z4 Atlanta  </t>
  </si>
  <si>
    <t>FT Z4-Z5 PSNC Volumetric Release</t>
  </si>
  <si>
    <t>Volumetric Demand</t>
  </si>
  <si>
    <t>Deal 144211</t>
  </si>
  <si>
    <t>Deal 144377</t>
  </si>
  <si>
    <t>Deal 144137</t>
  </si>
  <si>
    <t>Texas Eastern M3</t>
  </si>
  <si>
    <t>Ela</t>
  </si>
  <si>
    <t>Deal 144104 ENA will bill CES 583 dth at Ela + $.06 + transport</t>
  </si>
  <si>
    <t>The balance of the volumes on this deal will be billed Tetco M3 IF + $.025</t>
  </si>
  <si>
    <t>Tenn Z1 - Z5</t>
  </si>
  <si>
    <t>Deal 146079</t>
  </si>
  <si>
    <t>????</t>
  </si>
  <si>
    <t>Belfry Gas</t>
  </si>
  <si>
    <t>Offer #26081</t>
  </si>
  <si>
    <t>Onshore</t>
  </si>
  <si>
    <t>Volume</t>
  </si>
  <si>
    <t>North Citygate</t>
  </si>
  <si>
    <t>South Citygate</t>
  </si>
  <si>
    <t>CES S-N Transport</t>
  </si>
  <si>
    <t>Comment:  CES has 1,167 dt/day of South to North Space.</t>
  </si>
  <si>
    <t>Total Volume Deal 145638</t>
  </si>
  <si>
    <t>Deal 145893 - bill as North Citygate</t>
  </si>
  <si>
    <t>Equitrans</t>
  </si>
  <si>
    <t>IT</t>
  </si>
  <si>
    <t>Deal 144615  CES has 1,000 dth of FTS, price 1,000 day at the FTS rate, balance at the IT rate.</t>
  </si>
  <si>
    <t>Texas Gas FT</t>
  </si>
  <si>
    <t>CES Tport</t>
  </si>
  <si>
    <t>ITS</t>
  </si>
  <si>
    <t>Cove Point Withdrawal</t>
  </si>
  <si>
    <t>Date</t>
  </si>
  <si>
    <t>GD-Non NY</t>
  </si>
  <si>
    <t>Deduct</t>
  </si>
  <si>
    <t>Price</t>
  </si>
  <si>
    <t>Total Cost</t>
  </si>
  <si>
    <t>Average Price</t>
  </si>
  <si>
    <t xml:space="preserve">CES </t>
  </si>
  <si>
    <t>CALP</t>
  </si>
  <si>
    <t>DAYTON</t>
  </si>
  <si>
    <t>Total</t>
  </si>
  <si>
    <t>IT Transport</t>
  </si>
  <si>
    <t>FT Transport</t>
  </si>
  <si>
    <t>Fixed Price Deals</t>
  </si>
  <si>
    <t>Fixed Price</t>
  </si>
  <si>
    <t>Total Tport</t>
  </si>
  <si>
    <t>After Fixed Deals</t>
  </si>
  <si>
    <t>Check Numbers</t>
  </si>
  <si>
    <t>Total Delivered</t>
  </si>
  <si>
    <t>Difference</t>
  </si>
  <si>
    <t>Storage Withdrawal</t>
  </si>
  <si>
    <t>Billed as FT</t>
  </si>
  <si>
    <t>Con Ed</t>
  </si>
  <si>
    <t>WLA</t>
  </si>
  <si>
    <t>#14726</t>
  </si>
  <si>
    <t>Dayton</t>
  </si>
  <si>
    <t>M1</t>
  </si>
  <si>
    <t xml:space="preserve">  </t>
  </si>
  <si>
    <t>LLFT</t>
  </si>
  <si>
    <t>#15601</t>
  </si>
  <si>
    <t>#15602</t>
  </si>
  <si>
    <t>Sonat</t>
  </si>
  <si>
    <t>Deal 211642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</si>
</sst>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  <numFmt numFmtId="202" formatCode="0_);[Red]\(0\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2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0" fontId="6" fillId="2" borderId="0" xfId="0" applyFont="1" applyFill="1"/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6" fillId="4" borderId="0" xfId="0" applyFon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170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38" fontId="2" fillId="2" borderId="0" xfId="0" quotePrefix="1" applyNumberFormat="1" applyFont="1" applyFill="1" applyAlignment="1">
      <alignment horizontal="left"/>
    </xf>
    <xf numFmtId="40" fontId="2" fillId="2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2" fillId="3" borderId="0" xfId="0" quotePrefix="1" applyNumberFormat="1" applyFont="1" applyFill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right"/>
    </xf>
    <xf numFmtId="168" fontId="7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right"/>
    </xf>
    <xf numFmtId="0" fontId="6" fillId="0" borderId="0" xfId="0" applyFont="1" applyFill="1"/>
    <xf numFmtId="0" fontId="2" fillId="4" borderId="0" xfId="0" applyNumberFormat="1" applyFont="1" applyFill="1" applyAlignment="1">
      <alignment horizontal="left"/>
    </xf>
    <xf numFmtId="0" fontId="2" fillId="2" borderId="0" xfId="0" quotePrefix="1" applyNumberFormat="1" applyFont="1" applyFill="1" applyAlignment="1">
      <alignment horizontal="left"/>
    </xf>
    <xf numFmtId="0" fontId="8" fillId="0" borderId="0" xfId="0" applyFont="1" applyFill="1"/>
    <xf numFmtId="0" fontId="8" fillId="2" borderId="0" xfId="0" applyFont="1" applyFill="1"/>
    <xf numFmtId="0" fontId="0" fillId="2" borderId="0" xfId="0" applyFill="1"/>
    <xf numFmtId="0" fontId="10" fillId="2" borderId="0" xfId="0" applyFont="1" applyFill="1"/>
    <xf numFmtId="177" fontId="8" fillId="2" borderId="0" xfId="1" applyNumberFormat="1" applyFont="1" applyFill="1"/>
    <xf numFmtId="167" fontId="8" fillId="2" borderId="0" xfId="2" applyNumberFormat="1" applyFont="1" applyFill="1"/>
    <xf numFmtId="177" fontId="8" fillId="2" borderId="0" xfId="0" applyNumberFormat="1" applyFont="1" applyFill="1" applyBorder="1"/>
    <xf numFmtId="167" fontId="8" fillId="2" borderId="0" xfId="2" applyNumberFormat="1" applyFont="1" applyFill="1" applyBorder="1"/>
    <xf numFmtId="177" fontId="8" fillId="2" borderId="0" xfId="1" applyNumberFormat="1" applyFont="1" applyFill="1" applyBorder="1"/>
    <xf numFmtId="165" fontId="8" fillId="2" borderId="0" xfId="0" applyNumberFormat="1" applyFont="1" applyFill="1"/>
    <xf numFmtId="170" fontId="8" fillId="2" borderId="0" xfId="3" applyNumberFormat="1" applyFont="1" applyFill="1"/>
    <xf numFmtId="10" fontId="8" fillId="2" borderId="0" xfId="3" applyNumberFormat="1" applyFont="1" applyFill="1"/>
    <xf numFmtId="165" fontId="8" fillId="2" borderId="2" xfId="0" applyNumberFormat="1" applyFont="1" applyFill="1" applyBorder="1"/>
    <xf numFmtId="177" fontId="8" fillId="0" borderId="0" xfId="1" applyNumberFormat="1" applyFont="1" applyFill="1"/>
    <xf numFmtId="165" fontId="8" fillId="0" borderId="0" xfId="0" applyNumberFormat="1" applyFont="1" applyFill="1"/>
    <xf numFmtId="177" fontId="8" fillId="2" borderId="0" xfId="0" applyNumberFormat="1" applyFont="1" applyFill="1"/>
    <xf numFmtId="165" fontId="10" fillId="2" borderId="0" xfId="0" applyNumberFormat="1" applyFont="1" applyFill="1"/>
    <xf numFmtId="167" fontId="8" fillId="2" borderId="3" xfId="2" applyNumberFormat="1" applyFont="1" applyFill="1" applyBorder="1"/>
    <xf numFmtId="165" fontId="8" fillId="2" borderId="3" xfId="0" applyNumberFormat="1" applyFont="1" applyFill="1" applyBorder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0" fontId="6" fillId="5" borderId="0" xfId="0" applyFont="1" applyFill="1"/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38" fontId="5" fillId="2" borderId="0" xfId="0" applyNumberFormat="1" applyFont="1" applyFill="1" applyAlignment="1">
      <alignment horizontal="right"/>
    </xf>
    <xf numFmtId="40" fontId="5" fillId="2" borderId="0" xfId="0" applyNumberFormat="1" applyFont="1" applyFill="1" applyAlignment="1">
      <alignment horizontal="right"/>
    </xf>
    <xf numFmtId="38" fontId="0" fillId="0" borderId="0" xfId="0" applyNumberFormat="1" applyFill="1"/>
    <xf numFmtId="38" fontId="2" fillId="0" borderId="3" xfId="0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/>
    <xf numFmtId="16" fontId="11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9" fontId="11" fillId="0" borderId="0" xfId="0" applyNumberFormat="1" applyFont="1" applyFill="1" applyAlignment="1">
      <alignment horizontal="center"/>
    </xf>
    <xf numFmtId="10" fontId="11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38" fontId="11" fillId="0" borderId="0" xfId="0" applyNumberFormat="1" applyFont="1" applyFill="1" applyAlignment="1">
      <alignment horizontal="right"/>
    </xf>
    <xf numFmtId="10" fontId="2" fillId="0" borderId="0" xfId="0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77" fontId="8" fillId="2" borderId="0" xfId="1" applyNumberFormat="1" applyFont="1" applyFill="1" applyAlignment="1"/>
    <xf numFmtId="177" fontId="8" fillId="2" borderId="3" xfId="0" applyNumberFormat="1" applyFont="1" applyFill="1" applyBorder="1" applyAlignment="1"/>
    <xf numFmtId="0" fontId="12" fillId="2" borderId="0" xfId="0" applyFont="1" applyFill="1"/>
    <xf numFmtId="0" fontId="12" fillId="2" borderId="0" xfId="0" applyNumberFormat="1" applyFont="1" applyFill="1"/>
    <xf numFmtId="0" fontId="12" fillId="2" borderId="0" xfId="0" applyFont="1" applyFill="1" applyAlignment="1">
      <alignment horizontal="right"/>
    </xf>
    <xf numFmtId="177" fontId="8" fillId="0" borderId="0" xfId="0" applyNumberFormat="1" applyFont="1" applyFill="1"/>
    <xf numFmtId="0" fontId="8" fillId="2" borderId="0" xfId="0" applyFont="1" applyFill="1" applyBorder="1"/>
    <xf numFmtId="165" fontId="8" fillId="2" borderId="4" xfId="0" applyNumberFormat="1" applyFont="1" applyFill="1" applyBorder="1"/>
    <xf numFmtId="165" fontId="8" fillId="2" borderId="0" xfId="0" applyNumberFormat="1" applyFont="1" applyFill="1" applyBorder="1"/>
    <xf numFmtId="165" fontId="8" fillId="2" borderId="5" xfId="0" applyNumberFormat="1" applyFont="1" applyFill="1" applyBorder="1"/>
    <xf numFmtId="10" fontId="8" fillId="0" borderId="0" xfId="3" applyNumberFormat="1" applyFont="1" applyFill="1"/>
    <xf numFmtId="165" fontId="8" fillId="0" borderId="2" xfId="0" applyNumberFormat="1" applyFont="1" applyFill="1" applyBorder="1"/>
    <xf numFmtId="165" fontId="8" fillId="0" borderId="3" xfId="0" applyNumberFormat="1" applyFont="1" applyFill="1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177" fontId="0" fillId="0" borderId="0" xfId="1" applyNumberFormat="1" applyFont="1"/>
    <xf numFmtId="177" fontId="0" fillId="0" borderId="3" xfId="1" applyNumberFormat="1" applyFont="1" applyBorder="1"/>
    <xf numFmtId="191" fontId="8" fillId="2" borderId="0" xfId="3" applyNumberFormat="1" applyFont="1" applyFill="1"/>
    <xf numFmtId="9" fontId="8" fillId="2" borderId="0" xfId="3" applyFont="1" applyFill="1"/>
    <xf numFmtId="7" fontId="8" fillId="2" borderId="0" xfId="0" applyNumberFormat="1" applyFont="1" applyFill="1"/>
    <xf numFmtId="177" fontId="0" fillId="0" borderId="0" xfId="1" applyNumberFormat="1" applyFont="1" applyBorder="1"/>
    <xf numFmtId="44" fontId="0" fillId="0" borderId="0" xfId="2" applyFont="1"/>
    <xf numFmtId="167" fontId="0" fillId="0" borderId="0" xfId="2" applyNumberFormat="1" applyFont="1"/>
    <xf numFmtId="44" fontId="0" fillId="0" borderId="0" xfId="0" applyNumberFormat="1"/>
    <xf numFmtId="167" fontId="0" fillId="2" borderId="0" xfId="2" applyNumberFormat="1" applyFont="1" applyFill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3" fillId="0" borderId="0" xfId="0" applyFont="1"/>
    <xf numFmtId="0" fontId="13" fillId="0" borderId="3" xfId="0" applyFont="1" applyBorder="1"/>
    <xf numFmtId="202" fontId="2" fillId="2" borderId="0" xfId="0" applyNumberFormat="1" applyFont="1" applyFill="1" applyAlignment="1">
      <alignment horizontal="right"/>
    </xf>
    <xf numFmtId="165" fontId="8" fillId="6" borderId="0" xfId="0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topLeftCell="A121" workbookViewId="0">
      <selection activeCell="A107" sqref="A107:K126"/>
    </sheetView>
  </sheetViews>
  <sheetFormatPr defaultColWidth="9.109375" defaultRowHeight="11.4" x14ac:dyDescent="0.2"/>
  <cols>
    <col min="1" max="1" width="15.5546875" style="106" customWidth="1"/>
    <col min="2" max="2" width="9.109375" style="106"/>
    <col min="3" max="3" width="12.44140625" style="106" bestFit="1" customWidth="1"/>
    <col min="4" max="4" width="9.109375" style="106"/>
    <col min="5" max="5" width="11" style="106" customWidth="1"/>
    <col min="6" max="6" width="9.109375" style="106"/>
    <col min="7" max="7" width="13.44140625" style="106" bestFit="1" customWidth="1"/>
    <col min="8" max="16384" width="9.109375" style="106"/>
  </cols>
  <sheetData>
    <row r="1" spans="1:12" ht="12" x14ac:dyDescent="0.25">
      <c r="A1" s="126" t="s">
        <v>34</v>
      </c>
    </row>
    <row r="2" spans="1:12" x14ac:dyDescent="0.2">
      <c r="A2" s="107" t="s">
        <v>287</v>
      </c>
      <c r="B2" s="107" t="s">
        <v>26</v>
      </c>
      <c r="C2" s="115">
        <v>2.9</v>
      </c>
      <c r="D2" s="107" t="s">
        <v>309</v>
      </c>
      <c r="E2" s="107"/>
      <c r="G2" s="127"/>
      <c r="H2" s="127"/>
      <c r="I2" s="128"/>
      <c r="J2" s="127"/>
      <c r="K2" s="127"/>
      <c r="L2" s="127"/>
    </row>
    <row r="3" spans="1:12" ht="13.2" x14ac:dyDescent="0.25">
      <c r="A3" s="107" t="s">
        <v>288</v>
      </c>
      <c r="B3" s="108"/>
      <c r="C3" s="115">
        <v>0</v>
      </c>
      <c r="D3" s="107"/>
      <c r="E3" s="107"/>
      <c r="G3" s="127"/>
      <c r="H3" s="127"/>
      <c r="I3" s="128"/>
      <c r="J3" s="127"/>
      <c r="K3" s="127"/>
      <c r="L3" s="127"/>
    </row>
    <row r="4" spans="1:12" ht="13.2" x14ac:dyDescent="0.25">
      <c r="A4" s="107" t="s">
        <v>289</v>
      </c>
      <c r="B4" s="108"/>
      <c r="C4" s="115">
        <f>0.0022+0.0072</f>
        <v>9.4000000000000004E-3</v>
      </c>
      <c r="D4" s="107"/>
      <c r="E4" s="107"/>
      <c r="G4" s="127"/>
      <c r="H4" s="34"/>
      <c r="I4" s="128"/>
      <c r="J4" s="127"/>
      <c r="K4" s="127"/>
      <c r="L4" s="127"/>
    </row>
    <row r="5" spans="1:12" ht="13.2" x14ac:dyDescent="0.25">
      <c r="A5" s="107" t="s">
        <v>290</v>
      </c>
      <c r="B5" s="108"/>
      <c r="C5" s="117">
        <v>1.11E-2</v>
      </c>
      <c r="D5" s="107"/>
      <c r="E5" s="107"/>
      <c r="G5" s="127"/>
      <c r="H5" s="34"/>
      <c r="I5" s="128"/>
      <c r="J5" s="127"/>
      <c r="K5" s="127"/>
      <c r="L5" s="127"/>
    </row>
    <row r="6" spans="1:12" ht="13.2" x14ac:dyDescent="0.25">
      <c r="A6" s="107" t="s">
        <v>305</v>
      </c>
      <c r="B6" s="107"/>
      <c r="C6" s="118">
        <f>ROUND(+C2/(1-C5)+(C3+C4),4)-C2</f>
        <v>4.2000000000000259E-2</v>
      </c>
      <c r="D6" s="107"/>
      <c r="E6" s="107"/>
      <c r="G6" s="127"/>
      <c r="H6" s="34"/>
      <c r="I6" s="129"/>
      <c r="J6" s="127"/>
      <c r="K6" s="127"/>
      <c r="L6" s="127"/>
    </row>
    <row r="7" spans="1:12" ht="12" thickBot="1" x14ac:dyDescent="0.25">
      <c r="A7" s="107" t="s">
        <v>306</v>
      </c>
      <c r="B7" s="107"/>
      <c r="C7" s="124">
        <f>SUM(C2,C6)</f>
        <v>2.9420000000000002</v>
      </c>
      <c r="D7" s="107" t="s">
        <v>310</v>
      </c>
      <c r="E7" s="107"/>
      <c r="G7" s="127"/>
      <c r="H7" s="127"/>
      <c r="I7" s="128"/>
      <c r="J7" s="127"/>
      <c r="K7" s="127"/>
      <c r="L7" s="127"/>
    </row>
    <row r="8" spans="1:12" ht="12" thickTop="1" x14ac:dyDescent="0.2">
      <c r="G8" s="127"/>
      <c r="H8" s="127"/>
      <c r="I8" s="128"/>
      <c r="J8" s="127"/>
      <c r="K8" s="127"/>
      <c r="L8" s="127"/>
    </row>
    <row r="10" spans="1:12" x14ac:dyDescent="0.2">
      <c r="A10" s="107" t="s">
        <v>287</v>
      </c>
      <c r="B10" s="107" t="s">
        <v>26</v>
      </c>
      <c r="C10" s="115">
        <v>2.9</v>
      </c>
      <c r="D10" s="107"/>
      <c r="E10" s="107"/>
    </row>
    <row r="11" spans="1:12" x14ac:dyDescent="0.2">
      <c r="A11" s="107" t="s">
        <v>311</v>
      </c>
      <c r="B11" s="107"/>
      <c r="C11" s="115">
        <v>0.06</v>
      </c>
      <c r="D11" s="107"/>
      <c r="E11" s="107"/>
    </row>
    <row r="12" spans="1:12" x14ac:dyDescent="0.2">
      <c r="A12" s="107" t="s">
        <v>307</v>
      </c>
      <c r="B12" s="107"/>
      <c r="C12" s="115">
        <v>1.12E-2</v>
      </c>
      <c r="D12" s="107"/>
      <c r="E12" s="107"/>
    </row>
    <row r="13" spans="1:12" x14ac:dyDescent="0.2">
      <c r="A13" s="107" t="s">
        <v>289</v>
      </c>
      <c r="B13" s="107"/>
      <c r="C13" s="115">
        <f>0.0022+0.0072</f>
        <v>9.4000000000000004E-3</v>
      </c>
      <c r="D13" s="107"/>
      <c r="E13" s="107"/>
    </row>
    <row r="14" spans="1:12" x14ac:dyDescent="0.2">
      <c r="A14" s="107" t="s">
        <v>290</v>
      </c>
      <c r="B14" s="107"/>
      <c r="C14" s="117">
        <v>1.11E-2</v>
      </c>
      <c r="D14" s="107"/>
      <c r="E14" s="107"/>
    </row>
    <row r="15" spans="1:12" x14ac:dyDescent="0.2">
      <c r="A15" s="107" t="s">
        <v>308</v>
      </c>
      <c r="B15" s="107"/>
      <c r="C15" s="118">
        <f>ROUND((+C10+C11)/(1-C14)-(C10+C11)+C12+C13,4)</f>
        <v>5.3800000000000001E-2</v>
      </c>
      <c r="D15" s="107"/>
      <c r="E15" s="107"/>
    </row>
    <row r="16" spans="1:12" ht="12" thickBot="1" x14ac:dyDescent="0.25">
      <c r="A16" s="107"/>
      <c r="B16" s="107"/>
      <c r="C16" s="124">
        <f>SUM(C15,C10:C11)</f>
        <v>3.0137999999999998</v>
      </c>
      <c r="D16" s="107" t="s">
        <v>312</v>
      </c>
      <c r="E16" s="107"/>
    </row>
    <row r="17" spans="1:5" ht="12" thickTop="1" x14ac:dyDescent="0.2"/>
    <row r="19" spans="1:5" ht="12" x14ac:dyDescent="0.25">
      <c r="A19" s="126" t="s">
        <v>313</v>
      </c>
      <c r="C19" s="106" t="s">
        <v>65</v>
      </c>
      <c r="E19" s="106" t="s">
        <v>369</v>
      </c>
    </row>
    <row r="20" spans="1:5" x14ac:dyDescent="0.2">
      <c r="A20" s="107" t="s">
        <v>287</v>
      </c>
      <c r="B20" s="107" t="s">
        <v>313</v>
      </c>
      <c r="C20" s="115">
        <v>2.4900000000000002</v>
      </c>
      <c r="D20" s="107"/>
      <c r="E20" s="115">
        <v>2.4900000000000002</v>
      </c>
    </row>
    <row r="21" spans="1:5" x14ac:dyDescent="0.2">
      <c r="A21" s="107" t="s">
        <v>311</v>
      </c>
      <c r="B21" s="107"/>
      <c r="C21" s="115">
        <v>7.4999999999999997E-3</v>
      </c>
      <c r="D21" s="107"/>
      <c r="E21" s="115">
        <v>7.4999999999999997E-3</v>
      </c>
    </row>
    <row r="22" spans="1:5" x14ac:dyDescent="0.2">
      <c r="A22" s="107" t="s">
        <v>288</v>
      </c>
      <c r="B22" s="107"/>
      <c r="C22" s="115">
        <v>1.32E-2</v>
      </c>
      <c r="D22" s="107"/>
      <c r="E22" s="115">
        <v>0.2228</v>
      </c>
    </row>
    <row r="23" spans="1:5" x14ac:dyDescent="0.2">
      <c r="A23" s="107" t="s">
        <v>289</v>
      </c>
      <c r="B23" s="107"/>
      <c r="C23" s="115">
        <f>0.0022+0.0072</f>
        <v>9.4000000000000004E-3</v>
      </c>
      <c r="D23" s="107"/>
      <c r="E23" s="115">
        <f>0.0022+0.0072</f>
        <v>9.4000000000000004E-3</v>
      </c>
    </row>
    <row r="24" spans="1:5" x14ac:dyDescent="0.2">
      <c r="A24" s="107" t="s">
        <v>290</v>
      </c>
      <c r="B24" s="107"/>
      <c r="C24" s="174">
        <v>2.1160000000000002E-2</v>
      </c>
      <c r="D24" s="107"/>
      <c r="E24" s="174">
        <v>2.1160000000000002E-2</v>
      </c>
    </row>
    <row r="25" spans="1:5" x14ac:dyDescent="0.2">
      <c r="A25" s="107" t="s">
        <v>291</v>
      </c>
      <c r="B25" s="107"/>
      <c r="C25" s="118">
        <f>ROUND((+C20+C21)/(1-C24)-(C20+C21)+C22+C23,4)</f>
        <v>7.6600000000000001E-2</v>
      </c>
      <c r="D25" s="107"/>
      <c r="E25" s="118">
        <f>ROUND((+E20+E21)/(1-E24)-(E20+E21)+E22+E23,4)</f>
        <v>0.28620000000000001</v>
      </c>
    </row>
    <row r="26" spans="1:5" ht="12" thickBot="1" x14ac:dyDescent="0.25">
      <c r="A26" s="107"/>
      <c r="B26" s="107"/>
      <c r="C26" s="124">
        <f>SUM(C25,C20:C21)</f>
        <v>2.5741000000000001</v>
      </c>
      <c r="D26" s="107"/>
      <c r="E26" s="124">
        <f>SUM(E25,E20:E21)</f>
        <v>2.7837000000000001</v>
      </c>
    </row>
    <row r="27" spans="1:5" ht="12" thickTop="1" x14ac:dyDescent="0.2"/>
    <row r="28" spans="1:5" x14ac:dyDescent="0.2">
      <c r="A28" s="107"/>
      <c r="B28" s="107"/>
      <c r="C28" s="175"/>
      <c r="D28" s="107"/>
      <c r="E28" s="175"/>
    </row>
    <row r="29" spans="1:5" x14ac:dyDescent="0.2">
      <c r="A29" s="107"/>
      <c r="B29" s="107"/>
      <c r="C29" s="176"/>
      <c r="D29" s="107"/>
      <c r="E29" s="176"/>
    </row>
    <row r="30" spans="1:5" x14ac:dyDescent="0.2">
      <c r="A30" s="107"/>
      <c r="B30" s="107"/>
      <c r="C30" s="115"/>
      <c r="D30" s="107"/>
      <c r="E30" s="107"/>
    </row>
    <row r="37" spans="1:7" ht="12" x14ac:dyDescent="0.25">
      <c r="A37" s="126" t="s">
        <v>28</v>
      </c>
      <c r="C37" s="106" t="s">
        <v>360</v>
      </c>
      <c r="E37" s="106" t="s">
        <v>358</v>
      </c>
      <c r="G37" s="106" t="s">
        <v>359</v>
      </c>
    </row>
    <row r="38" spans="1:7" x14ac:dyDescent="0.2">
      <c r="A38" s="107" t="s">
        <v>287</v>
      </c>
      <c r="B38" s="107" t="s">
        <v>28</v>
      </c>
      <c r="C38" s="115">
        <v>2.5299999999999998</v>
      </c>
      <c r="D38" s="107"/>
      <c r="E38" s="115">
        <v>2.5299999999999998</v>
      </c>
      <c r="G38" s="115">
        <v>2.5299999999999998</v>
      </c>
    </row>
    <row r="39" spans="1:7" x14ac:dyDescent="0.2">
      <c r="A39" s="107" t="s">
        <v>311</v>
      </c>
      <c r="B39" s="107"/>
      <c r="C39" s="115">
        <v>1.4999999999999999E-2</v>
      </c>
      <c r="D39" s="107"/>
      <c r="E39" s="115">
        <v>9.5000000000000001E-2</v>
      </c>
      <c r="G39" s="115">
        <v>1.4999999999999999E-2</v>
      </c>
    </row>
    <row r="40" spans="1:7" x14ac:dyDescent="0.2">
      <c r="A40" s="107" t="s">
        <v>288</v>
      </c>
      <c r="B40" s="107"/>
      <c r="C40" s="115">
        <v>4.3400000000000001E-2</v>
      </c>
      <c r="D40" s="107"/>
      <c r="E40" s="115">
        <v>4.3400000000000001E-2</v>
      </c>
      <c r="G40" s="115">
        <v>4.3400000000000001E-2</v>
      </c>
    </row>
    <row r="41" spans="1:7" x14ac:dyDescent="0.2">
      <c r="A41" s="107" t="s">
        <v>289</v>
      </c>
      <c r="B41" s="107"/>
      <c r="C41" s="115">
        <f>0.0022</f>
        <v>2.2000000000000001E-3</v>
      </c>
      <c r="D41" s="107"/>
      <c r="E41" s="115">
        <f>0.0022</f>
        <v>2.2000000000000001E-3</v>
      </c>
      <c r="G41" s="115">
        <f>0.0022</f>
        <v>2.2000000000000001E-3</v>
      </c>
    </row>
    <row r="42" spans="1:7" x14ac:dyDescent="0.2">
      <c r="A42" s="107" t="s">
        <v>290</v>
      </c>
      <c r="B42" s="107"/>
      <c r="C42" s="117">
        <v>2.2800000000000001E-2</v>
      </c>
      <c r="D42" s="107"/>
      <c r="E42" s="117">
        <v>2.2800000000000001E-2</v>
      </c>
      <c r="G42" s="117">
        <v>2.2800000000000001E-2</v>
      </c>
    </row>
    <row r="43" spans="1:7" x14ac:dyDescent="0.2">
      <c r="A43" s="107" t="s">
        <v>291</v>
      </c>
      <c r="B43" s="107"/>
      <c r="C43" s="118">
        <f>ROUND((+C38+C39)/(1-C42)-(C38+C39)+C40+C41,4)</f>
        <v>0.105</v>
      </c>
      <c r="D43" s="107"/>
      <c r="E43" s="118">
        <f>ROUND((+E38+E39)/(1-E42)-(E38+E39)+E40+E41,4)</f>
        <v>0.10680000000000001</v>
      </c>
      <c r="F43" s="127"/>
      <c r="G43" s="118">
        <f>ROUND((+G38+G39)/(1-G42)-(G38+G39)+G40+G41,4)</f>
        <v>0.105</v>
      </c>
    </row>
    <row r="44" spans="1:7" x14ac:dyDescent="0.2">
      <c r="A44" s="107" t="s">
        <v>0</v>
      </c>
      <c r="B44" s="107"/>
      <c r="C44" s="118">
        <v>0</v>
      </c>
      <c r="D44" s="107"/>
      <c r="E44" s="118">
        <v>0.13</v>
      </c>
      <c r="F44" s="127"/>
      <c r="G44" s="118">
        <v>0.13</v>
      </c>
    </row>
    <row r="45" spans="1:7" ht="12" thickBot="1" x14ac:dyDescent="0.25">
      <c r="A45" s="107" t="s">
        <v>306</v>
      </c>
      <c r="B45" s="107"/>
      <c r="C45" s="165">
        <f>SUM(C43,C38:C39,C44)</f>
        <v>2.65</v>
      </c>
      <c r="D45" s="107"/>
      <c r="E45" s="165">
        <f>SUM(E43,E38:E39,E44)</f>
        <v>2.8618000000000001</v>
      </c>
      <c r="F45" s="127"/>
      <c r="G45" s="165">
        <f>SUM(G43,G38:G39,G44)</f>
        <v>2.78</v>
      </c>
    </row>
    <row r="46" spans="1:7" ht="12" thickTop="1" x14ac:dyDescent="0.2">
      <c r="A46" s="107" t="s">
        <v>362</v>
      </c>
      <c r="B46" s="107"/>
      <c r="C46" s="114">
        <f>1167*31</f>
        <v>36177</v>
      </c>
      <c r="D46" s="107"/>
      <c r="E46" s="114">
        <f>160583-36177</f>
        <v>124406</v>
      </c>
      <c r="F46" s="127"/>
      <c r="G46" s="114">
        <v>334977</v>
      </c>
    </row>
    <row r="47" spans="1:7" x14ac:dyDescent="0.2">
      <c r="A47" s="107" t="s">
        <v>361</v>
      </c>
      <c r="B47" s="107"/>
      <c r="C47" s="164"/>
      <c r="D47" s="107"/>
      <c r="E47" s="162"/>
      <c r="F47" s="127"/>
      <c r="G47" s="127"/>
    </row>
    <row r="48" spans="1:7" x14ac:dyDescent="0.2">
      <c r="A48" s="107"/>
      <c r="B48" s="107"/>
      <c r="C48" s="164"/>
      <c r="D48" s="107"/>
      <c r="E48" s="107"/>
    </row>
    <row r="49" spans="1:10" x14ac:dyDescent="0.2">
      <c r="A49" s="107" t="s">
        <v>363</v>
      </c>
      <c r="B49" s="107"/>
      <c r="C49" s="164"/>
      <c r="D49" s="107"/>
      <c r="E49" s="107"/>
    </row>
    <row r="50" spans="1:10" x14ac:dyDescent="0.2">
      <c r="C50" s="128"/>
    </row>
    <row r="51" spans="1:10" x14ac:dyDescent="0.2">
      <c r="C51" s="128"/>
    </row>
    <row r="52" spans="1:10" s="107" customFormat="1" ht="12" x14ac:dyDescent="0.25">
      <c r="A52" s="109" t="s">
        <v>364</v>
      </c>
      <c r="C52" s="155" t="s">
        <v>65</v>
      </c>
      <c r="E52" s="155" t="s">
        <v>365</v>
      </c>
    </row>
    <row r="53" spans="1:10" x14ac:dyDescent="0.2">
      <c r="A53" s="107" t="s">
        <v>287</v>
      </c>
      <c r="B53" s="107" t="s">
        <v>28</v>
      </c>
      <c r="C53" s="115">
        <v>2.5299999999999998</v>
      </c>
      <c r="D53" s="107"/>
      <c r="E53" s="115">
        <v>2.5299999999999998</v>
      </c>
    </row>
    <row r="54" spans="1:10" x14ac:dyDescent="0.2">
      <c r="A54" s="107" t="s">
        <v>311</v>
      </c>
      <c r="B54" s="107"/>
      <c r="C54" s="115">
        <v>6.5000000000000002E-2</v>
      </c>
      <c r="D54" s="107"/>
      <c r="E54" s="115">
        <v>6.5000000000000002E-2</v>
      </c>
    </row>
    <row r="55" spans="1:10" x14ac:dyDescent="0.2">
      <c r="A55" s="107" t="s">
        <v>288</v>
      </c>
      <c r="B55" s="107"/>
      <c r="C55" s="115">
        <v>7.9000000000000008E-3</v>
      </c>
      <c r="D55" s="107"/>
      <c r="E55" s="115">
        <v>0.2127</v>
      </c>
    </row>
    <row r="56" spans="1:10" x14ac:dyDescent="0.2">
      <c r="A56" s="107" t="s">
        <v>289</v>
      </c>
      <c r="B56" s="107"/>
      <c r="C56" s="115">
        <f>0.0022+0.0072</f>
        <v>9.4000000000000004E-3</v>
      </c>
      <c r="D56" s="107"/>
      <c r="E56" s="115">
        <f>0.0022+0.0072</f>
        <v>9.4000000000000004E-3</v>
      </c>
    </row>
    <row r="57" spans="1:10" x14ac:dyDescent="0.2">
      <c r="A57" s="107" t="s">
        <v>290</v>
      </c>
      <c r="B57" s="107"/>
      <c r="C57" s="117">
        <v>0.03</v>
      </c>
      <c r="D57" s="107"/>
      <c r="E57" s="117">
        <v>0.03</v>
      </c>
    </row>
    <row r="58" spans="1:10" x14ac:dyDescent="0.2">
      <c r="A58" s="107" t="s">
        <v>291</v>
      </c>
      <c r="B58" s="107"/>
      <c r="C58" s="118">
        <f>ROUND((+C53+C54)/(1-C57)-(C53+C54)+C55+C56,4)</f>
        <v>9.7600000000000006E-2</v>
      </c>
      <c r="D58" s="107"/>
      <c r="E58" s="118">
        <f>ROUND((+E53+E54)/(1-E57)-(E53+E54)+E55+E56,4)</f>
        <v>0.3024</v>
      </c>
    </row>
    <row r="59" spans="1:10" ht="12" thickBot="1" x14ac:dyDescent="0.25">
      <c r="A59" s="107" t="s">
        <v>306</v>
      </c>
      <c r="B59" s="107"/>
      <c r="C59" s="124">
        <f>SUM(C58,C53:C54)</f>
        <v>2.6925999999999997</v>
      </c>
      <c r="D59" s="107"/>
      <c r="E59" s="124">
        <f>SUM(E58,E53:E54)</f>
        <v>2.8973999999999998</v>
      </c>
    </row>
    <row r="60" spans="1:10" s="107" customFormat="1" ht="12" thickTop="1" x14ac:dyDescent="0.2"/>
    <row r="61" spans="1:10" s="107" customFormat="1" x14ac:dyDescent="0.2">
      <c r="A61" s="107" t="s">
        <v>366</v>
      </c>
    </row>
    <row r="64" spans="1:10" ht="12" x14ac:dyDescent="0.25">
      <c r="A64" s="109" t="s">
        <v>351</v>
      </c>
      <c r="B64" s="107"/>
      <c r="C64" s="107"/>
      <c r="D64" s="107"/>
      <c r="E64" s="107"/>
      <c r="F64" s="107"/>
      <c r="G64" s="107"/>
      <c r="H64" s="107"/>
      <c r="I64" s="107"/>
      <c r="J64" s="107"/>
    </row>
    <row r="65" spans="1:10" x14ac:dyDescent="0.2">
      <c r="A65" s="107" t="s">
        <v>287</v>
      </c>
      <c r="B65" s="107" t="s">
        <v>267</v>
      </c>
      <c r="C65" s="115">
        <v>2.2999999999999998</v>
      </c>
      <c r="D65" s="107"/>
      <c r="E65" s="107"/>
      <c r="F65" s="107"/>
      <c r="G65" s="107"/>
      <c r="H65" s="107"/>
      <c r="I65" s="107"/>
      <c r="J65" s="107"/>
    </row>
    <row r="66" spans="1:10" x14ac:dyDescent="0.2">
      <c r="A66" s="107" t="s">
        <v>311</v>
      </c>
      <c r="B66" s="107"/>
      <c r="C66" s="115">
        <v>0.06</v>
      </c>
      <c r="D66" s="107"/>
      <c r="E66" s="107"/>
      <c r="F66" s="107"/>
      <c r="G66" s="107"/>
      <c r="H66" s="107"/>
      <c r="I66" s="107"/>
      <c r="J66" s="107"/>
    </row>
    <row r="67" spans="1:10" x14ac:dyDescent="0.2">
      <c r="A67" s="107" t="s">
        <v>288</v>
      </c>
      <c r="B67" s="107"/>
      <c r="C67" s="115">
        <v>0.11260000000000001</v>
      </c>
      <c r="D67" s="107"/>
      <c r="E67" s="107"/>
      <c r="F67" s="107"/>
      <c r="G67" s="107"/>
      <c r="H67" s="107"/>
      <c r="I67" s="107"/>
      <c r="J67" s="107"/>
    </row>
    <row r="68" spans="1:10" x14ac:dyDescent="0.2">
      <c r="A68" s="107" t="s">
        <v>289</v>
      </c>
      <c r="B68" s="107"/>
      <c r="C68" s="115">
        <f>0.0022+0.0072</f>
        <v>9.4000000000000004E-3</v>
      </c>
      <c r="D68" s="107"/>
      <c r="E68" s="107"/>
      <c r="F68" s="107"/>
      <c r="G68" s="107"/>
      <c r="H68" s="107"/>
      <c r="I68" s="107"/>
      <c r="J68" s="107"/>
    </row>
    <row r="69" spans="1:10" x14ac:dyDescent="0.2">
      <c r="A69" s="107" t="s">
        <v>290</v>
      </c>
      <c r="B69" s="107"/>
      <c r="C69" s="117">
        <v>6.9900000000000004E-2</v>
      </c>
      <c r="D69" s="107"/>
      <c r="E69" s="107"/>
      <c r="F69" s="107"/>
      <c r="G69" s="107"/>
      <c r="H69" s="107"/>
      <c r="I69" s="107"/>
      <c r="J69" s="107"/>
    </row>
    <row r="70" spans="1:10" x14ac:dyDescent="0.2">
      <c r="A70" s="107" t="s">
        <v>291</v>
      </c>
      <c r="B70" s="107"/>
      <c r="C70" s="118">
        <f>ROUND((+C65+C66)/(1-C69)-(C65+C66)+C67+C68,4)</f>
        <v>0.2994</v>
      </c>
      <c r="D70" s="107"/>
      <c r="E70" s="107"/>
      <c r="F70" s="107"/>
      <c r="G70" s="107"/>
      <c r="H70" s="107"/>
      <c r="I70" s="107"/>
      <c r="J70" s="107"/>
    </row>
    <row r="71" spans="1:10" ht="12" thickBot="1" x14ac:dyDescent="0.25">
      <c r="A71" s="107"/>
      <c r="B71" s="107"/>
      <c r="C71" s="124">
        <f>SUM(C70,C65:C66)</f>
        <v>2.6593999999999998</v>
      </c>
      <c r="D71" s="107" t="s">
        <v>352</v>
      </c>
      <c r="E71" s="107"/>
      <c r="F71" s="107"/>
      <c r="G71" s="107"/>
      <c r="H71" s="107"/>
      <c r="I71" s="107"/>
      <c r="J71" s="107"/>
    </row>
    <row r="72" spans="1:10" ht="12" thickTop="1" x14ac:dyDescent="0.2"/>
    <row r="74" spans="1:10" ht="12" x14ac:dyDescent="0.25">
      <c r="A74" s="109" t="s">
        <v>347</v>
      </c>
      <c r="B74" s="107"/>
      <c r="C74" s="107"/>
      <c r="D74" s="107"/>
      <c r="E74" s="107"/>
      <c r="F74" s="107"/>
      <c r="G74" s="107"/>
      <c r="H74" s="107"/>
      <c r="I74" s="107"/>
      <c r="J74" s="107"/>
    </row>
    <row r="75" spans="1:10" x14ac:dyDescent="0.2">
      <c r="A75" s="107" t="s">
        <v>287</v>
      </c>
      <c r="B75" s="107" t="s">
        <v>348</v>
      </c>
      <c r="C75" s="115">
        <v>2.31</v>
      </c>
      <c r="D75" s="107"/>
      <c r="E75" s="107"/>
      <c r="F75" s="107"/>
      <c r="G75" s="107"/>
      <c r="H75" s="107"/>
      <c r="I75" s="107"/>
      <c r="J75" s="107"/>
    </row>
    <row r="76" spans="1:10" x14ac:dyDescent="0.2">
      <c r="A76" s="107" t="s">
        <v>311</v>
      </c>
      <c r="B76" s="107"/>
      <c r="C76" s="115">
        <v>0.06</v>
      </c>
      <c r="D76" s="107"/>
      <c r="E76" s="107"/>
      <c r="F76" s="107"/>
      <c r="G76" s="107"/>
      <c r="H76" s="107"/>
      <c r="I76" s="107"/>
      <c r="J76" s="107"/>
    </row>
    <row r="77" spans="1:10" x14ac:dyDescent="0.2">
      <c r="A77" s="107" t="s">
        <v>288</v>
      </c>
      <c r="B77" s="107"/>
      <c r="C77" s="115">
        <v>9.9400000000000002E-2</v>
      </c>
      <c r="D77" s="107"/>
      <c r="E77" s="107"/>
      <c r="F77" s="107"/>
      <c r="G77" s="107"/>
      <c r="H77" s="107"/>
      <c r="I77" s="107"/>
      <c r="J77" s="107"/>
    </row>
    <row r="78" spans="1:10" x14ac:dyDescent="0.2">
      <c r="A78" s="107" t="s">
        <v>289</v>
      </c>
      <c r="B78" s="107"/>
      <c r="C78" s="115">
        <f>0.0022+0.0072</f>
        <v>9.4000000000000004E-3</v>
      </c>
      <c r="D78" s="107"/>
      <c r="E78" s="107"/>
      <c r="F78" s="107"/>
      <c r="G78" s="107"/>
      <c r="H78" s="107"/>
      <c r="I78" s="107"/>
      <c r="J78" s="107"/>
    </row>
    <row r="79" spans="1:10" x14ac:dyDescent="0.2">
      <c r="A79" s="107" t="s">
        <v>290</v>
      </c>
      <c r="B79" s="107"/>
      <c r="C79" s="117">
        <v>9.2399999999999996E-2</v>
      </c>
      <c r="D79" s="107"/>
      <c r="E79" s="107"/>
      <c r="F79" s="107"/>
      <c r="G79" s="107"/>
      <c r="H79" s="107"/>
      <c r="I79" s="107"/>
      <c r="J79" s="107"/>
    </row>
    <row r="80" spans="1:10" x14ac:dyDescent="0.2">
      <c r="A80" s="107" t="s">
        <v>291</v>
      </c>
      <c r="B80" s="107"/>
      <c r="C80" s="118">
        <f>ROUND((+C75+C76)/(1-C79)-(C75+C76)+C77+C78,4)</f>
        <v>0.35010000000000002</v>
      </c>
      <c r="D80" s="107" t="s">
        <v>349</v>
      </c>
      <c r="E80" s="107"/>
      <c r="F80" s="107"/>
      <c r="G80" s="107"/>
      <c r="H80" s="107"/>
      <c r="I80" s="107"/>
      <c r="J80" s="107"/>
    </row>
    <row r="81" spans="1:10" ht="12" thickBot="1" x14ac:dyDescent="0.25">
      <c r="A81" s="107"/>
      <c r="B81" s="107"/>
      <c r="C81" s="124">
        <f>SUM(C80,C75:C76)</f>
        <v>2.7201</v>
      </c>
      <c r="D81" s="107" t="s">
        <v>350</v>
      </c>
      <c r="E81" s="107"/>
      <c r="F81" s="107"/>
      <c r="G81" s="107"/>
      <c r="H81" s="107"/>
      <c r="I81" s="107"/>
      <c r="J81" s="107"/>
    </row>
    <row r="82" spans="1:10" ht="12" thickTop="1" x14ac:dyDescent="0.2"/>
    <row r="84" spans="1:10" ht="12" x14ac:dyDescent="0.25">
      <c r="A84" s="126" t="s">
        <v>367</v>
      </c>
    </row>
    <row r="85" spans="1:10" x14ac:dyDescent="0.2">
      <c r="A85" s="106" t="s">
        <v>287</v>
      </c>
      <c r="B85" s="106" t="s">
        <v>348</v>
      </c>
      <c r="C85" s="120">
        <v>2.31</v>
      </c>
    </row>
    <row r="86" spans="1:10" x14ac:dyDescent="0.2">
      <c r="A86" s="106" t="s">
        <v>311</v>
      </c>
      <c r="C86" s="120">
        <v>0.06</v>
      </c>
    </row>
    <row r="87" spans="1:10" x14ac:dyDescent="0.2">
      <c r="A87" s="106" t="s">
        <v>288</v>
      </c>
      <c r="C87" s="120">
        <v>9.9400000000000002E-2</v>
      </c>
    </row>
    <row r="88" spans="1:10" x14ac:dyDescent="0.2">
      <c r="A88" s="106" t="s">
        <v>289</v>
      </c>
      <c r="C88" s="120">
        <f>0.0022+0.0072</f>
        <v>9.4000000000000004E-3</v>
      </c>
    </row>
    <row r="89" spans="1:10" x14ac:dyDescent="0.2">
      <c r="A89" s="106" t="s">
        <v>290</v>
      </c>
      <c r="C89" s="166">
        <v>9.2399999999999996E-2</v>
      </c>
    </row>
    <row r="90" spans="1:10" x14ac:dyDescent="0.2">
      <c r="A90" s="106" t="s">
        <v>291</v>
      </c>
      <c r="C90" s="167">
        <f>ROUND((+C85+C86)/(1-C89)-(C85+C86)+C87+C88,4)</f>
        <v>0.35010000000000002</v>
      </c>
      <c r="D90" s="106" t="s">
        <v>349</v>
      </c>
    </row>
    <row r="91" spans="1:10" ht="12" thickBot="1" x14ac:dyDescent="0.25">
      <c r="C91" s="168">
        <f>SUM(C90,C85:C86)</f>
        <v>2.7201</v>
      </c>
      <c r="D91" s="106" t="s">
        <v>350</v>
      </c>
    </row>
    <row r="92" spans="1:10" ht="12" thickTop="1" x14ac:dyDescent="0.2"/>
    <row r="99" spans="1:12" ht="13.2" x14ac:dyDescent="0.25">
      <c r="A99" s="125" t="s">
        <v>1</v>
      </c>
      <c r="G99" s="25"/>
      <c r="H99" s="25"/>
    </row>
    <row r="100" spans="1:12" ht="13.2" x14ac:dyDescent="0.25">
      <c r="A100" s="108" t="s">
        <v>304</v>
      </c>
      <c r="B100" s="108"/>
      <c r="C100" s="108"/>
      <c r="D100" s="108"/>
      <c r="E100" s="107"/>
      <c r="F100" s="107"/>
      <c r="G100" s="108"/>
      <c r="H100" s="108"/>
      <c r="I100" s="107"/>
      <c r="J100" s="107"/>
      <c r="K100" s="107"/>
    </row>
    <row r="101" spans="1:12" ht="13.2" x14ac:dyDescent="0.25">
      <c r="A101" s="107" t="s">
        <v>180</v>
      </c>
      <c r="B101" s="155" t="s">
        <v>340</v>
      </c>
      <c r="C101" s="107"/>
      <c r="D101" s="158" t="s">
        <v>341</v>
      </c>
      <c r="E101" s="107"/>
      <c r="F101" s="108"/>
      <c r="G101" s="107"/>
      <c r="H101" s="107"/>
      <c r="I101" s="107"/>
      <c r="J101" s="107"/>
      <c r="K101" s="107"/>
    </row>
    <row r="102" spans="1:12" ht="13.2" x14ac:dyDescent="0.25">
      <c r="A102" s="107" t="s">
        <v>35</v>
      </c>
      <c r="B102" s="156">
        <v>65</v>
      </c>
      <c r="C102" s="111"/>
      <c r="D102" s="159">
        <v>1339</v>
      </c>
      <c r="E102" s="112"/>
      <c r="F102" s="108"/>
      <c r="G102" s="110"/>
      <c r="H102" s="107"/>
      <c r="I102" s="107"/>
      <c r="J102" s="107"/>
      <c r="K102" s="107"/>
    </row>
    <row r="103" spans="1:12" ht="13.2" x14ac:dyDescent="0.25">
      <c r="A103" s="107" t="s">
        <v>194</v>
      </c>
      <c r="B103" s="156">
        <v>95</v>
      </c>
      <c r="C103" s="111"/>
      <c r="D103" s="159">
        <v>1968</v>
      </c>
      <c r="E103" s="112"/>
      <c r="F103" s="108"/>
      <c r="G103" s="110"/>
      <c r="H103" s="107"/>
      <c r="I103" s="107"/>
      <c r="J103" s="107"/>
      <c r="K103" s="107"/>
    </row>
    <row r="104" spans="1:12" ht="13.2" x14ac:dyDescent="0.25">
      <c r="A104" s="107" t="s">
        <v>207</v>
      </c>
      <c r="B104" s="156">
        <v>222</v>
      </c>
      <c r="C104" s="113"/>
      <c r="D104" s="159">
        <v>4567</v>
      </c>
      <c r="E104" s="112"/>
      <c r="F104" s="108"/>
      <c r="G104" s="114"/>
      <c r="H104" s="107"/>
      <c r="I104" s="107"/>
      <c r="J104" s="107"/>
      <c r="K104" s="107"/>
    </row>
    <row r="105" spans="1:12" ht="13.8" thickBot="1" x14ac:dyDescent="0.3">
      <c r="A105" s="107"/>
      <c r="B105" s="157">
        <f>SUM(B102:B104)</f>
        <v>382</v>
      </c>
      <c r="C105" s="112"/>
      <c r="D105" s="157">
        <f>SUM(D102:D104)</f>
        <v>7874</v>
      </c>
      <c r="E105" s="112"/>
      <c r="F105" s="108"/>
      <c r="G105" s="112"/>
      <c r="H105" s="107"/>
      <c r="I105" s="107"/>
      <c r="J105" s="107"/>
      <c r="K105" s="107"/>
    </row>
    <row r="106" spans="1:12" ht="13.8" thickTop="1" x14ac:dyDescent="0.25">
      <c r="A106" s="107"/>
      <c r="B106" s="107"/>
      <c r="C106" s="107"/>
      <c r="D106" s="160"/>
      <c r="E106" s="107"/>
      <c r="F106" s="114"/>
      <c r="G106" s="108"/>
      <c r="H106" s="107"/>
      <c r="I106" s="107"/>
      <c r="J106" s="107"/>
      <c r="K106" s="107"/>
    </row>
    <row r="107" spans="1:12" x14ac:dyDescent="0.2">
      <c r="A107" s="107" t="s">
        <v>284</v>
      </c>
      <c r="B107" s="107"/>
      <c r="C107" s="107"/>
      <c r="D107" s="107"/>
      <c r="E107" s="107" t="s">
        <v>285</v>
      </c>
      <c r="F107" s="107"/>
      <c r="G107" s="107"/>
      <c r="H107" s="107"/>
      <c r="I107" s="107" t="s">
        <v>286</v>
      </c>
      <c r="J107" s="107"/>
      <c r="K107" s="107"/>
    </row>
    <row r="108" spans="1:12" ht="13.2" x14ac:dyDescent="0.25">
      <c r="A108" s="107" t="s">
        <v>287</v>
      </c>
      <c r="B108" s="107" t="s">
        <v>35</v>
      </c>
      <c r="C108" s="115">
        <v>2.2799999999999998</v>
      </c>
      <c r="D108" s="107"/>
      <c r="E108" s="107" t="s">
        <v>287</v>
      </c>
      <c r="F108" s="107" t="s">
        <v>194</v>
      </c>
      <c r="G108" s="115">
        <v>2.3199999999999998</v>
      </c>
      <c r="H108" s="107"/>
      <c r="I108" s="107" t="s">
        <v>287</v>
      </c>
      <c r="J108" s="107" t="s">
        <v>207</v>
      </c>
      <c r="K108" s="115">
        <v>2.36</v>
      </c>
      <c r="L108" s="25"/>
    </row>
    <row r="109" spans="1:12" ht="13.2" x14ac:dyDescent="0.25">
      <c r="A109" s="107" t="s">
        <v>311</v>
      </c>
      <c r="B109" s="107"/>
      <c r="C109" s="115">
        <v>2.75E-2</v>
      </c>
      <c r="D109" s="107"/>
      <c r="E109" s="107"/>
      <c r="F109" s="107"/>
      <c r="G109" s="115">
        <v>0.02</v>
      </c>
      <c r="H109" s="107"/>
      <c r="I109" s="107"/>
      <c r="J109" s="107"/>
      <c r="K109" s="115">
        <v>0.01</v>
      </c>
      <c r="L109" s="25"/>
    </row>
    <row r="110" spans="1:12" ht="13.2" x14ac:dyDescent="0.25">
      <c r="A110" s="107" t="s">
        <v>288</v>
      </c>
      <c r="B110" s="108"/>
      <c r="C110" s="115">
        <v>2.6100000000000002E-2</v>
      </c>
      <c r="D110" s="107"/>
      <c r="E110" s="107" t="s">
        <v>288</v>
      </c>
      <c r="F110" s="108"/>
      <c r="G110" s="115">
        <v>2.0799999999999999E-2</v>
      </c>
      <c r="H110" s="107"/>
      <c r="I110" s="107" t="s">
        <v>288</v>
      </c>
      <c r="J110" s="108"/>
      <c r="K110" s="115">
        <v>2.24E-2</v>
      </c>
      <c r="L110" s="25"/>
    </row>
    <row r="111" spans="1:12" ht="13.2" x14ac:dyDescent="0.25">
      <c r="A111" s="107" t="s">
        <v>289</v>
      </c>
      <c r="B111" s="108"/>
      <c r="C111" s="115">
        <f>0.0022+0.0072+0.0131</f>
        <v>2.2499999999999999E-2</v>
      </c>
      <c r="D111" s="107"/>
      <c r="E111" s="107" t="s">
        <v>289</v>
      </c>
      <c r="F111" s="108"/>
      <c r="G111" s="115">
        <f>0.0022+0.0072+0.0131</f>
        <v>2.2499999999999999E-2</v>
      </c>
      <c r="H111" s="107"/>
      <c r="I111" s="107" t="s">
        <v>289</v>
      </c>
      <c r="J111" s="108"/>
      <c r="K111" s="115">
        <f>0.0022+0.0072+0.0131</f>
        <v>2.2499999999999999E-2</v>
      </c>
      <c r="L111" s="25"/>
    </row>
    <row r="112" spans="1:12" ht="13.2" x14ac:dyDescent="0.25">
      <c r="A112" s="107" t="s">
        <v>290</v>
      </c>
      <c r="B112" s="116"/>
      <c r="C112" s="117">
        <v>5.5599999999999997E-2</v>
      </c>
      <c r="D112" s="107"/>
      <c r="E112" s="107" t="s">
        <v>290</v>
      </c>
      <c r="F112" s="116"/>
      <c r="G112" s="117">
        <v>5.21E-2</v>
      </c>
      <c r="H112" s="107"/>
      <c r="I112" s="107" t="s">
        <v>290</v>
      </c>
      <c r="J112" s="116"/>
      <c r="K112" s="117">
        <v>4.7399999999999998E-2</v>
      </c>
      <c r="L112" s="25"/>
    </row>
    <row r="113" spans="1:14" ht="13.2" x14ac:dyDescent="0.25">
      <c r="A113" s="107" t="s">
        <v>291</v>
      </c>
      <c r="B113" s="107"/>
      <c r="C113" s="118">
        <f>ROUND((+C108+C109)/(1-C112)+(C110+C111),4)-C108-C109</f>
        <v>0.18450000000000019</v>
      </c>
      <c r="D113" s="107"/>
      <c r="E113" s="107" t="s">
        <v>291</v>
      </c>
      <c r="F113" s="107"/>
      <c r="G113" s="118">
        <f>ROUND((+G108+G109)/(1-G112)+(G110+G111),4)-G108-G109</f>
        <v>0.17189999999999997</v>
      </c>
      <c r="H113" s="107"/>
      <c r="I113" s="107" t="s">
        <v>291</v>
      </c>
      <c r="J113" s="107"/>
      <c r="K113" s="118">
        <f>ROUND((+K108+K109)/(1-K112)+(K110+K111),4)-K108-K109</f>
        <v>0.16280000000000006</v>
      </c>
      <c r="L113" s="25"/>
    </row>
    <row r="114" spans="1:14" ht="13.2" x14ac:dyDescent="0.25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25"/>
      <c r="M114" s="119"/>
      <c r="N114" s="120"/>
    </row>
    <row r="115" spans="1:14" ht="13.2" x14ac:dyDescent="0.25">
      <c r="A115" s="107"/>
      <c r="B115" s="108"/>
      <c r="C115" s="115"/>
      <c r="D115" s="107"/>
      <c r="E115" s="107"/>
      <c r="F115" s="107"/>
      <c r="G115" s="110"/>
      <c r="H115" s="121"/>
      <c r="I115" s="107"/>
      <c r="J115" s="107"/>
      <c r="K115" s="107"/>
    </row>
    <row r="116" spans="1:14" ht="13.2" x14ac:dyDescent="0.25">
      <c r="A116" s="107"/>
      <c r="B116" s="108"/>
      <c r="C116" s="107"/>
      <c r="D116" s="107"/>
      <c r="E116" s="107"/>
      <c r="F116" s="110"/>
      <c r="G116" s="107"/>
      <c r="H116" s="121"/>
      <c r="I116" s="109" t="s">
        <v>292</v>
      </c>
      <c r="J116" s="107"/>
      <c r="K116" s="107"/>
    </row>
    <row r="117" spans="1:14" ht="13.2" x14ac:dyDescent="0.25">
      <c r="A117" s="107"/>
      <c r="B117" s="108"/>
      <c r="C117" s="122" t="s">
        <v>293</v>
      </c>
      <c r="D117" s="107"/>
      <c r="E117" s="107"/>
      <c r="F117" s="110"/>
      <c r="G117" s="110" t="s">
        <v>294</v>
      </c>
      <c r="H117" s="121"/>
      <c r="I117" s="107" t="s">
        <v>295</v>
      </c>
      <c r="J117" s="107"/>
      <c r="K117" s="107" t="s">
        <v>294</v>
      </c>
      <c r="L117" s="25"/>
      <c r="M117" s="120"/>
    </row>
    <row r="118" spans="1:14" ht="13.2" x14ac:dyDescent="0.25">
      <c r="A118" s="107"/>
      <c r="B118" s="108"/>
      <c r="C118" s="115" t="s">
        <v>287</v>
      </c>
      <c r="D118" s="107" t="s">
        <v>296</v>
      </c>
      <c r="E118" s="107" t="s">
        <v>297</v>
      </c>
      <c r="F118" s="110" t="s">
        <v>298</v>
      </c>
      <c r="G118" s="110" t="s">
        <v>299</v>
      </c>
      <c r="H118" s="121"/>
      <c r="I118" s="107" t="s">
        <v>288</v>
      </c>
      <c r="J118" s="107" t="s">
        <v>298</v>
      </c>
      <c r="K118" s="107" t="s">
        <v>299</v>
      </c>
    </row>
    <row r="119" spans="1:14" ht="13.2" x14ac:dyDescent="0.25">
      <c r="A119" s="107"/>
      <c r="B119" s="108" t="s">
        <v>267</v>
      </c>
      <c r="C119" s="115">
        <v>2.2799999999999998</v>
      </c>
      <c r="D119" s="111">
        <v>2.75E-2</v>
      </c>
      <c r="E119" s="111">
        <f>+D119+C119</f>
        <v>2.3074999999999997</v>
      </c>
      <c r="F119" s="117">
        <v>0.17</v>
      </c>
      <c r="G119" s="111">
        <f>+F119*E119</f>
        <v>0.39227499999999998</v>
      </c>
      <c r="H119" s="121"/>
      <c r="I119" s="111">
        <f>+C$113</f>
        <v>0.18450000000000019</v>
      </c>
      <c r="J119" s="117">
        <v>0.17</v>
      </c>
      <c r="K119" s="111">
        <f>+J119*I119</f>
        <v>3.1365000000000032E-2</v>
      </c>
    </row>
    <row r="120" spans="1:14" ht="13.2" x14ac:dyDescent="0.25">
      <c r="A120" s="107"/>
      <c r="B120" s="108" t="s">
        <v>300</v>
      </c>
      <c r="C120" s="115">
        <v>2.3199999999999998</v>
      </c>
      <c r="D120" s="111">
        <v>0.02</v>
      </c>
      <c r="E120" s="111">
        <f>+D120+C120</f>
        <v>2.34</v>
      </c>
      <c r="F120" s="117">
        <v>0.25</v>
      </c>
      <c r="G120" s="111">
        <f>+F120*E120</f>
        <v>0.58499999999999996</v>
      </c>
      <c r="H120" s="121"/>
      <c r="I120" s="111">
        <f>+G$113</f>
        <v>0.17189999999999997</v>
      </c>
      <c r="J120" s="117">
        <v>0.25</v>
      </c>
      <c r="K120" s="111">
        <f>+J120*I120</f>
        <v>4.2974999999999992E-2</v>
      </c>
    </row>
    <row r="121" spans="1:14" ht="13.2" x14ac:dyDescent="0.25">
      <c r="A121" s="107"/>
      <c r="B121" s="108" t="s">
        <v>195</v>
      </c>
      <c r="C121" s="115">
        <v>2.36</v>
      </c>
      <c r="D121" s="111">
        <v>0.01</v>
      </c>
      <c r="E121" s="111">
        <f>+D121+C121</f>
        <v>2.3699999999999997</v>
      </c>
      <c r="F121" s="117">
        <v>0.57999999999999996</v>
      </c>
      <c r="G121" s="111">
        <f>+F121*E121</f>
        <v>1.3745999999999996</v>
      </c>
      <c r="H121" s="121"/>
      <c r="I121" s="111">
        <f>+K$113</f>
        <v>0.16280000000000006</v>
      </c>
      <c r="J121" s="117">
        <v>0.57999999999999996</v>
      </c>
      <c r="K121" s="111">
        <f>+J121*I121</f>
        <v>9.4424000000000022E-2</v>
      </c>
    </row>
    <row r="122" spans="1:14" ht="13.8" thickBot="1" x14ac:dyDescent="0.3">
      <c r="A122" s="107"/>
      <c r="B122" s="108"/>
      <c r="C122" s="115"/>
      <c r="D122" s="107"/>
      <c r="E122" s="107"/>
      <c r="F122" s="107"/>
      <c r="G122" s="123">
        <f>ROUND(SUM(G119:G121),4)</f>
        <v>2.3519000000000001</v>
      </c>
      <c r="H122" s="121"/>
      <c r="I122" s="107"/>
      <c r="J122" s="107"/>
      <c r="K122" s="123">
        <f>ROUND(SUM(K119:K121),4)</f>
        <v>0.16880000000000001</v>
      </c>
    </row>
    <row r="123" spans="1:14" ht="13.8" thickTop="1" x14ac:dyDescent="0.25">
      <c r="A123" s="107"/>
      <c r="B123" s="108"/>
      <c r="C123" s="115"/>
      <c r="D123" s="107"/>
      <c r="E123" s="107"/>
      <c r="F123" s="110"/>
      <c r="G123" s="110"/>
      <c r="H123" s="121"/>
      <c r="I123" s="107"/>
      <c r="J123" s="107"/>
      <c r="K123" s="107"/>
    </row>
    <row r="124" spans="1:14" ht="13.2" x14ac:dyDescent="0.25">
      <c r="A124" s="107"/>
      <c r="B124" s="108"/>
      <c r="C124" s="108" t="s">
        <v>301</v>
      </c>
      <c r="D124" s="115">
        <f>+G122</f>
        <v>2.3519000000000001</v>
      </c>
      <c r="E124" s="107"/>
      <c r="F124" s="110"/>
      <c r="G124" s="110"/>
      <c r="H124" s="121"/>
      <c r="I124" s="107"/>
      <c r="J124" s="107"/>
      <c r="K124" s="107"/>
    </row>
    <row r="125" spans="1:14" ht="13.2" x14ac:dyDescent="0.25">
      <c r="A125" s="107"/>
      <c r="B125" s="108"/>
      <c r="C125" s="108" t="s">
        <v>302</v>
      </c>
      <c r="D125" s="115">
        <f>+K122</f>
        <v>0.16880000000000001</v>
      </c>
      <c r="E125" s="107"/>
      <c r="F125" s="110"/>
      <c r="G125" s="110"/>
      <c r="H125" s="121"/>
      <c r="I125" s="107"/>
      <c r="J125" s="107"/>
      <c r="K125" s="107"/>
    </row>
    <row r="126" spans="1:14" ht="13.8" thickBot="1" x14ac:dyDescent="0.3">
      <c r="A126" s="107"/>
      <c r="B126" s="108"/>
      <c r="C126" s="108" t="s">
        <v>303</v>
      </c>
      <c r="D126" s="124">
        <f>SUM(D124:D125)</f>
        <v>2.5207000000000002</v>
      </c>
      <c r="E126" s="109" t="s">
        <v>346</v>
      </c>
      <c r="F126" s="110"/>
      <c r="G126" s="110"/>
      <c r="H126" s="121"/>
      <c r="I126" s="107"/>
      <c r="J126" s="107"/>
      <c r="K126" s="107"/>
    </row>
    <row r="127" spans="1:14" ht="13.8" thickTop="1" x14ac:dyDescent="0.25">
      <c r="K127" s="25"/>
      <c r="L127" s="120"/>
    </row>
    <row r="129" spans="1:14" x14ac:dyDescent="0.2">
      <c r="A129" s="107" t="s">
        <v>329</v>
      </c>
      <c r="B129" s="107"/>
      <c r="C129" s="107"/>
      <c r="D129" s="107"/>
      <c r="E129" s="107" t="s">
        <v>330</v>
      </c>
      <c r="F129" s="107"/>
      <c r="G129" s="107"/>
      <c r="H129" s="107"/>
      <c r="I129" s="107" t="s">
        <v>331</v>
      </c>
      <c r="J129" s="107"/>
      <c r="K129" s="107"/>
    </row>
    <row r="130" spans="1:14" ht="13.2" x14ac:dyDescent="0.25">
      <c r="A130" s="107" t="s">
        <v>287</v>
      </c>
      <c r="B130" s="107" t="s">
        <v>35</v>
      </c>
      <c r="C130" s="115">
        <v>2.2799999999999998</v>
      </c>
      <c r="D130" s="107"/>
      <c r="E130" s="107" t="s">
        <v>287</v>
      </c>
      <c r="F130" s="107" t="s">
        <v>194</v>
      </c>
      <c r="G130" s="115">
        <v>2.3199999999999998</v>
      </c>
      <c r="H130" s="107"/>
      <c r="I130" s="107" t="s">
        <v>287</v>
      </c>
      <c r="J130" s="107" t="s">
        <v>207</v>
      </c>
      <c r="K130" s="191">
        <v>2.36</v>
      </c>
      <c r="L130" s="25"/>
    </row>
    <row r="131" spans="1:14" ht="13.2" x14ac:dyDescent="0.25">
      <c r="A131" s="107" t="s">
        <v>311</v>
      </c>
      <c r="B131" s="107"/>
      <c r="C131" s="115">
        <v>2.75E-2</v>
      </c>
      <c r="D131" s="107"/>
      <c r="E131" s="107"/>
      <c r="F131" s="107"/>
      <c r="G131" s="115">
        <v>0.02</v>
      </c>
      <c r="H131" s="107"/>
      <c r="I131" s="107"/>
      <c r="J131" s="107"/>
      <c r="K131" s="191">
        <v>0.04</v>
      </c>
      <c r="L131" s="25"/>
    </row>
    <row r="132" spans="1:14" ht="13.2" x14ac:dyDescent="0.25">
      <c r="A132" s="107" t="s">
        <v>288</v>
      </c>
      <c r="B132" s="108"/>
      <c r="C132" s="115">
        <v>1.52E-2</v>
      </c>
      <c r="D132" s="107"/>
      <c r="E132" s="107" t="s">
        <v>288</v>
      </c>
      <c r="F132" s="108"/>
      <c r="G132" s="115">
        <v>1.3599999999999999E-2</v>
      </c>
      <c r="H132" s="107"/>
      <c r="I132" s="107" t="s">
        <v>288</v>
      </c>
      <c r="J132" s="108"/>
      <c r="K132" s="115">
        <v>1.15E-2</v>
      </c>
      <c r="L132" s="25"/>
    </row>
    <row r="133" spans="1:14" ht="13.2" x14ac:dyDescent="0.25">
      <c r="A133" s="107" t="s">
        <v>289</v>
      </c>
      <c r="B133" s="108"/>
      <c r="C133" s="115">
        <f>0.0022+0.0072+0.0131</f>
        <v>2.2499999999999999E-2</v>
      </c>
      <c r="D133" s="107"/>
      <c r="E133" s="107" t="s">
        <v>289</v>
      </c>
      <c r="F133" s="108"/>
      <c r="G133" s="115">
        <f>0.0022+0.0072+0.0131</f>
        <v>2.2499999999999999E-2</v>
      </c>
      <c r="H133" s="107"/>
      <c r="I133" s="107" t="s">
        <v>289</v>
      </c>
      <c r="J133" s="108"/>
      <c r="K133" s="115">
        <f>0.0022+0.0072+0.0131</f>
        <v>2.2499999999999999E-2</v>
      </c>
      <c r="L133" s="25"/>
    </row>
    <row r="134" spans="1:14" ht="13.2" x14ac:dyDescent="0.25">
      <c r="A134" s="107" t="s">
        <v>290</v>
      </c>
      <c r="B134" s="116"/>
      <c r="C134" s="117">
        <v>3.2000000000000001E-2</v>
      </c>
      <c r="D134" s="107"/>
      <c r="E134" s="107" t="s">
        <v>290</v>
      </c>
      <c r="F134" s="116"/>
      <c r="G134" s="117">
        <v>2.8500000000000001E-2</v>
      </c>
      <c r="H134" s="107"/>
      <c r="I134" s="107" t="s">
        <v>290</v>
      </c>
      <c r="J134" s="116"/>
      <c r="K134" s="117">
        <v>2.3800000000000002E-2</v>
      </c>
      <c r="L134" s="25"/>
    </row>
    <row r="135" spans="1:14" ht="13.2" x14ac:dyDescent="0.25">
      <c r="A135" s="107" t="s">
        <v>291</v>
      </c>
      <c r="B135" s="107"/>
      <c r="C135" s="118">
        <f>ROUND((+C130+C131)/(1-C134)+(C132+C133),4)-C130-C131</f>
        <v>0.11400000000000018</v>
      </c>
      <c r="D135" s="107"/>
      <c r="E135" s="107" t="s">
        <v>291</v>
      </c>
      <c r="F135" s="107"/>
      <c r="G135" s="118">
        <f>ROUND((+G130+G131)/(1-G134)+(G132+G133),4)-G130-G131</f>
        <v>0.10470000000000025</v>
      </c>
      <c r="H135" s="107"/>
      <c r="I135" s="107" t="s">
        <v>291</v>
      </c>
      <c r="J135" s="107"/>
      <c r="K135" s="118">
        <f>ROUND((+K130+K131)/(1-K134)+(K132+K133),4)-K130-K131</f>
        <v>9.2500000000000276E-2</v>
      </c>
      <c r="L135" s="25"/>
    </row>
    <row r="136" spans="1:14" ht="13.2" x14ac:dyDescent="0.25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25"/>
      <c r="M136" s="119"/>
      <c r="N136" s="120"/>
    </row>
    <row r="137" spans="1:14" ht="13.2" x14ac:dyDescent="0.25">
      <c r="A137" s="107"/>
      <c r="B137" s="108"/>
      <c r="C137" s="115">
        <f>+C135+C131+C130</f>
        <v>2.4215</v>
      </c>
      <c r="D137" s="107"/>
      <c r="E137" s="107"/>
      <c r="F137" s="107"/>
      <c r="G137" s="110"/>
      <c r="H137" s="121"/>
      <c r="I137" s="107"/>
      <c r="J137" s="107"/>
      <c r="K137" s="115">
        <f>+K130+K135+K131</f>
        <v>2.4925000000000002</v>
      </c>
    </row>
    <row r="138" spans="1:14" ht="13.2" x14ac:dyDescent="0.25">
      <c r="A138" s="107"/>
      <c r="B138" s="108"/>
      <c r="C138" s="107"/>
      <c r="D138" s="107"/>
      <c r="E138" s="107"/>
      <c r="F138" s="110"/>
      <c r="G138" s="107"/>
      <c r="H138" s="121"/>
      <c r="I138" s="109" t="s">
        <v>292</v>
      </c>
      <c r="J138" s="107"/>
      <c r="K138" s="107"/>
    </row>
    <row r="139" spans="1:14" ht="13.2" x14ac:dyDescent="0.25">
      <c r="A139" s="107"/>
      <c r="B139" s="108"/>
      <c r="C139" s="122" t="s">
        <v>293</v>
      </c>
      <c r="D139" s="107"/>
      <c r="E139" s="107"/>
      <c r="F139" s="110"/>
      <c r="G139" s="110" t="s">
        <v>294</v>
      </c>
      <c r="H139" s="121"/>
      <c r="I139" s="107" t="s">
        <v>333</v>
      </c>
      <c r="J139" s="107"/>
      <c r="K139" s="107" t="s">
        <v>294</v>
      </c>
      <c r="L139" s="25"/>
      <c r="M139" s="120"/>
    </row>
    <row r="140" spans="1:14" ht="13.2" x14ac:dyDescent="0.25">
      <c r="A140" s="107"/>
      <c r="B140" s="108"/>
      <c r="C140" s="115" t="s">
        <v>287</v>
      </c>
      <c r="D140" s="107" t="s">
        <v>296</v>
      </c>
      <c r="E140" s="107" t="s">
        <v>297</v>
      </c>
      <c r="F140" s="110" t="s">
        <v>298</v>
      </c>
      <c r="G140" s="110" t="s">
        <v>299</v>
      </c>
      <c r="H140" s="121"/>
      <c r="I140" s="107" t="s">
        <v>288</v>
      </c>
      <c r="J140" s="107" t="s">
        <v>298</v>
      </c>
      <c r="K140" s="107" t="s">
        <v>299</v>
      </c>
    </row>
    <row r="141" spans="1:14" ht="13.2" x14ac:dyDescent="0.25">
      <c r="A141" s="107"/>
      <c r="B141" s="108" t="s">
        <v>267</v>
      </c>
      <c r="C141" s="115">
        <v>2.2799999999999998</v>
      </c>
      <c r="D141" s="111">
        <v>2.75E-2</v>
      </c>
      <c r="E141" s="111">
        <f>+D141+C141</f>
        <v>2.3074999999999997</v>
      </c>
      <c r="F141" s="117">
        <v>0.17</v>
      </c>
      <c r="G141" s="111">
        <f>+F141*E141</f>
        <v>0.39227499999999998</v>
      </c>
      <c r="H141" s="121"/>
      <c r="I141" s="111">
        <f>+C$135</f>
        <v>0.11400000000000018</v>
      </c>
      <c r="J141" s="117">
        <v>0.17</v>
      </c>
      <c r="K141" s="111">
        <f>+J141*I141</f>
        <v>1.9380000000000033E-2</v>
      </c>
    </row>
    <row r="142" spans="1:14" ht="13.2" x14ac:dyDescent="0.25">
      <c r="A142" s="107"/>
      <c r="B142" s="108" t="s">
        <v>300</v>
      </c>
      <c r="C142" s="115">
        <v>2.3199999999999998</v>
      </c>
      <c r="D142" s="111">
        <v>0.02</v>
      </c>
      <c r="E142" s="111">
        <f>+D142+C142</f>
        <v>2.34</v>
      </c>
      <c r="F142" s="117">
        <v>0.25</v>
      </c>
      <c r="G142" s="111">
        <f>+F142*E142</f>
        <v>0.58499999999999996</v>
      </c>
      <c r="H142" s="121"/>
      <c r="I142" s="111">
        <f>+G$135</f>
        <v>0.10470000000000025</v>
      </c>
      <c r="J142" s="117">
        <v>0.25</v>
      </c>
      <c r="K142" s="111">
        <f>+J142*I142</f>
        <v>2.6175000000000063E-2</v>
      </c>
    </row>
    <row r="143" spans="1:14" ht="13.2" x14ac:dyDescent="0.25">
      <c r="A143" s="107"/>
      <c r="B143" s="108" t="s">
        <v>195</v>
      </c>
      <c r="C143" s="115">
        <v>2.36</v>
      </c>
      <c r="D143" s="111">
        <v>0.01</v>
      </c>
      <c r="E143" s="111">
        <f>+D143+C143</f>
        <v>2.3699999999999997</v>
      </c>
      <c r="F143" s="117">
        <v>0.57999999999999996</v>
      </c>
      <c r="G143" s="111">
        <f>+F143*E143</f>
        <v>1.3745999999999996</v>
      </c>
      <c r="H143" s="121"/>
      <c r="I143" s="111">
        <f>+K$135</f>
        <v>9.2500000000000276E-2</v>
      </c>
      <c r="J143" s="117">
        <v>0.57999999999999996</v>
      </c>
      <c r="K143" s="111">
        <f>+J143*I143</f>
        <v>5.3650000000000156E-2</v>
      </c>
    </row>
    <row r="144" spans="1:14" ht="13.8" thickBot="1" x14ac:dyDescent="0.3">
      <c r="A144" s="107"/>
      <c r="B144" s="108"/>
      <c r="C144" s="115"/>
      <c r="D144" s="107"/>
      <c r="E144" s="107"/>
      <c r="F144" s="107"/>
      <c r="G144" s="123">
        <f>ROUND(SUM(G141:G143),4)</f>
        <v>2.3519000000000001</v>
      </c>
      <c r="H144" s="121"/>
      <c r="I144" s="107"/>
      <c r="J144" s="107"/>
      <c r="K144" s="123">
        <f>ROUND(SUM(K141:K143),4)</f>
        <v>9.9199999999999997E-2</v>
      </c>
    </row>
    <row r="145" spans="1:14" ht="13.8" thickTop="1" x14ac:dyDescent="0.25">
      <c r="A145" s="107"/>
      <c r="B145" s="108"/>
      <c r="C145" s="115"/>
      <c r="D145" s="107"/>
      <c r="E145" s="107"/>
      <c r="F145" s="110"/>
      <c r="G145" s="110"/>
      <c r="H145" s="121"/>
      <c r="I145" s="107"/>
      <c r="J145" s="107"/>
      <c r="K145" s="107"/>
    </row>
    <row r="146" spans="1:14" ht="13.2" x14ac:dyDescent="0.25">
      <c r="A146" s="107"/>
      <c r="B146" s="108"/>
      <c r="C146" s="108" t="s">
        <v>301</v>
      </c>
      <c r="D146" s="115">
        <f>+G144</f>
        <v>2.3519000000000001</v>
      </c>
      <c r="E146" s="107"/>
      <c r="F146" s="110"/>
      <c r="G146" s="110"/>
      <c r="H146" s="121"/>
      <c r="I146" s="107"/>
      <c r="J146" s="107"/>
      <c r="K146" s="107"/>
    </row>
    <row r="147" spans="1:14" ht="13.2" x14ac:dyDescent="0.25">
      <c r="A147" s="107"/>
      <c r="B147" s="108"/>
      <c r="C147" s="108" t="s">
        <v>302</v>
      </c>
      <c r="D147" s="115">
        <f>+K144</f>
        <v>9.9199999999999997E-2</v>
      </c>
      <c r="E147" s="107"/>
      <c r="F147" s="110"/>
      <c r="G147" s="110"/>
      <c r="H147" s="121"/>
      <c r="I147" s="107"/>
      <c r="J147" s="107"/>
      <c r="K147" s="107"/>
    </row>
    <row r="148" spans="1:14" ht="13.8" thickBot="1" x14ac:dyDescent="0.3">
      <c r="A148" s="107"/>
      <c r="B148" s="108"/>
      <c r="C148" s="108" t="s">
        <v>303</v>
      </c>
      <c r="D148" s="124">
        <f>SUM(D146:D147)</f>
        <v>2.4511000000000003</v>
      </c>
      <c r="E148" s="109" t="s">
        <v>332</v>
      </c>
      <c r="F148" s="110"/>
      <c r="G148" s="110"/>
      <c r="H148" s="121"/>
      <c r="I148" s="107"/>
      <c r="J148" s="107"/>
      <c r="K148" s="107"/>
    </row>
    <row r="149" spans="1:14" ht="12" thickTop="1" x14ac:dyDescent="0.2"/>
    <row r="151" spans="1:14" x14ac:dyDescent="0.2">
      <c r="A151" s="107" t="s">
        <v>335</v>
      </c>
      <c r="B151" s="107"/>
      <c r="C151" s="107"/>
      <c r="D151" s="107"/>
      <c r="E151" s="107"/>
      <c r="I151" s="107" t="s">
        <v>336</v>
      </c>
      <c r="J151" s="107"/>
      <c r="K151" s="107"/>
      <c r="L151" s="107"/>
      <c r="M151" s="107"/>
      <c r="N151" s="107"/>
    </row>
    <row r="152" spans="1:14" ht="13.2" x14ac:dyDescent="0.25">
      <c r="A152" s="107" t="s">
        <v>287</v>
      </c>
      <c r="B152" s="107" t="s">
        <v>334</v>
      </c>
      <c r="C152" s="115">
        <v>2.36</v>
      </c>
      <c r="D152" s="107"/>
      <c r="E152" s="107"/>
      <c r="I152" s="107" t="s">
        <v>287</v>
      </c>
      <c r="J152" s="107" t="s">
        <v>334</v>
      </c>
      <c r="K152" s="191">
        <v>2.36</v>
      </c>
      <c r="L152" s="108"/>
      <c r="M152" s="107"/>
      <c r="N152" s="107"/>
    </row>
    <row r="153" spans="1:14" ht="13.2" x14ac:dyDescent="0.25">
      <c r="A153" s="107" t="s">
        <v>311</v>
      </c>
      <c r="B153" s="107"/>
      <c r="C153" s="191">
        <v>0.04</v>
      </c>
      <c r="D153" s="107"/>
      <c r="E153" s="107"/>
      <c r="I153" s="107"/>
      <c r="J153" s="107"/>
      <c r="K153" s="191">
        <v>0.04</v>
      </c>
      <c r="L153" s="108"/>
      <c r="M153" s="107"/>
      <c r="N153" s="107"/>
    </row>
    <row r="154" spans="1:14" ht="13.2" x14ac:dyDescent="0.25">
      <c r="A154" s="107" t="s">
        <v>288</v>
      </c>
      <c r="B154" s="108"/>
      <c r="C154" s="115">
        <v>1.18E-2</v>
      </c>
      <c r="D154" s="107"/>
      <c r="E154" s="107"/>
      <c r="I154" s="107" t="s">
        <v>288</v>
      </c>
      <c r="J154" s="108"/>
      <c r="K154" s="115">
        <v>2.3E-3</v>
      </c>
      <c r="L154" s="108"/>
      <c r="M154" s="107"/>
      <c r="N154" s="107"/>
    </row>
    <row r="155" spans="1:14" ht="13.2" x14ac:dyDescent="0.25">
      <c r="A155" s="107" t="s">
        <v>289</v>
      </c>
      <c r="B155" s="108"/>
      <c r="C155" s="115">
        <f>0.0022+0.0072</f>
        <v>9.4000000000000004E-3</v>
      </c>
      <c r="D155" s="107" t="s">
        <v>337</v>
      </c>
      <c r="E155" s="107"/>
      <c r="I155" s="107" t="s">
        <v>289</v>
      </c>
      <c r="J155" s="108"/>
      <c r="K155" s="115">
        <f>0.0022+0.0072</f>
        <v>9.4000000000000004E-3</v>
      </c>
      <c r="L155" s="107" t="s">
        <v>337</v>
      </c>
      <c r="M155" s="107"/>
      <c r="N155" s="107"/>
    </row>
    <row r="156" spans="1:14" ht="13.2" x14ac:dyDescent="0.25">
      <c r="A156" s="107" t="s">
        <v>290</v>
      </c>
      <c r="B156" s="116"/>
      <c r="C156" s="117">
        <v>1.9300000000000001E-2</v>
      </c>
      <c r="D156" s="107"/>
      <c r="E156" s="107"/>
      <c r="I156" s="107" t="s">
        <v>290</v>
      </c>
      <c r="J156" s="116"/>
      <c r="K156" s="117">
        <v>1.9300000000000001E-2</v>
      </c>
      <c r="L156" s="108"/>
      <c r="M156" s="107"/>
      <c r="N156" s="107"/>
    </row>
    <row r="157" spans="1:14" ht="13.2" x14ac:dyDescent="0.25">
      <c r="A157" s="107" t="s">
        <v>291</v>
      </c>
      <c r="B157" s="107"/>
      <c r="C157" s="118">
        <f>ROUND((+C152+C153)/(1-C156)+(C154+C155),4)-C152-C153</f>
        <v>6.8400000000000044E-2</v>
      </c>
      <c r="D157" s="107"/>
      <c r="E157" s="107"/>
      <c r="I157" s="107" t="s">
        <v>291</v>
      </c>
      <c r="J157" s="107"/>
      <c r="K157" s="118">
        <f>ROUND((+K152+K153)/(1-K156)+(K154+K155),4)-K152-K153</f>
        <v>5.8899999999999987E-2</v>
      </c>
      <c r="L157" s="108"/>
      <c r="M157" s="107"/>
      <c r="N157" s="107"/>
    </row>
    <row r="158" spans="1:14" ht="13.8" thickBot="1" x14ac:dyDescent="0.3">
      <c r="A158" s="107" t="s">
        <v>306</v>
      </c>
      <c r="B158" s="107"/>
      <c r="C158" s="124">
        <f>SUM(C152:C153,C157)</f>
        <v>2.4683999999999999</v>
      </c>
      <c r="D158" s="107" t="s">
        <v>338</v>
      </c>
      <c r="E158" s="107"/>
      <c r="I158" s="162" t="s">
        <v>306</v>
      </c>
      <c r="J158" s="162"/>
      <c r="K158" s="124">
        <f>SUM(K152:K153,K157)</f>
        <v>2.4588999999999999</v>
      </c>
      <c r="L158" s="108" t="s">
        <v>339</v>
      </c>
      <c r="M158" s="110"/>
      <c r="N158" s="115"/>
    </row>
    <row r="159" spans="1:14" ht="13.8" thickTop="1" x14ac:dyDescent="0.25">
      <c r="B159" s="25"/>
      <c r="C159" s="120"/>
      <c r="G159" s="119"/>
      <c r="H159" s="161"/>
    </row>
    <row r="161" spans="1:5" x14ac:dyDescent="0.2">
      <c r="A161" s="107" t="s">
        <v>342</v>
      </c>
      <c r="B161" s="107"/>
      <c r="C161" s="107"/>
      <c r="D161" s="107"/>
      <c r="E161" s="107"/>
    </row>
    <row r="162" spans="1:5" x14ac:dyDescent="0.2">
      <c r="A162" s="107" t="s">
        <v>287</v>
      </c>
      <c r="B162" s="107" t="s">
        <v>334</v>
      </c>
      <c r="C162" s="115">
        <v>2.36</v>
      </c>
      <c r="D162" s="107" t="s">
        <v>345</v>
      </c>
      <c r="E162" s="107"/>
    </row>
    <row r="163" spans="1:5" ht="13.2" x14ac:dyDescent="0.25">
      <c r="A163" s="107" t="s">
        <v>288</v>
      </c>
      <c r="B163" s="108"/>
      <c r="C163" s="115">
        <v>1.67E-2</v>
      </c>
      <c r="D163" s="107"/>
      <c r="E163" s="107"/>
    </row>
    <row r="164" spans="1:5" ht="13.2" x14ac:dyDescent="0.25">
      <c r="A164" s="107" t="s">
        <v>289</v>
      </c>
      <c r="B164" s="108"/>
      <c r="C164" s="115">
        <f>0.0022+0.0072+0.0131</f>
        <v>2.2499999999999999E-2</v>
      </c>
      <c r="D164" s="107"/>
      <c r="E164" s="107"/>
    </row>
    <row r="165" spans="1:5" x14ac:dyDescent="0.2">
      <c r="A165" s="107" t="s">
        <v>290</v>
      </c>
      <c r="B165" s="116"/>
      <c r="C165" s="117">
        <v>3.4500000000000003E-2</v>
      </c>
      <c r="D165" s="107"/>
      <c r="E165" s="107"/>
    </row>
    <row r="166" spans="1:5" x14ac:dyDescent="0.2">
      <c r="A166" s="107" t="s">
        <v>291</v>
      </c>
      <c r="B166" s="107"/>
      <c r="C166" s="118">
        <f>ROUND((+C162)/(1-C165)+(C163+C164),4)-C162</f>
        <v>0.12349999999999994</v>
      </c>
      <c r="D166" s="107"/>
      <c r="E166" s="107"/>
    </row>
    <row r="167" spans="1:5" x14ac:dyDescent="0.2">
      <c r="A167" s="107" t="s">
        <v>343</v>
      </c>
      <c r="B167" s="107"/>
      <c r="C167" s="163"/>
      <c r="D167" s="107"/>
      <c r="E167" s="107"/>
    </row>
    <row r="168" spans="1:5" ht="12" thickBot="1" x14ac:dyDescent="0.25">
      <c r="A168" s="107" t="s">
        <v>306</v>
      </c>
      <c r="B168" s="107"/>
      <c r="C168" s="124">
        <f>SUM(C162:C162,C166)</f>
        <v>2.4834999999999998</v>
      </c>
      <c r="D168" s="107" t="s">
        <v>344</v>
      </c>
      <c r="E168" s="107"/>
    </row>
    <row r="169" spans="1:5" ht="12" thickTop="1" x14ac:dyDescent="0.2"/>
  </sheetData>
  <pageMargins left="0.75" right="0.75" top="1" bottom="1" header="0.5" footer="0.5"/>
  <pageSetup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J54"/>
  <sheetViews>
    <sheetView topLeftCell="A4" workbookViewId="0">
      <pane xSplit="1" ySplit="4" topLeftCell="B8" activePane="bottomRight" state="frozen"/>
      <selection activeCell="A4" sqref="A4"/>
      <selection pane="topRight" activeCell="B4" sqref="B4"/>
      <selection pane="bottomLeft" activeCell="A8" sqref="A8"/>
      <selection pane="bottomRight" activeCell="X43" sqref="X43:X53"/>
    </sheetView>
  </sheetViews>
  <sheetFormatPr defaultRowHeight="13.2" x14ac:dyDescent="0.25"/>
  <cols>
    <col min="8" max="21" width="0" hidden="1" customWidth="1"/>
    <col min="22" max="22" width="9.88671875" customWidth="1"/>
    <col min="23" max="23" width="15.44140625" customWidth="1"/>
    <col min="24" max="25" width="10.44140625" customWidth="1"/>
    <col min="33" max="33" width="10.6640625" customWidth="1"/>
    <col min="35" max="35" width="11" customWidth="1"/>
    <col min="36" max="36" width="14.5546875" customWidth="1"/>
  </cols>
  <sheetData>
    <row r="6" spans="1:36" x14ac:dyDescent="0.25">
      <c r="H6" s="182" t="s">
        <v>383</v>
      </c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4"/>
      <c r="V6" t="s">
        <v>384</v>
      </c>
      <c r="W6" t="s">
        <v>385</v>
      </c>
    </row>
    <row r="7" spans="1:36" x14ac:dyDescent="0.25">
      <c r="A7" t="s">
        <v>371</v>
      </c>
      <c r="B7" t="s">
        <v>377</v>
      </c>
      <c r="C7" t="s">
        <v>378</v>
      </c>
      <c r="D7" t="s">
        <v>379</v>
      </c>
      <c r="F7" t="s">
        <v>380</v>
      </c>
      <c r="H7" s="185">
        <v>143768</v>
      </c>
      <c r="I7" s="186">
        <v>143769</v>
      </c>
      <c r="J7" s="186">
        <v>145482</v>
      </c>
      <c r="K7" s="186">
        <v>149708</v>
      </c>
      <c r="L7" s="186">
        <v>149725</v>
      </c>
      <c r="M7" s="186">
        <v>149770</v>
      </c>
      <c r="N7" s="186">
        <v>150348</v>
      </c>
      <c r="O7" s="186">
        <v>148278</v>
      </c>
      <c r="P7" s="186">
        <v>149209</v>
      </c>
      <c r="Q7" s="186">
        <v>149499</v>
      </c>
      <c r="R7" s="186">
        <v>151821</v>
      </c>
      <c r="S7" s="186">
        <v>153799</v>
      </c>
      <c r="T7" s="186">
        <v>154200</v>
      </c>
      <c r="U7" s="187">
        <v>157042</v>
      </c>
      <c r="V7" t="s">
        <v>380</v>
      </c>
      <c r="W7" t="s">
        <v>386</v>
      </c>
      <c r="X7" t="s">
        <v>368</v>
      </c>
      <c r="Y7" t="s">
        <v>381</v>
      </c>
      <c r="Z7" t="s">
        <v>382</v>
      </c>
      <c r="AE7" t="s">
        <v>370</v>
      </c>
      <c r="AH7" s="169"/>
      <c r="AI7" s="177"/>
    </row>
    <row r="8" spans="1:36" x14ac:dyDescent="0.25">
      <c r="A8">
        <v>1</v>
      </c>
      <c r="B8">
        <v>154190</v>
      </c>
      <c r="C8">
        <v>9328</v>
      </c>
      <c r="D8">
        <v>0</v>
      </c>
      <c r="F8">
        <f>SUM(B8:D8)</f>
        <v>163518</v>
      </c>
      <c r="H8">
        <v>125</v>
      </c>
      <c r="I8">
        <v>26</v>
      </c>
      <c r="V8">
        <f>SUM(H8:U8)</f>
        <v>151</v>
      </c>
      <c r="W8">
        <f t="shared" ref="W8:W38" si="0">+F8-V8</f>
        <v>163367</v>
      </c>
      <c r="X8">
        <v>232087</v>
      </c>
      <c r="Y8">
        <f>IF(W8&gt;X8,+W8-X8,0)</f>
        <v>0</v>
      </c>
      <c r="Z8">
        <f>+W8-Y8</f>
        <v>163367</v>
      </c>
      <c r="AE8" t="s">
        <v>371</v>
      </c>
      <c r="AF8" t="s">
        <v>357</v>
      </c>
      <c r="AG8" t="s">
        <v>372</v>
      </c>
      <c r="AH8" s="169" t="s">
        <v>373</v>
      </c>
      <c r="AI8" s="177" t="s">
        <v>374</v>
      </c>
      <c r="AJ8" t="s">
        <v>375</v>
      </c>
    </row>
    <row r="9" spans="1:36" x14ac:dyDescent="0.25">
      <c r="A9">
        <f>+A8+1</f>
        <v>2</v>
      </c>
      <c r="B9">
        <v>133680</v>
      </c>
      <c r="C9">
        <v>9351</v>
      </c>
      <c r="D9">
        <v>0</v>
      </c>
      <c r="F9">
        <f t="shared" ref="F9:F38" si="1">SUM(B9:D9)</f>
        <v>143031</v>
      </c>
      <c r="H9">
        <f>+H8</f>
        <v>125</v>
      </c>
      <c r="I9">
        <v>26</v>
      </c>
      <c r="V9">
        <f t="shared" ref="V9:V38" si="2">SUM(H9:U9)</f>
        <v>151</v>
      </c>
      <c r="W9">
        <f t="shared" si="0"/>
        <v>142880</v>
      </c>
      <c r="X9">
        <v>232087</v>
      </c>
      <c r="Y9">
        <f t="shared" ref="Y9:Y38" si="3">IF(W9&gt;X9,+W9-X9,0)</f>
        <v>0</v>
      </c>
      <c r="Z9">
        <f t="shared" ref="Z9:Z38" si="4">+W9-Y9</f>
        <v>142880</v>
      </c>
      <c r="AE9">
        <v>17</v>
      </c>
      <c r="AF9">
        <v>7401</v>
      </c>
      <c r="AG9" s="179">
        <v>3.1</v>
      </c>
      <c r="AH9" s="179">
        <v>-0.05</v>
      </c>
      <c r="AI9" s="179">
        <f>+AG9+AH9</f>
        <v>3.0500000000000003</v>
      </c>
      <c r="AJ9" s="178">
        <f>+AI9*AF9</f>
        <v>22573.050000000003</v>
      </c>
    </row>
    <row r="10" spans="1:36" x14ac:dyDescent="0.25">
      <c r="A10">
        <f t="shared" ref="A10:A38" si="5">+A9+1</f>
        <v>3</v>
      </c>
      <c r="B10">
        <v>147378</v>
      </c>
      <c r="C10">
        <v>9504</v>
      </c>
      <c r="D10">
        <v>0</v>
      </c>
      <c r="F10">
        <f t="shared" si="1"/>
        <v>156882</v>
      </c>
      <c r="H10">
        <f t="shared" ref="H10:H38" si="6">+H9</f>
        <v>125</v>
      </c>
      <c r="I10">
        <v>26</v>
      </c>
      <c r="V10">
        <f t="shared" si="2"/>
        <v>151</v>
      </c>
      <c r="W10">
        <f t="shared" si="0"/>
        <v>156731</v>
      </c>
      <c r="X10">
        <v>232087</v>
      </c>
      <c r="Y10">
        <f t="shared" si="3"/>
        <v>0</v>
      </c>
      <c r="Z10">
        <f t="shared" si="4"/>
        <v>156731</v>
      </c>
      <c r="AE10">
        <f>+AE9+1</f>
        <v>18</v>
      </c>
      <c r="AF10">
        <v>13401</v>
      </c>
      <c r="AG10" s="179">
        <v>3.1</v>
      </c>
      <c r="AH10" s="179">
        <v>-0.05</v>
      </c>
      <c r="AI10" s="179">
        <f t="shared" ref="AI10:AI23" si="7">+AG10+AH10</f>
        <v>3.0500000000000003</v>
      </c>
      <c r="AJ10" s="178">
        <f t="shared" ref="AJ10:AJ23" si="8">+AI10*AF10</f>
        <v>40873.050000000003</v>
      </c>
    </row>
    <row r="11" spans="1:36" x14ac:dyDescent="0.25">
      <c r="A11">
        <f t="shared" si="5"/>
        <v>4</v>
      </c>
      <c r="B11">
        <v>197327</v>
      </c>
      <c r="C11">
        <v>9504</v>
      </c>
      <c r="D11">
        <v>11763</v>
      </c>
      <c r="F11">
        <f t="shared" si="1"/>
        <v>218594</v>
      </c>
      <c r="H11">
        <f t="shared" si="6"/>
        <v>125</v>
      </c>
      <c r="I11">
        <v>26</v>
      </c>
      <c r="V11">
        <f t="shared" si="2"/>
        <v>151</v>
      </c>
      <c r="W11">
        <f t="shared" si="0"/>
        <v>218443</v>
      </c>
      <c r="X11">
        <v>232087</v>
      </c>
      <c r="Y11">
        <f t="shared" si="3"/>
        <v>0</v>
      </c>
      <c r="Z11">
        <f t="shared" si="4"/>
        <v>218443</v>
      </c>
      <c r="AE11">
        <f t="shared" ref="AE11:AE23" si="9">+AE10+1</f>
        <v>19</v>
      </c>
      <c r="AF11">
        <f>19590-6812</f>
        <v>12778</v>
      </c>
      <c r="AG11" s="179">
        <v>5</v>
      </c>
      <c r="AH11" s="179">
        <v>-0.05</v>
      </c>
      <c r="AI11" s="179">
        <f t="shared" si="7"/>
        <v>4.95</v>
      </c>
      <c r="AJ11" s="178">
        <f t="shared" si="8"/>
        <v>63251.100000000006</v>
      </c>
    </row>
    <row r="12" spans="1:36" x14ac:dyDescent="0.25">
      <c r="A12">
        <f t="shared" si="5"/>
        <v>5</v>
      </c>
      <c r="B12">
        <v>207615</v>
      </c>
      <c r="C12">
        <v>10142</v>
      </c>
      <c r="D12">
        <v>11756</v>
      </c>
      <c r="F12">
        <f t="shared" si="1"/>
        <v>229513</v>
      </c>
      <c r="H12">
        <f t="shared" si="6"/>
        <v>125</v>
      </c>
      <c r="I12">
        <v>26</v>
      </c>
      <c r="V12">
        <f t="shared" si="2"/>
        <v>151</v>
      </c>
      <c r="W12">
        <f t="shared" si="0"/>
        <v>229362</v>
      </c>
      <c r="X12">
        <v>232087</v>
      </c>
      <c r="Y12">
        <f t="shared" si="3"/>
        <v>0</v>
      </c>
      <c r="Z12">
        <f t="shared" si="4"/>
        <v>229362</v>
      </c>
      <c r="AE12">
        <f t="shared" si="9"/>
        <v>20</v>
      </c>
      <c r="AF12">
        <v>14920</v>
      </c>
      <c r="AG12" s="179">
        <v>6.8949999999999996</v>
      </c>
      <c r="AH12" s="179">
        <v>-0.05</v>
      </c>
      <c r="AI12" s="179">
        <f t="shared" si="7"/>
        <v>6.8449999999999998</v>
      </c>
      <c r="AJ12" s="178">
        <f t="shared" si="8"/>
        <v>102127.4</v>
      </c>
    </row>
    <row r="13" spans="1:36" x14ac:dyDescent="0.25">
      <c r="A13">
        <f t="shared" si="5"/>
        <v>6</v>
      </c>
      <c r="B13">
        <v>186011</v>
      </c>
      <c r="C13">
        <v>9687</v>
      </c>
      <c r="D13">
        <v>16420</v>
      </c>
      <c r="F13">
        <f t="shared" si="1"/>
        <v>212118</v>
      </c>
      <c r="H13">
        <f t="shared" si="6"/>
        <v>125</v>
      </c>
      <c r="I13">
        <v>26</v>
      </c>
      <c r="V13">
        <f t="shared" si="2"/>
        <v>151</v>
      </c>
      <c r="W13">
        <f t="shared" si="0"/>
        <v>211967</v>
      </c>
      <c r="X13">
        <v>232087</v>
      </c>
      <c r="Y13">
        <f t="shared" si="3"/>
        <v>0</v>
      </c>
      <c r="Z13">
        <f t="shared" si="4"/>
        <v>211967</v>
      </c>
      <c r="AE13">
        <f t="shared" si="9"/>
        <v>21</v>
      </c>
      <c r="AF13">
        <v>15169</v>
      </c>
      <c r="AG13" s="179">
        <v>12.305</v>
      </c>
      <c r="AH13" s="179">
        <v>-0.05</v>
      </c>
      <c r="AI13" s="179">
        <f t="shared" si="7"/>
        <v>12.254999999999999</v>
      </c>
      <c r="AJ13" s="178">
        <f t="shared" si="8"/>
        <v>185896.09499999997</v>
      </c>
    </row>
    <row r="14" spans="1:36" x14ac:dyDescent="0.25">
      <c r="A14">
        <f t="shared" si="5"/>
        <v>7</v>
      </c>
      <c r="B14">
        <v>213340</v>
      </c>
      <c r="C14">
        <v>9734</v>
      </c>
      <c r="D14">
        <v>16420</v>
      </c>
      <c r="F14">
        <f t="shared" si="1"/>
        <v>239494</v>
      </c>
      <c r="H14">
        <f t="shared" si="6"/>
        <v>125</v>
      </c>
      <c r="I14">
        <v>26</v>
      </c>
      <c r="V14">
        <f t="shared" si="2"/>
        <v>151</v>
      </c>
      <c r="W14">
        <f t="shared" si="0"/>
        <v>239343</v>
      </c>
      <c r="X14">
        <v>232087</v>
      </c>
      <c r="Y14">
        <f t="shared" si="3"/>
        <v>7256</v>
      </c>
      <c r="Z14">
        <f t="shared" si="4"/>
        <v>232087</v>
      </c>
      <c r="AE14">
        <f t="shared" si="9"/>
        <v>22</v>
      </c>
      <c r="AF14">
        <v>7401</v>
      </c>
      <c r="AG14" s="179">
        <v>7.4050000000000002</v>
      </c>
      <c r="AH14" s="179">
        <v>-0.05</v>
      </c>
      <c r="AI14" s="179">
        <f t="shared" si="7"/>
        <v>7.3550000000000004</v>
      </c>
      <c r="AJ14" s="178">
        <f t="shared" si="8"/>
        <v>54434.355000000003</v>
      </c>
    </row>
    <row r="15" spans="1:36" x14ac:dyDescent="0.25">
      <c r="A15">
        <f t="shared" si="5"/>
        <v>8</v>
      </c>
      <c r="B15">
        <v>185231</v>
      </c>
      <c r="C15">
        <v>9539</v>
      </c>
      <c r="D15">
        <v>16420</v>
      </c>
      <c r="F15">
        <f t="shared" si="1"/>
        <v>211190</v>
      </c>
      <c r="H15">
        <f t="shared" si="6"/>
        <v>125</v>
      </c>
      <c r="I15">
        <v>26</v>
      </c>
      <c r="V15">
        <f t="shared" si="2"/>
        <v>151</v>
      </c>
      <c r="W15">
        <f t="shared" si="0"/>
        <v>211039</v>
      </c>
      <c r="X15">
        <v>232087</v>
      </c>
      <c r="Y15">
        <f t="shared" si="3"/>
        <v>0</v>
      </c>
      <c r="Z15">
        <f t="shared" si="4"/>
        <v>211039</v>
      </c>
      <c r="AE15">
        <f t="shared" si="9"/>
        <v>23</v>
      </c>
      <c r="AF15">
        <v>7401</v>
      </c>
      <c r="AG15" s="179">
        <v>7.4050000000000002</v>
      </c>
      <c r="AH15" s="179">
        <v>-0.05</v>
      </c>
      <c r="AI15" s="179">
        <f t="shared" si="7"/>
        <v>7.3550000000000004</v>
      </c>
      <c r="AJ15" s="178">
        <f t="shared" si="8"/>
        <v>54434.355000000003</v>
      </c>
    </row>
    <row r="16" spans="1:36" x14ac:dyDescent="0.25">
      <c r="A16">
        <f t="shared" si="5"/>
        <v>9</v>
      </c>
      <c r="B16">
        <v>178456</v>
      </c>
      <c r="C16">
        <v>9639</v>
      </c>
      <c r="D16">
        <v>12682</v>
      </c>
      <c r="F16">
        <f t="shared" si="1"/>
        <v>200777</v>
      </c>
      <c r="H16">
        <f t="shared" si="6"/>
        <v>125</v>
      </c>
      <c r="I16">
        <v>26</v>
      </c>
      <c r="O16">
        <v>5000</v>
      </c>
      <c r="V16">
        <f t="shared" si="2"/>
        <v>5151</v>
      </c>
      <c r="W16">
        <f t="shared" si="0"/>
        <v>195626</v>
      </c>
      <c r="X16">
        <v>232087</v>
      </c>
      <c r="Y16">
        <f t="shared" si="3"/>
        <v>0</v>
      </c>
      <c r="Z16">
        <f t="shared" si="4"/>
        <v>195626</v>
      </c>
      <c r="AE16">
        <f t="shared" si="9"/>
        <v>24</v>
      </c>
      <c r="AF16">
        <v>7507</v>
      </c>
      <c r="AG16" s="179">
        <v>7.4050000000000002</v>
      </c>
      <c r="AH16" s="179">
        <v>-0.05</v>
      </c>
      <c r="AI16" s="179">
        <f t="shared" si="7"/>
        <v>7.3550000000000004</v>
      </c>
      <c r="AJ16" s="178">
        <f t="shared" si="8"/>
        <v>55213.985000000001</v>
      </c>
    </row>
    <row r="17" spans="1:36" x14ac:dyDescent="0.25">
      <c r="A17">
        <f t="shared" si="5"/>
        <v>10</v>
      </c>
      <c r="B17">
        <v>169882</v>
      </c>
      <c r="C17">
        <v>9792</v>
      </c>
      <c r="D17">
        <v>12682</v>
      </c>
      <c r="F17">
        <f t="shared" si="1"/>
        <v>192356</v>
      </c>
      <c r="H17">
        <f t="shared" si="6"/>
        <v>125</v>
      </c>
      <c r="I17">
        <v>26</v>
      </c>
      <c r="O17">
        <v>5000</v>
      </c>
      <c r="V17">
        <f t="shared" si="2"/>
        <v>5151</v>
      </c>
      <c r="W17">
        <f t="shared" si="0"/>
        <v>187205</v>
      </c>
      <c r="X17">
        <v>232087</v>
      </c>
      <c r="Y17">
        <f t="shared" si="3"/>
        <v>0</v>
      </c>
      <c r="Z17">
        <f t="shared" si="4"/>
        <v>187205</v>
      </c>
      <c r="AE17">
        <f t="shared" si="9"/>
        <v>25</v>
      </c>
      <c r="AF17">
        <v>7401</v>
      </c>
      <c r="AG17" s="179">
        <v>5.7350000000000003</v>
      </c>
      <c r="AH17" s="179">
        <v>-0.05</v>
      </c>
      <c r="AI17" s="179">
        <f t="shared" si="7"/>
        <v>5.6850000000000005</v>
      </c>
      <c r="AJ17" s="178">
        <f t="shared" si="8"/>
        <v>42074.685000000005</v>
      </c>
    </row>
    <row r="18" spans="1:36" x14ac:dyDescent="0.25">
      <c r="A18">
        <f t="shared" si="5"/>
        <v>11</v>
      </c>
      <c r="B18">
        <v>184083</v>
      </c>
      <c r="C18">
        <v>9792</v>
      </c>
      <c r="D18">
        <v>12682</v>
      </c>
      <c r="F18">
        <f t="shared" si="1"/>
        <v>206557</v>
      </c>
      <c r="H18">
        <f t="shared" si="6"/>
        <v>125</v>
      </c>
      <c r="I18">
        <v>26</v>
      </c>
      <c r="V18">
        <f t="shared" si="2"/>
        <v>151</v>
      </c>
      <c r="W18">
        <f t="shared" si="0"/>
        <v>206406</v>
      </c>
      <c r="X18">
        <v>232087</v>
      </c>
      <c r="Y18">
        <f t="shared" si="3"/>
        <v>0</v>
      </c>
      <c r="Z18">
        <f t="shared" si="4"/>
        <v>206406</v>
      </c>
      <c r="AE18">
        <f t="shared" si="9"/>
        <v>26</v>
      </c>
      <c r="AF18">
        <v>8579</v>
      </c>
      <c r="AG18" s="179">
        <v>7.085</v>
      </c>
      <c r="AH18" s="179">
        <v>-0.05</v>
      </c>
      <c r="AI18" s="179">
        <f t="shared" si="7"/>
        <v>7.0350000000000001</v>
      </c>
      <c r="AJ18" s="178">
        <f t="shared" si="8"/>
        <v>60353.264999999999</v>
      </c>
    </row>
    <row r="19" spans="1:36" x14ac:dyDescent="0.25">
      <c r="A19">
        <f t="shared" si="5"/>
        <v>12</v>
      </c>
      <c r="B19">
        <v>188092</v>
      </c>
      <c r="C19">
        <v>9672</v>
      </c>
      <c r="D19">
        <v>12682</v>
      </c>
      <c r="F19">
        <f t="shared" si="1"/>
        <v>210446</v>
      </c>
      <c r="H19">
        <f t="shared" si="6"/>
        <v>125</v>
      </c>
      <c r="I19">
        <v>26</v>
      </c>
      <c r="P19">
        <v>7500</v>
      </c>
      <c r="V19">
        <f t="shared" si="2"/>
        <v>7651</v>
      </c>
      <c r="W19">
        <f t="shared" si="0"/>
        <v>202795</v>
      </c>
      <c r="X19">
        <v>232087</v>
      </c>
      <c r="Y19">
        <f t="shared" si="3"/>
        <v>0</v>
      </c>
      <c r="Z19">
        <f t="shared" si="4"/>
        <v>202795</v>
      </c>
      <c r="AE19">
        <f t="shared" si="9"/>
        <v>27</v>
      </c>
      <c r="AF19">
        <v>8569</v>
      </c>
      <c r="AG19" s="179">
        <v>9.3800000000000008</v>
      </c>
      <c r="AH19" s="179">
        <v>-0.05</v>
      </c>
      <c r="AI19" s="179">
        <f t="shared" si="7"/>
        <v>9.33</v>
      </c>
      <c r="AJ19" s="178">
        <f t="shared" si="8"/>
        <v>79948.77</v>
      </c>
    </row>
    <row r="20" spans="1:36" x14ac:dyDescent="0.25">
      <c r="A20">
        <f t="shared" si="5"/>
        <v>13</v>
      </c>
      <c r="B20">
        <v>222617</v>
      </c>
      <c r="C20">
        <v>12441</v>
      </c>
      <c r="D20">
        <v>12682</v>
      </c>
      <c r="F20">
        <f t="shared" si="1"/>
        <v>247740</v>
      </c>
      <c r="H20">
        <f t="shared" si="6"/>
        <v>125</v>
      </c>
      <c r="I20">
        <v>26</v>
      </c>
      <c r="J20">
        <v>400</v>
      </c>
      <c r="K20">
        <v>250</v>
      </c>
      <c r="L20">
        <v>2710</v>
      </c>
      <c r="Q20">
        <v>28400</v>
      </c>
      <c r="V20">
        <f t="shared" si="2"/>
        <v>31911</v>
      </c>
      <c r="W20">
        <f t="shared" si="0"/>
        <v>215829</v>
      </c>
      <c r="X20">
        <v>232087</v>
      </c>
      <c r="Y20">
        <f t="shared" si="3"/>
        <v>0</v>
      </c>
      <c r="Z20">
        <f t="shared" si="4"/>
        <v>215829</v>
      </c>
      <c r="AE20">
        <f t="shared" si="9"/>
        <v>28</v>
      </c>
      <c r="AF20">
        <v>8501</v>
      </c>
      <c r="AG20" s="179">
        <v>8.8800000000000008</v>
      </c>
      <c r="AH20" s="179">
        <v>-0.05</v>
      </c>
      <c r="AI20" s="179">
        <f t="shared" si="7"/>
        <v>8.83</v>
      </c>
      <c r="AJ20" s="178">
        <f t="shared" si="8"/>
        <v>75063.83</v>
      </c>
    </row>
    <row r="21" spans="1:36" x14ac:dyDescent="0.25">
      <c r="A21">
        <f t="shared" si="5"/>
        <v>14</v>
      </c>
      <c r="B21">
        <v>211138</v>
      </c>
      <c r="C21">
        <v>16192</v>
      </c>
      <c r="D21">
        <v>6614</v>
      </c>
      <c r="F21">
        <f t="shared" si="1"/>
        <v>233944</v>
      </c>
      <c r="H21">
        <f t="shared" si="6"/>
        <v>125</v>
      </c>
      <c r="I21">
        <v>26</v>
      </c>
      <c r="J21">
        <v>416</v>
      </c>
      <c r="K21">
        <v>500</v>
      </c>
      <c r="L21">
        <v>2710</v>
      </c>
      <c r="M21">
        <v>1390</v>
      </c>
      <c r="V21">
        <f t="shared" si="2"/>
        <v>5167</v>
      </c>
      <c r="W21">
        <f t="shared" si="0"/>
        <v>228777</v>
      </c>
      <c r="X21">
        <v>232087</v>
      </c>
      <c r="Y21">
        <f t="shared" si="3"/>
        <v>0</v>
      </c>
      <c r="Z21">
        <f t="shared" si="4"/>
        <v>228777</v>
      </c>
      <c r="AE21">
        <f t="shared" si="9"/>
        <v>29</v>
      </c>
      <c r="AF21">
        <v>7629</v>
      </c>
      <c r="AG21" s="179">
        <v>8.3450000000000006</v>
      </c>
      <c r="AH21" s="179">
        <v>-0.05</v>
      </c>
      <c r="AI21" s="179">
        <f t="shared" si="7"/>
        <v>8.2949999999999999</v>
      </c>
      <c r="AJ21" s="178">
        <f t="shared" si="8"/>
        <v>63282.555</v>
      </c>
    </row>
    <row r="22" spans="1:36" x14ac:dyDescent="0.25">
      <c r="A22">
        <f t="shared" si="5"/>
        <v>15</v>
      </c>
      <c r="B22">
        <v>175177</v>
      </c>
      <c r="C22">
        <v>10839</v>
      </c>
      <c r="D22">
        <v>6836</v>
      </c>
      <c r="F22">
        <f t="shared" si="1"/>
        <v>192852</v>
      </c>
      <c r="H22">
        <v>250</v>
      </c>
      <c r="I22">
        <v>52</v>
      </c>
      <c r="J22">
        <v>400</v>
      </c>
      <c r="K22">
        <v>250</v>
      </c>
      <c r="L22">
        <v>2710</v>
      </c>
      <c r="M22">
        <v>1390</v>
      </c>
      <c r="V22">
        <f t="shared" si="2"/>
        <v>5052</v>
      </c>
      <c r="W22">
        <f t="shared" si="0"/>
        <v>187800</v>
      </c>
      <c r="X22">
        <v>232087</v>
      </c>
      <c r="Y22">
        <f t="shared" si="3"/>
        <v>0</v>
      </c>
      <c r="Z22">
        <f t="shared" si="4"/>
        <v>187800</v>
      </c>
      <c r="AE22">
        <f t="shared" si="9"/>
        <v>30</v>
      </c>
      <c r="AF22">
        <v>7629</v>
      </c>
      <c r="AG22" s="179">
        <v>8.3450000000000006</v>
      </c>
      <c r="AH22" s="179">
        <v>-0.05</v>
      </c>
      <c r="AI22" s="179">
        <f t="shared" si="7"/>
        <v>8.2949999999999999</v>
      </c>
      <c r="AJ22" s="178">
        <f t="shared" si="8"/>
        <v>63282.555</v>
      </c>
    </row>
    <row r="23" spans="1:36" x14ac:dyDescent="0.25">
      <c r="A23">
        <f t="shared" si="5"/>
        <v>16</v>
      </c>
      <c r="B23">
        <v>207558</v>
      </c>
      <c r="C23">
        <v>10861</v>
      </c>
      <c r="D23">
        <v>6836</v>
      </c>
      <c r="F23">
        <f t="shared" si="1"/>
        <v>225255</v>
      </c>
      <c r="H23">
        <v>125</v>
      </c>
      <c r="I23">
        <v>26</v>
      </c>
      <c r="J23">
        <v>400</v>
      </c>
      <c r="K23">
        <v>250</v>
      </c>
      <c r="L23">
        <v>2710</v>
      </c>
      <c r="M23">
        <v>1390</v>
      </c>
      <c r="V23">
        <f t="shared" si="2"/>
        <v>4901</v>
      </c>
      <c r="W23">
        <f t="shared" si="0"/>
        <v>220354</v>
      </c>
      <c r="X23">
        <v>232087</v>
      </c>
      <c r="Y23">
        <f t="shared" si="3"/>
        <v>0</v>
      </c>
      <c r="Z23">
        <f t="shared" si="4"/>
        <v>220354</v>
      </c>
      <c r="AE23">
        <f t="shared" si="9"/>
        <v>31</v>
      </c>
      <c r="AF23">
        <v>7629</v>
      </c>
      <c r="AG23" s="179">
        <v>8.3450000000000006</v>
      </c>
      <c r="AH23" s="179">
        <v>-0.05</v>
      </c>
      <c r="AI23" s="179">
        <f t="shared" si="7"/>
        <v>8.2949999999999999</v>
      </c>
      <c r="AJ23" s="178">
        <f t="shared" si="8"/>
        <v>63282.555</v>
      </c>
    </row>
    <row r="24" spans="1:36" x14ac:dyDescent="0.25">
      <c r="A24">
        <f t="shared" si="5"/>
        <v>17</v>
      </c>
      <c r="B24">
        <v>220718</v>
      </c>
      <c r="C24">
        <v>3212</v>
      </c>
      <c r="D24">
        <v>6836</v>
      </c>
      <c r="F24">
        <f t="shared" si="1"/>
        <v>230766</v>
      </c>
      <c r="H24">
        <f t="shared" si="6"/>
        <v>125</v>
      </c>
      <c r="I24">
        <v>26</v>
      </c>
      <c r="J24">
        <v>400</v>
      </c>
      <c r="K24">
        <v>250</v>
      </c>
      <c r="L24">
        <v>2710</v>
      </c>
      <c r="M24">
        <v>1390</v>
      </c>
      <c r="V24">
        <f t="shared" si="2"/>
        <v>4901</v>
      </c>
      <c r="W24">
        <f t="shared" si="0"/>
        <v>225865</v>
      </c>
      <c r="X24">
        <v>232087</v>
      </c>
      <c r="Y24">
        <f t="shared" si="3"/>
        <v>0</v>
      </c>
      <c r="Z24">
        <f t="shared" si="4"/>
        <v>225865</v>
      </c>
      <c r="AF24">
        <f>SUM(AF9:AF23)</f>
        <v>141915</v>
      </c>
      <c r="AH24" s="169"/>
      <c r="AI24" s="177"/>
      <c r="AJ24" s="180">
        <f>SUM(AJ9:AJ23)</f>
        <v>1026091.6050000001</v>
      </c>
    </row>
    <row r="25" spans="1:36" x14ac:dyDescent="0.25">
      <c r="A25">
        <f t="shared" si="5"/>
        <v>18</v>
      </c>
      <c r="B25">
        <v>205443</v>
      </c>
      <c r="C25">
        <v>3212</v>
      </c>
      <c r="D25">
        <v>0</v>
      </c>
      <c r="F25">
        <f t="shared" si="1"/>
        <v>208655</v>
      </c>
      <c r="H25">
        <f t="shared" si="6"/>
        <v>125</v>
      </c>
      <c r="I25">
        <v>26</v>
      </c>
      <c r="J25">
        <v>400</v>
      </c>
      <c r="K25">
        <v>250</v>
      </c>
      <c r="L25">
        <v>2710</v>
      </c>
      <c r="M25">
        <v>1390</v>
      </c>
      <c r="R25">
        <v>6000</v>
      </c>
      <c r="V25">
        <f t="shared" si="2"/>
        <v>10901</v>
      </c>
      <c r="W25">
        <f t="shared" si="0"/>
        <v>197754</v>
      </c>
      <c r="X25">
        <v>232087</v>
      </c>
      <c r="Y25">
        <f t="shared" si="3"/>
        <v>0</v>
      </c>
      <c r="Z25">
        <f t="shared" si="4"/>
        <v>197754</v>
      </c>
      <c r="AH25" s="169"/>
      <c r="AI25" s="177" t="s">
        <v>376</v>
      </c>
      <c r="AJ25" s="181">
        <f>ROUND(+AJ24/AF24,4)</f>
        <v>7.2302999999999997</v>
      </c>
    </row>
    <row r="26" spans="1:36" x14ac:dyDescent="0.25">
      <c r="A26">
        <f t="shared" si="5"/>
        <v>19</v>
      </c>
      <c r="B26">
        <v>195605</v>
      </c>
      <c r="C26">
        <f>3622</f>
        <v>3622</v>
      </c>
      <c r="D26">
        <v>0</v>
      </c>
      <c r="F26">
        <f t="shared" si="1"/>
        <v>199227</v>
      </c>
      <c r="H26">
        <f t="shared" si="6"/>
        <v>125</v>
      </c>
      <c r="I26">
        <v>26</v>
      </c>
      <c r="J26">
        <v>400</v>
      </c>
      <c r="K26">
        <v>250</v>
      </c>
      <c r="L26">
        <v>2710</v>
      </c>
      <c r="M26">
        <v>1390</v>
      </c>
      <c r="N26">
        <v>14163</v>
      </c>
      <c r="V26">
        <f t="shared" si="2"/>
        <v>19064</v>
      </c>
      <c r="W26">
        <f t="shared" si="0"/>
        <v>180163</v>
      </c>
      <c r="X26">
        <v>232087</v>
      </c>
      <c r="Y26">
        <f t="shared" si="3"/>
        <v>0</v>
      </c>
      <c r="Z26">
        <f t="shared" si="4"/>
        <v>180163</v>
      </c>
    </row>
    <row r="27" spans="1:36" x14ac:dyDescent="0.25">
      <c r="A27">
        <f t="shared" si="5"/>
        <v>20</v>
      </c>
      <c r="B27">
        <v>212238</v>
      </c>
      <c r="C27">
        <v>24067</v>
      </c>
      <c r="D27">
        <v>0</v>
      </c>
      <c r="F27">
        <f t="shared" si="1"/>
        <v>236305</v>
      </c>
      <c r="H27">
        <f t="shared" si="6"/>
        <v>125</v>
      </c>
      <c r="I27">
        <v>26</v>
      </c>
      <c r="J27">
        <v>400</v>
      </c>
      <c r="K27">
        <v>250</v>
      </c>
      <c r="L27">
        <v>2710</v>
      </c>
      <c r="M27">
        <v>1390</v>
      </c>
      <c r="V27">
        <f t="shared" si="2"/>
        <v>4901</v>
      </c>
      <c r="W27">
        <f t="shared" si="0"/>
        <v>231404</v>
      </c>
      <c r="X27">
        <v>232087</v>
      </c>
      <c r="Y27">
        <f t="shared" si="3"/>
        <v>0</v>
      </c>
      <c r="Z27">
        <f t="shared" si="4"/>
        <v>231404</v>
      </c>
    </row>
    <row r="28" spans="1:36" x14ac:dyDescent="0.25">
      <c r="A28">
        <f t="shared" si="5"/>
        <v>21</v>
      </c>
      <c r="B28">
        <v>245565</v>
      </c>
      <c r="C28">
        <v>11830</v>
      </c>
      <c r="D28">
        <v>1382</v>
      </c>
      <c r="F28">
        <f t="shared" si="1"/>
        <v>258777</v>
      </c>
      <c r="H28">
        <v>0</v>
      </c>
      <c r="I28">
        <v>0</v>
      </c>
      <c r="J28">
        <v>400</v>
      </c>
      <c r="L28">
        <v>2710</v>
      </c>
      <c r="M28">
        <v>1390</v>
      </c>
      <c r="V28">
        <f t="shared" si="2"/>
        <v>4500</v>
      </c>
      <c r="W28">
        <f t="shared" si="0"/>
        <v>254277</v>
      </c>
      <c r="X28">
        <v>232087</v>
      </c>
      <c r="Y28">
        <f t="shared" si="3"/>
        <v>22190</v>
      </c>
      <c r="Z28">
        <f t="shared" si="4"/>
        <v>232087</v>
      </c>
    </row>
    <row r="29" spans="1:36" x14ac:dyDescent="0.25">
      <c r="A29">
        <f t="shared" si="5"/>
        <v>22</v>
      </c>
      <c r="B29">
        <v>210112</v>
      </c>
      <c r="C29">
        <v>5916</v>
      </c>
      <c r="D29">
        <f>4619+1132+2015+6700+13064</f>
        <v>27530</v>
      </c>
      <c r="F29">
        <f t="shared" si="1"/>
        <v>243558</v>
      </c>
      <c r="H29">
        <v>0</v>
      </c>
      <c r="I29">
        <v>0</v>
      </c>
      <c r="J29">
        <v>400</v>
      </c>
      <c r="L29">
        <v>2710</v>
      </c>
      <c r="M29">
        <v>1390</v>
      </c>
      <c r="S29">
        <v>2250</v>
      </c>
      <c r="V29">
        <f t="shared" si="2"/>
        <v>6750</v>
      </c>
      <c r="W29">
        <f t="shared" si="0"/>
        <v>236808</v>
      </c>
      <c r="X29">
        <v>232087</v>
      </c>
      <c r="Y29">
        <f t="shared" si="3"/>
        <v>4721</v>
      </c>
      <c r="Z29">
        <f t="shared" si="4"/>
        <v>232087</v>
      </c>
    </row>
    <row r="30" spans="1:36" x14ac:dyDescent="0.25">
      <c r="A30">
        <f t="shared" si="5"/>
        <v>23</v>
      </c>
      <c r="B30">
        <v>201686</v>
      </c>
      <c r="C30">
        <v>6016</v>
      </c>
      <c r="D30">
        <f>4619+1198+2015+6938+13239</f>
        <v>28009</v>
      </c>
      <c r="F30">
        <f t="shared" si="1"/>
        <v>235711</v>
      </c>
      <c r="H30">
        <v>0</v>
      </c>
      <c r="I30">
        <v>0</v>
      </c>
      <c r="J30">
        <v>400</v>
      </c>
      <c r="L30">
        <v>2710</v>
      </c>
      <c r="M30">
        <v>1390</v>
      </c>
      <c r="S30">
        <v>1900</v>
      </c>
      <c r="V30">
        <f t="shared" si="2"/>
        <v>6400</v>
      </c>
      <c r="W30">
        <f t="shared" si="0"/>
        <v>229311</v>
      </c>
      <c r="X30">
        <v>232087</v>
      </c>
      <c r="Y30">
        <f t="shared" si="3"/>
        <v>0</v>
      </c>
      <c r="Z30">
        <f t="shared" si="4"/>
        <v>229311</v>
      </c>
    </row>
    <row r="31" spans="1:36" x14ac:dyDescent="0.25">
      <c r="A31">
        <f t="shared" si="5"/>
        <v>24</v>
      </c>
      <c r="B31">
        <v>232806</v>
      </c>
      <c r="C31">
        <v>5942</v>
      </c>
      <c r="D31">
        <f>4619+1197+2035+6700+10290</f>
        <v>24841</v>
      </c>
      <c r="F31">
        <f t="shared" si="1"/>
        <v>263589</v>
      </c>
      <c r="H31">
        <v>125</v>
      </c>
      <c r="I31">
        <v>26</v>
      </c>
      <c r="J31">
        <v>400</v>
      </c>
      <c r="L31">
        <v>2710</v>
      </c>
      <c r="M31">
        <v>1390</v>
      </c>
      <c r="S31">
        <v>1900</v>
      </c>
      <c r="V31">
        <f t="shared" si="2"/>
        <v>6551</v>
      </c>
      <c r="W31">
        <f t="shared" si="0"/>
        <v>257038</v>
      </c>
      <c r="X31">
        <v>232087</v>
      </c>
      <c r="Y31">
        <f t="shared" si="3"/>
        <v>24951</v>
      </c>
      <c r="Z31">
        <f t="shared" si="4"/>
        <v>232087</v>
      </c>
    </row>
    <row r="32" spans="1:36" x14ac:dyDescent="0.25">
      <c r="A32">
        <f t="shared" si="5"/>
        <v>25</v>
      </c>
      <c r="B32">
        <v>225443</v>
      </c>
      <c r="C32">
        <v>5707</v>
      </c>
      <c r="D32">
        <v>6581</v>
      </c>
      <c r="F32">
        <f t="shared" si="1"/>
        <v>237731</v>
      </c>
      <c r="H32">
        <f t="shared" si="6"/>
        <v>125</v>
      </c>
      <c r="I32">
        <v>26</v>
      </c>
      <c r="J32">
        <v>400</v>
      </c>
      <c r="L32">
        <v>2710</v>
      </c>
      <c r="M32">
        <v>1390</v>
      </c>
      <c r="S32">
        <v>2250</v>
      </c>
      <c r="T32">
        <v>515</v>
      </c>
      <c r="V32">
        <f t="shared" si="2"/>
        <v>7416</v>
      </c>
      <c r="W32">
        <f t="shared" si="0"/>
        <v>230315</v>
      </c>
      <c r="X32">
        <v>232087</v>
      </c>
      <c r="Y32">
        <f t="shared" si="3"/>
        <v>0</v>
      </c>
      <c r="Z32">
        <f t="shared" si="4"/>
        <v>230315</v>
      </c>
    </row>
    <row r="33" spans="1:26" x14ac:dyDescent="0.25">
      <c r="A33">
        <f t="shared" si="5"/>
        <v>26</v>
      </c>
      <c r="B33">
        <v>241779</v>
      </c>
      <c r="C33">
        <v>6218</v>
      </c>
      <c r="D33">
        <v>0</v>
      </c>
      <c r="F33">
        <f t="shared" si="1"/>
        <v>247997</v>
      </c>
      <c r="H33">
        <f t="shared" si="6"/>
        <v>125</v>
      </c>
      <c r="I33">
        <v>26</v>
      </c>
      <c r="J33">
        <v>400</v>
      </c>
      <c r="L33">
        <v>2710</v>
      </c>
      <c r="M33">
        <v>1390</v>
      </c>
      <c r="S33">
        <v>2250</v>
      </c>
      <c r="V33">
        <f t="shared" si="2"/>
        <v>6901</v>
      </c>
      <c r="W33">
        <f t="shared" si="0"/>
        <v>241096</v>
      </c>
      <c r="X33">
        <v>232087</v>
      </c>
      <c r="Y33">
        <f t="shared" si="3"/>
        <v>9009</v>
      </c>
      <c r="Z33">
        <f t="shared" si="4"/>
        <v>232087</v>
      </c>
    </row>
    <row r="34" spans="1:26" x14ac:dyDescent="0.25">
      <c r="A34">
        <f t="shared" si="5"/>
        <v>27</v>
      </c>
      <c r="B34">
        <v>238311</v>
      </c>
      <c r="C34">
        <v>7675</v>
      </c>
      <c r="D34">
        <v>0</v>
      </c>
      <c r="F34">
        <f t="shared" si="1"/>
        <v>245986</v>
      </c>
      <c r="H34">
        <f t="shared" si="6"/>
        <v>125</v>
      </c>
      <c r="I34">
        <v>26</v>
      </c>
      <c r="J34">
        <v>400</v>
      </c>
      <c r="L34">
        <v>2710</v>
      </c>
      <c r="M34">
        <v>1390</v>
      </c>
      <c r="S34">
        <v>2250</v>
      </c>
      <c r="U34">
        <v>767</v>
      </c>
      <c r="V34">
        <f t="shared" si="2"/>
        <v>7668</v>
      </c>
      <c r="W34">
        <f t="shared" si="0"/>
        <v>238318</v>
      </c>
      <c r="X34">
        <v>232087</v>
      </c>
      <c r="Y34">
        <f t="shared" si="3"/>
        <v>6231</v>
      </c>
      <c r="Z34">
        <f t="shared" si="4"/>
        <v>232087</v>
      </c>
    </row>
    <row r="35" spans="1:26" x14ac:dyDescent="0.25">
      <c r="A35">
        <f t="shared" si="5"/>
        <v>28</v>
      </c>
      <c r="B35">
        <v>224319</v>
      </c>
      <c r="C35">
        <v>6786</v>
      </c>
      <c r="D35">
        <v>1570</v>
      </c>
      <c r="F35">
        <f t="shared" si="1"/>
        <v>232675</v>
      </c>
      <c r="H35">
        <f t="shared" si="6"/>
        <v>125</v>
      </c>
      <c r="I35">
        <v>26</v>
      </c>
      <c r="J35">
        <v>400</v>
      </c>
      <c r="L35">
        <v>2710</v>
      </c>
      <c r="M35">
        <v>1390</v>
      </c>
      <c r="S35">
        <v>2250</v>
      </c>
      <c r="U35">
        <v>767</v>
      </c>
      <c r="V35">
        <f t="shared" si="2"/>
        <v>7668</v>
      </c>
      <c r="W35">
        <f t="shared" si="0"/>
        <v>225007</v>
      </c>
      <c r="X35">
        <v>232087</v>
      </c>
      <c r="Y35">
        <f t="shared" si="3"/>
        <v>0</v>
      </c>
      <c r="Z35">
        <f t="shared" si="4"/>
        <v>225007</v>
      </c>
    </row>
    <row r="36" spans="1:26" x14ac:dyDescent="0.25">
      <c r="A36">
        <f t="shared" si="5"/>
        <v>29</v>
      </c>
      <c r="B36">
        <v>190674</v>
      </c>
      <c r="C36">
        <v>7845</v>
      </c>
      <c r="D36">
        <v>1570</v>
      </c>
      <c r="F36">
        <f t="shared" si="1"/>
        <v>200089</v>
      </c>
      <c r="H36">
        <f t="shared" si="6"/>
        <v>125</v>
      </c>
      <c r="I36">
        <v>26</v>
      </c>
      <c r="J36">
        <v>400</v>
      </c>
      <c r="L36">
        <v>2710</v>
      </c>
      <c r="M36">
        <v>1390</v>
      </c>
      <c r="S36">
        <v>2250</v>
      </c>
      <c r="V36">
        <f t="shared" si="2"/>
        <v>6901</v>
      </c>
      <c r="W36">
        <f t="shared" si="0"/>
        <v>193188</v>
      </c>
      <c r="X36">
        <v>232087</v>
      </c>
      <c r="Y36">
        <f t="shared" si="3"/>
        <v>0</v>
      </c>
      <c r="Z36">
        <f t="shared" si="4"/>
        <v>193188</v>
      </c>
    </row>
    <row r="37" spans="1:26" x14ac:dyDescent="0.25">
      <c r="A37">
        <f t="shared" si="5"/>
        <v>30</v>
      </c>
      <c r="B37">
        <v>190518</v>
      </c>
      <c r="C37">
        <v>7945</v>
      </c>
      <c r="D37">
        <v>1570</v>
      </c>
      <c r="F37">
        <f t="shared" si="1"/>
        <v>200033</v>
      </c>
      <c r="H37">
        <f t="shared" si="6"/>
        <v>125</v>
      </c>
      <c r="I37">
        <v>26</v>
      </c>
      <c r="J37">
        <v>400</v>
      </c>
      <c r="L37">
        <v>2710</v>
      </c>
      <c r="M37">
        <v>1390</v>
      </c>
      <c r="S37">
        <v>2250</v>
      </c>
      <c r="V37">
        <f t="shared" si="2"/>
        <v>6901</v>
      </c>
      <c r="W37">
        <f t="shared" si="0"/>
        <v>193132</v>
      </c>
      <c r="X37">
        <v>232087</v>
      </c>
      <c r="Y37">
        <f t="shared" si="3"/>
        <v>0</v>
      </c>
      <c r="Z37">
        <f t="shared" si="4"/>
        <v>193132</v>
      </c>
    </row>
    <row r="38" spans="1:26" x14ac:dyDescent="0.25">
      <c r="A38">
        <f t="shared" si="5"/>
        <v>31</v>
      </c>
      <c r="B38">
        <v>188552</v>
      </c>
      <c r="C38">
        <v>8098</v>
      </c>
      <c r="D38">
        <v>1570</v>
      </c>
      <c r="F38">
        <f t="shared" si="1"/>
        <v>198220</v>
      </c>
      <c r="H38">
        <f t="shared" si="6"/>
        <v>125</v>
      </c>
      <c r="I38">
        <v>26</v>
      </c>
      <c r="J38">
        <v>400</v>
      </c>
      <c r="L38">
        <v>2710</v>
      </c>
      <c r="M38">
        <v>1390</v>
      </c>
      <c r="S38">
        <v>2250</v>
      </c>
      <c r="V38">
        <f t="shared" si="2"/>
        <v>6901</v>
      </c>
      <c r="W38">
        <f t="shared" si="0"/>
        <v>191319</v>
      </c>
      <c r="X38">
        <v>232087</v>
      </c>
      <c r="Y38">
        <f t="shared" si="3"/>
        <v>0</v>
      </c>
      <c r="Z38">
        <f t="shared" si="4"/>
        <v>191319</v>
      </c>
    </row>
    <row r="39" spans="1:26" ht="13.8" thickBot="1" x14ac:dyDescent="0.3">
      <c r="B39" s="171">
        <f>SUM(B8:B38)</f>
        <v>6185544</v>
      </c>
      <c r="C39" s="171">
        <f>SUM(C8:C38)</f>
        <v>280108</v>
      </c>
      <c r="D39" s="171">
        <f>SUM(D8:D38)</f>
        <v>257934</v>
      </c>
      <c r="F39" s="171">
        <f>SUM(F8:F38)</f>
        <v>6723586</v>
      </c>
      <c r="H39" s="171">
        <f t="shared" ref="H39:N39" si="10">SUM(H8:H38)</f>
        <v>3625</v>
      </c>
      <c r="I39" s="171">
        <f t="shared" si="10"/>
        <v>754</v>
      </c>
      <c r="J39" s="171">
        <f t="shared" si="10"/>
        <v>7616</v>
      </c>
      <c r="K39" s="171">
        <f t="shared" si="10"/>
        <v>2250</v>
      </c>
      <c r="L39" s="171">
        <f t="shared" si="10"/>
        <v>51490</v>
      </c>
      <c r="M39" s="171">
        <f t="shared" si="10"/>
        <v>25020</v>
      </c>
      <c r="N39" s="171">
        <f t="shared" si="10"/>
        <v>14163</v>
      </c>
      <c r="O39" s="171">
        <f t="shared" ref="O39:W39" si="11">SUM(O8:O38)</f>
        <v>10000</v>
      </c>
      <c r="P39" s="171">
        <f t="shared" si="11"/>
        <v>7500</v>
      </c>
      <c r="Q39" s="171">
        <f t="shared" si="11"/>
        <v>28400</v>
      </c>
      <c r="R39" s="171">
        <f t="shared" si="11"/>
        <v>6000</v>
      </c>
      <c r="S39" s="171">
        <f t="shared" si="11"/>
        <v>21800</v>
      </c>
      <c r="T39" s="171">
        <f t="shared" si="11"/>
        <v>515</v>
      </c>
      <c r="U39" s="171">
        <f t="shared" si="11"/>
        <v>1534</v>
      </c>
      <c r="V39" s="171">
        <f t="shared" si="11"/>
        <v>180667</v>
      </c>
      <c r="W39" s="171">
        <f t="shared" si="11"/>
        <v>6542919</v>
      </c>
      <c r="Y39" s="171">
        <f>SUM(Y8:Y38)</f>
        <v>74358</v>
      </c>
      <c r="Z39" s="171">
        <f>SUM(Z8:Z38)</f>
        <v>6468561</v>
      </c>
    </row>
    <row r="40" spans="1:26" ht="13.8" thickTop="1" x14ac:dyDescent="0.25"/>
    <row r="41" spans="1:26" x14ac:dyDescent="0.25">
      <c r="A41" t="s">
        <v>380</v>
      </c>
      <c r="B41">
        <f>+B39+C39+D39</f>
        <v>6723586</v>
      </c>
    </row>
    <row r="42" spans="1:26" x14ac:dyDescent="0.25">
      <c r="W42" t="s">
        <v>387</v>
      </c>
    </row>
    <row r="43" spans="1:26" x14ac:dyDescent="0.25">
      <c r="W43" t="s">
        <v>388</v>
      </c>
      <c r="X43">
        <v>6723586</v>
      </c>
    </row>
    <row r="45" spans="1:26" x14ac:dyDescent="0.25">
      <c r="W45" t="s">
        <v>383</v>
      </c>
      <c r="X45">
        <f>+V39</f>
        <v>180667</v>
      </c>
    </row>
    <row r="46" spans="1:26" x14ac:dyDescent="0.25">
      <c r="W46" t="s">
        <v>382</v>
      </c>
      <c r="X46">
        <f>+Z39</f>
        <v>6468561</v>
      </c>
    </row>
    <row r="47" spans="1:26" x14ac:dyDescent="0.25">
      <c r="W47" t="s">
        <v>381</v>
      </c>
      <c r="X47">
        <f>+Y39</f>
        <v>74358</v>
      </c>
    </row>
    <row r="48" spans="1:26" x14ac:dyDescent="0.25">
      <c r="X48" s="170">
        <f>SUM(X45:X47)</f>
        <v>6723586</v>
      </c>
    </row>
    <row r="49" spans="23:24" ht="13.8" thickBot="1" x14ac:dyDescent="0.3">
      <c r="W49" s="188" t="s">
        <v>389</v>
      </c>
      <c r="X49" s="189">
        <f>+X48-X43</f>
        <v>0</v>
      </c>
    </row>
    <row r="50" spans="23:24" ht="13.8" thickTop="1" x14ac:dyDescent="0.25"/>
    <row r="51" spans="23:24" x14ac:dyDescent="0.25">
      <c r="W51" t="s">
        <v>382</v>
      </c>
      <c r="X51" s="172">
        <f>+X46</f>
        <v>6468561</v>
      </c>
    </row>
    <row r="52" spans="23:24" x14ac:dyDescent="0.25">
      <c r="W52" t="s">
        <v>390</v>
      </c>
      <c r="X52" s="172">
        <v>2055429</v>
      </c>
    </row>
    <row r="53" spans="23:24" ht="13.8" thickBot="1" x14ac:dyDescent="0.3">
      <c r="W53" t="s">
        <v>391</v>
      </c>
      <c r="X53" s="173">
        <f>+X51-X52</f>
        <v>4413132</v>
      </c>
    </row>
    <row r="54" spans="23:24" ht="13.8" thickTop="1" x14ac:dyDescent="0.25"/>
  </sheetData>
  <pageMargins left="0.75" right="0.75" top="1" bottom="1" header="0.5" footer="0.5"/>
  <pageSetup scale="56"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6"/>
  <sheetViews>
    <sheetView tabSelected="1" topLeftCell="I157" workbookViewId="0">
      <selection activeCell="V183" sqref="V183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11" style="25" customWidth="1"/>
    <col min="6" max="6" width="9.5546875" style="25" customWidth="1"/>
    <col min="7" max="7" width="12.44140625" style="27" customWidth="1"/>
    <col min="8" max="8" width="10.6640625" style="27" customWidth="1"/>
    <col min="9" max="9" width="13" style="25" customWidth="1"/>
    <col min="10" max="10" width="7.6640625" style="25" customWidth="1"/>
    <col min="11" max="14" width="0" style="25" hidden="1" customWidth="1"/>
    <col min="15" max="15" width="0" style="51" hidden="1" customWidth="1"/>
    <col min="16" max="16" width="0" style="25" hidden="1" customWidth="1"/>
    <col min="17" max="17" width="12.6640625" style="25" customWidth="1"/>
    <col min="18" max="18" width="10.88671875" style="25" customWidth="1"/>
    <col min="19" max="19" width="10.109375" style="25" customWidth="1"/>
    <col min="20" max="20" width="11" style="25" customWidth="1"/>
    <col min="21" max="21" width="11.88671875" style="25" customWidth="1"/>
    <col min="22" max="22" width="15.3320312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1" t="s">
        <v>40</v>
      </c>
      <c r="C1" s="3"/>
      <c r="D1" s="3"/>
      <c r="E1" s="4"/>
      <c r="F1" s="4"/>
      <c r="G1" s="1"/>
      <c r="H1" s="1"/>
      <c r="I1" s="3" t="s">
        <v>21</v>
      </c>
      <c r="J1" s="7">
        <v>31</v>
      </c>
      <c r="K1" s="60" t="s">
        <v>44</v>
      </c>
      <c r="L1" s="5"/>
      <c r="M1" s="5"/>
      <c r="N1" s="5"/>
      <c r="O1" s="47"/>
      <c r="P1" s="5"/>
      <c r="Q1" s="24"/>
      <c r="R1" s="2"/>
      <c r="S1" s="28"/>
      <c r="T1" s="28"/>
      <c r="U1" s="28"/>
      <c r="V1" s="67"/>
      <c r="W1" s="93"/>
      <c r="X1" s="35"/>
      <c r="Y1" s="35"/>
    </row>
    <row r="2" spans="2:25" x14ac:dyDescent="0.25">
      <c r="B2" s="42" t="s">
        <v>38</v>
      </c>
      <c r="C2" s="42"/>
      <c r="D2" s="42"/>
      <c r="E2" s="4"/>
      <c r="F2" s="4"/>
      <c r="G2" s="1"/>
      <c r="H2" s="1"/>
      <c r="I2" s="3"/>
      <c r="J2" s="7"/>
      <c r="K2" s="60" t="s">
        <v>45</v>
      </c>
      <c r="L2" s="5"/>
      <c r="M2" s="5"/>
      <c r="N2" s="5"/>
      <c r="O2" s="47"/>
      <c r="P2" s="5"/>
      <c r="Q2" s="24"/>
      <c r="R2" s="2"/>
      <c r="S2" s="28"/>
      <c r="T2" s="28"/>
      <c r="U2" s="28"/>
      <c r="V2" s="67"/>
      <c r="W2" s="93"/>
      <c r="X2" s="35"/>
      <c r="Y2" s="35"/>
    </row>
    <row r="3" spans="2:25" x14ac:dyDescent="0.25">
      <c r="B3" s="43" t="s">
        <v>39</v>
      </c>
      <c r="C3" s="43"/>
      <c r="D3" s="43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7"/>
      <c r="P3" s="31" t="s">
        <v>3</v>
      </c>
      <c r="Q3" s="24"/>
      <c r="R3" s="2"/>
      <c r="S3" s="28"/>
      <c r="T3" s="28"/>
      <c r="U3" s="28"/>
      <c r="V3" s="67"/>
      <c r="W3" s="93"/>
      <c r="X3" s="35"/>
      <c r="Y3" s="35"/>
    </row>
    <row r="4" spans="2:25" x14ac:dyDescent="0.25">
      <c r="B4" s="44"/>
      <c r="C4" s="45"/>
      <c r="D4" s="45"/>
      <c r="E4" s="4"/>
      <c r="F4" s="4"/>
      <c r="G4" s="32"/>
      <c r="H4" s="1"/>
      <c r="I4" s="32"/>
      <c r="J4" s="8"/>
      <c r="K4" s="32"/>
      <c r="L4" s="5"/>
      <c r="M4" s="32"/>
      <c r="N4" s="2"/>
      <c r="O4" s="47"/>
      <c r="P4" s="2"/>
      <c r="Q4" s="24"/>
      <c r="R4" s="2"/>
      <c r="S4" s="28"/>
      <c r="T4" s="33"/>
      <c r="U4" s="33"/>
      <c r="V4" s="68"/>
      <c r="W4" s="93"/>
      <c r="X4" s="35"/>
      <c r="Y4" s="35"/>
    </row>
    <row r="5" spans="2:25" x14ac:dyDescent="0.25">
      <c r="B5" s="1" t="s">
        <v>46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7"/>
      <c r="P5" s="2"/>
      <c r="Q5" s="24"/>
      <c r="R5" s="2"/>
      <c r="S5" s="28"/>
      <c r="T5" s="33"/>
      <c r="U5" s="33"/>
      <c r="V5" s="68"/>
      <c r="W5" s="93"/>
      <c r="X5" s="35"/>
      <c r="Y5" s="35"/>
    </row>
    <row r="6" spans="2:25" x14ac:dyDescent="0.25">
      <c r="B6" s="1"/>
      <c r="C6" s="3"/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7"/>
      <c r="P6" s="2"/>
      <c r="Q6" s="24"/>
      <c r="R6" s="2"/>
      <c r="S6" s="28"/>
      <c r="T6" s="33"/>
      <c r="U6" s="33"/>
      <c r="V6" s="68"/>
      <c r="W6" s="93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7"/>
      <c r="P7" s="2"/>
      <c r="Q7" s="24"/>
      <c r="R7" s="2"/>
      <c r="S7" s="28"/>
      <c r="T7" s="33"/>
      <c r="U7" s="33"/>
      <c r="V7" s="68"/>
      <c r="W7" s="93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7"/>
      <c r="P8" s="2"/>
      <c r="Q8" s="24"/>
      <c r="R8" s="2"/>
      <c r="S8" s="28"/>
      <c r="T8" s="33"/>
      <c r="U8" s="33"/>
      <c r="V8" s="68"/>
      <c r="W8" s="93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7"/>
      <c r="P9" s="2"/>
      <c r="Q9" s="24"/>
      <c r="R9" s="2"/>
      <c r="S9" s="28"/>
      <c r="T9" s="33"/>
      <c r="U9" s="33"/>
      <c r="V9" s="68"/>
      <c r="W9" s="93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7"/>
      <c r="P10" s="2"/>
      <c r="Q10" s="24"/>
      <c r="R10" s="2"/>
      <c r="S10" s="28"/>
      <c r="T10" s="33"/>
      <c r="U10" s="33"/>
      <c r="V10" s="68"/>
      <c r="W10" s="93"/>
      <c r="X10" s="35"/>
      <c r="Y10" s="35"/>
    </row>
    <row r="11" spans="2:25" s="103" customFormat="1" x14ac:dyDescent="0.25">
      <c r="B11" s="146" t="s">
        <v>4</v>
      </c>
      <c r="C11" s="147" t="s">
        <v>5</v>
      </c>
      <c r="D11" s="147" t="s">
        <v>6</v>
      </c>
      <c r="E11" s="148" t="s">
        <v>7</v>
      </c>
      <c r="F11" s="148"/>
      <c r="G11" s="146" t="s">
        <v>8</v>
      </c>
      <c r="H11" s="146" t="s">
        <v>9</v>
      </c>
      <c r="I11" s="147" t="s">
        <v>10</v>
      </c>
      <c r="J11" s="149" t="s">
        <v>11</v>
      </c>
      <c r="K11" s="147" t="s">
        <v>12</v>
      </c>
      <c r="L11" s="147" t="s">
        <v>13</v>
      </c>
      <c r="M11" s="147" t="s">
        <v>14</v>
      </c>
      <c r="N11" s="147" t="s">
        <v>15</v>
      </c>
      <c r="O11" s="147" t="s">
        <v>315</v>
      </c>
      <c r="P11" s="150" t="s">
        <v>16</v>
      </c>
      <c r="Q11" s="151" t="s">
        <v>18</v>
      </c>
      <c r="R11" s="147" t="s">
        <v>19</v>
      </c>
      <c r="S11" s="146" t="s">
        <v>20</v>
      </c>
      <c r="T11" s="152" t="s">
        <v>316</v>
      </c>
      <c r="U11" s="152" t="s">
        <v>317</v>
      </c>
      <c r="V11" s="36"/>
      <c r="W11" s="36"/>
    </row>
    <row r="12" spans="2:25" s="103" customFormat="1" x14ac:dyDescent="0.25">
      <c r="B12" s="1" t="s">
        <v>318</v>
      </c>
      <c r="C12" s="3" t="s">
        <v>319</v>
      </c>
      <c r="D12" s="3" t="s">
        <v>320</v>
      </c>
      <c r="E12" s="4">
        <v>36526</v>
      </c>
      <c r="F12" s="4">
        <v>36556</v>
      </c>
      <c r="G12" s="1" t="s">
        <v>321</v>
      </c>
      <c r="H12" s="1" t="s">
        <v>322</v>
      </c>
      <c r="I12" s="3" t="s">
        <v>323</v>
      </c>
      <c r="J12" s="8">
        <f>6.5854*0.0328767</f>
        <v>0.21650622018000001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153">
        <v>3.6900000000000002E-2</v>
      </c>
      <c r="Q12" s="24">
        <v>771058</v>
      </c>
      <c r="R12" s="3">
        <v>4000</v>
      </c>
      <c r="S12" s="9" t="s">
        <v>324</v>
      </c>
      <c r="T12" s="88">
        <f>J12*J$1*R12</f>
        <v>26846.771302320001</v>
      </c>
      <c r="U12" s="9"/>
      <c r="V12" s="36">
        <v>145308</v>
      </c>
      <c r="W12" s="36"/>
    </row>
    <row r="13" spans="2:25" s="103" customFormat="1" x14ac:dyDescent="0.25">
      <c r="B13" s="1"/>
      <c r="C13" s="3"/>
      <c r="D13" s="3"/>
      <c r="E13" s="4"/>
      <c r="F13" s="4"/>
      <c r="G13" s="1"/>
      <c r="H13" s="1"/>
      <c r="I13" s="3"/>
      <c r="J13" s="8"/>
      <c r="K13" s="5"/>
      <c r="L13" s="5"/>
      <c r="M13" s="5"/>
      <c r="N13" s="5"/>
      <c r="O13" s="5"/>
      <c r="P13" s="153"/>
      <c r="Q13" s="24"/>
      <c r="R13" s="3"/>
      <c r="S13" s="9"/>
      <c r="T13" s="9">
        <f>SUM(T12)</f>
        <v>26846.771302320001</v>
      </c>
      <c r="U13" s="9"/>
      <c r="V13" s="36"/>
      <c r="W13" s="36"/>
    </row>
    <row r="14" spans="2:25" x14ac:dyDescent="0.25">
      <c r="B14" s="16" t="s">
        <v>4</v>
      </c>
      <c r="C14" s="17" t="s">
        <v>5</v>
      </c>
      <c r="D14" s="17" t="s">
        <v>111</v>
      </c>
      <c r="E14" s="18" t="s">
        <v>7</v>
      </c>
      <c r="F14" s="18"/>
      <c r="G14" s="16" t="s">
        <v>8</v>
      </c>
      <c r="H14" s="16" t="s">
        <v>9</v>
      </c>
      <c r="I14" s="17" t="s">
        <v>61</v>
      </c>
      <c r="J14" s="19" t="s">
        <v>11</v>
      </c>
      <c r="K14" s="17" t="s">
        <v>12</v>
      </c>
      <c r="L14" s="17" t="s">
        <v>13</v>
      </c>
      <c r="M14" s="17" t="s">
        <v>14</v>
      </c>
      <c r="N14" s="17" t="s">
        <v>15</v>
      </c>
      <c r="O14" s="48" t="s">
        <v>16</v>
      </c>
      <c r="P14" s="17" t="s">
        <v>17</v>
      </c>
      <c r="Q14" s="20" t="s">
        <v>18</v>
      </c>
      <c r="R14" s="17" t="s">
        <v>19</v>
      </c>
      <c r="S14" s="16" t="s">
        <v>20</v>
      </c>
      <c r="T14" s="21" t="s">
        <v>60</v>
      </c>
      <c r="U14" s="21" t="s">
        <v>59</v>
      </c>
      <c r="V14" s="69" t="s">
        <v>36</v>
      </c>
      <c r="W14" s="95" t="s">
        <v>47</v>
      </c>
      <c r="X14" s="36"/>
      <c r="Y14" s="36"/>
    </row>
    <row r="15" spans="2:25" s="46" customFormat="1" x14ac:dyDescent="0.25">
      <c r="B15" s="42" t="s">
        <v>118</v>
      </c>
      <c r="C15" s="83" t="s">
        <v>34</v>
      </c>
      <c r="D15" s="83" t="s">
        <v>22</v>
      </c>
      <c r="E15" s="84">
        <v>35977</v>
      </c>
      <c r="F15" s="84">
        <v>36830</v>
      </c>
      <c r="G15" s="91" t="s">
        <v>112</v>
      </c>
      <c r="H15" s="42" t="s">
        <v>120</v>
      </c>
      <c r="I15" s="83" t="s">
        <v>113</v>
      </c>
      <c r="J15" s="66">
        <f>6.7854/J$1</f>
        <v>0.21888387096774195</v>
      </c>
      <c r="K15" s="85">
        <v>1.12E-2</v>
      </c>
      <c r="L15" s="85">
        <v>2.2000000000000001E-3</v>
      </c>
      <c r="M15" s="85">
        <v>7.1999999999999998E-3</v>
      </c>
      <c r="N15" s="85">
        <v>0</v>
      </c>
      <c r="O15" s="86">
        <v>1.11E-2</v>
      </c>
      <c r="P15" s="85">
        <f t="shared" ref="P15:P28" si="0">SUM(J15:N15)</f>
        <v>0.23948387096774196</v>
      </c>
      <c r="Q15" s="87">
        <v>770407</v>
      </c>
      <c r="R15" s="83">
        <v>69</v>
      </c>
      <c r="S15" s="42"/>
      <c r="T15" s="88">
        <f t="shared" ref="T15:T28" si="1">J15*J$1*R15</f>
        <v>468.19260000000003</v>
      </c>
      <c r="U15" s="88"/>
      <c r="V15" s="82">
        <v>142005</v>
      </c>
      <c r="W15" s="42"/>
      <c r="X15" s="89"/>
      <c r="Y15" s="89"/>
    </row>
    <row r="16" spans="2:25" s="46" customFormat="1" x14ac:dyDescent="0.25">
      <c r="B16" s="42" t="s">
        <v>118</v>
      </c>
      <c r="C16" s="83" t="s">
        <v>34</v>
      </c>
      <c r="D16" s="83" t="s">
        <v>22</v>
      </c>
      <c r="E16" s="84">
        <v>35977</v>
      </c>
      <c r="F16" s="84">
        <v>40117</v>
      </c>
      <c r="G16" s="91" t="s">
        <v>112</v>
      </c>
      <c r="H16" s="91" t="s">
        <v>119</v>
      </c>
      <c r="I16" s="83" t="s">
        <v>30</v>
      </c>
      <c r="J16" s="66">
        <f t="shared" ref="J16:J28" si="2">6.7854/J$1</f>
        <v>0.21888387096774195</v>
      </c>
      <c r="K16" s="85">
        <v>1.12E-2</v>
      </c>
      <c r="L16" s="85">
        <v>2.2000000000000001E-3</v>
      </c>
      <c r="M16" s="85">
        <v>7.1999999999999998E-3</v>
      </c>
      <c r="N16" s="85">
        <v>0</v>
      </c>
      <c r="O16" s="86">
        <v>1.11E-2</v>
      </c>
      <c r="P16" s="85">
        <f t="shared" si="0"/>
        <v>0.23948387096774196</v>
      </c>
      <c r="Q16" s="87">
        <v>770409</v>
      </c>
      <c r="R16" s="83">
        <v>64</v>
      </c>
      <c r="S16" s="42"/>
      <c r="T16" s="88">
        <f t="shared" si="1"/>
        <v>434.26560000000001</v>
      </c>
      <c r="U16" s="88"/>
      <c r="V16" s="82">
        <v>142007</v>
      </c>
      <c r="W16" s="42"/>
      <c r="X16" s="89"/>
      <c r="Y16" s="89"/>
    </row>
    <row r="17" spans="2:25" s="46" customFormat="1" x14ac:dyDescent="0.25">
      <c r="B17" s="42" t="s">
        <v>118</v>
      </c>
      <c r="C17" s="83" t="s">
        <v>34</v>
      </c>
      <c r="D17" s="83" t="s">
        <v>22</v>
      </c>
      <c r="E17" s="84">
        <v>35977</v>
      </c>
      <c r="F17" s="84">
        <v>41213</v>
      </c>
      <c r="G17" s="91" t="s">
        <v>121</v>
      </c>
      <c r="H17" s="91" t="s">
        <v>119</v>
      </c>
      <c r="I17" s="83" t="s">
        <v>117</v>
      </c>
      <c r="J17" s="66">
        <f t="shared" si="2"/>
        <v>0.21888387096774195</v>
      </c>
      <c r="K17" s="85">
        <v>1.12E-2</v>
      </c>
      <c r="L17" s="85">
        <v>2.2000000000000001E-3</v>
      </c>
      <c r="M17" s="85">
        <v>7.1999999999999998E-3</v>
      </c>
      <c r="N17" s="85">
        <v>0</v>
      </c>
      <c r="O17" s="86">
        <v>1.11E-2</v>
      </c>
      <c r="P17" s="85">
        <f t="shared" si="0"/>
        <v>0.23948387096774196</v>
      </c>
      <c r="Q17" s="87">
        <v>770412</v>
      </c>
      <c r="R17" s="83">
        <v>46</v>
      </c>
      <c r="S17" s="42"/>
      <c r="T17" s="88">
        <f t="shared" si="1"/>
        <v>312.1284</v>
      </c>
      <c r="U17" s="88"/>
      <c r="V17" s="82">
        <v>142009</v>
      </c>
      <c r="W17" s="42"/>
      <c r="X17" s="89"/>
      <c r="Y17" s="89"/>
    </row>
    <row r="18" spans="2:25" s="46" customFormat="1" x14ac:dyDescent="0.25">
      <c r="B18" s="42" t="s">
        <v>118</v>
      </c>
      <c r="C18" s="83" t="s">
        <v>34</v>
      </c>
      <c r="D18" s="83" t="s">
        <v>22</v>
      </c>
      <c r="E18" s="84">
        <v>36130</v>
      </c>
      <c r="F18" s="84">
        <v>36830</v>
      </c>
      <c r="G18" s="91" t="s">
        <v>112</v>
      </c>
      <c r="H18" s="91" t="s">
        <v>122</v>
      </c>
      <c r="I18" s="83" t="s">
        <v>113</v>
      </c>
      <c r="J18" s="66">
        <f t="shared" si="2"/>
        <v>0.21888387096774195</v>
      </c>
      <c r="K18" s="85">
        <v>1.12E-2</v>
      </c>
      <c r="L18" s="85">
        <v>2.2000000000000001E-3</v>
      </c>
      <c r="M18" s="85">
        <v>7.1999999999999998E-3</v>
      </c>
      <c r="N18" s="85">
        <v>0</v>
      </c>
      <c r="O18" s="86">
        <v>1.11E-2</v>
      </c>
      <c r="P18" s="85">
        <f t="shared" si="0"/>
        <v>0.23948387096774196</v>
      </c>
      <c r="Q18" s="87">
        <v>770612</v>
      </c>
      <c r="R18" s="83">
        <v>12</v>
      </c>
      <c r="S18" s="42"/>
      <c r="T18" s="88">
        <f t="shared" si="1"/>
        <v>81.424800000000005</v>
      </c>
      <c r="U18" s="88"/>
      <c r="V18" s="82">
        <v>142010</v>
      </c>
      <c r="W18" s="42"/>
      <c r="X18" s="89"/>
      <c r="Y18" s="89"/>
    </row>
    <row r="19" spans="2:25" s="46" customFormat="1" x14ac:dyDescent="0.25">
      <c r="B19" s="42" t="s">
        <v>118</v>
      </c>
      <c r="C19" s="83" t="s">
        <v>34</v>
      </c>
      <c r="D19" s="83" t="s">
        <v>22</v>
      </c>
      <c r="E19" s="84">
        <v>36130</v>
      </c>
      <c r="F19" s="84">
        <v>40117</v>
      </c>
      <c r="G19" s="91" t="s">
        <v>112</v>
      </c>
      <c r="H19" s="91">
        <v>0</v>
      </c>
      <c r="I19" s="83" t="s">
        <v>30</v>
      </c>
      <c r="J19" s="66">
        <f t="shared" si="2"/>
        <v>0.21888387096774195</v>
      </c>
      <c r="K19" s="85">
        <v>1.12E-2</v>
      </c>
      <c r="L19" s="85">
        <v>2.2000000000000001E-3</v>
      </c>
      <c r="M19" s="85">
        <v>7.1999999999999998E-3</v>
      </c>
      <c r="N19" s="85">
        <v>0</v>
      </c>
      <c r="O19" s="86">
        <v>1.11E-2</v>
      </c>
      <c r="P19" s="85">
        <f t="shared" si="0"/>
        <v>0.23948387096774196</v>
      </c>
      <c r="Q19" s="87">
        <v>770614</v>
      </c>
      <c r="R19" s="83">
        <v>11</v>
      </c>
      <c r="S19" s="42"/>
      <c r="T19" s="88">
        <f t="shared" si="1"/>
        <v>74.639399999999995</v>
      </c>
      <c r="U19" s="88"/>
      <c r="V19" s="82">
        <v>142012</v>
      </c>
      <c r="W19" s="42"/>
      <c r="X19" s="89"/>
      <c r="Y19" s="89"/>
    </row>
    <row r="20" spans="2:25" s="46" customFormat="1" x14ac:dyDescent="0.25">
      <c r="B20" s="42" t="s">
        <v>118</v>
      </c>
      <c r="C20" s="83" t="s">
        <v>34</v>
      </c>
      <c r="D20" s="83" t="s">
        <v>22</v>
      </c>
      <c r="E20" s="84">
        <v>36130</v>
      </c>
      <c r="F20" s="84">
        <v>41213</v>
      </c>
      <c r="G20" s="91" t="s">
        <v>121</v>
      </c>
      <c r="H20" s="91" t="s">
        <v>119</v>
      </c>
      <c r="I20" s="83" t="s">
        <v>117</v>
      </c>
      <c r="J20" s="66">
        <f t="shared" si="2"/>
        <v>0.21888387096774195</v>
      </c>
      <c r="K20" s="85">
        <v>1.12E-2</v>
      </c>
      <c r="L20" s="85">
        <v>2.2000000000000001E-3</v>
      </c>
      <c r="M20" s="85">
        <v>7.1999999999999998E-3</v>
      </c>
      <c r="N20" s="85">
        <v>0</v>
      </c>
      <c r="O20" s="86">
        <v>1.11E-2</v>
      </c>
      <c r="P20" s="85">
        <f t="shared" si="0"/>
        <v>0.23948387096774196</v>
      </c>
      <c r="Q20" s="87">
        <v>770617</v>
      </c>
      <c r="R20" s="83">
        <v>8</v>
      </c>
      <c r="S20" s="42"/>
      <c r="T20" s="88">
        <f t="shared" si="1"/>
        <v>54.283200000000001</v>
      </c>
      <c r="U20" s="88"/>
      <c r="V20" s="82">
        <v>142013</v>
      </c>
      <c r="W20" s="42"/>
      <c r="X20" s="89"/>
      <c r="Y20" s="89"/>
    </row>
    <row r="21" spans="2:25" s="46" customFormat="1" x14ac:dyDescent="0.25">
      <c r="B21" s="42" t="s">
        <v>118</v>
      </c>
      <c r="C21" s="83" t="s">
        <v>34</v>
      </c>
      <c r="D21" s="83" t="s">
        <v>22</v>
      </c>
      <c r="E21" s="84">
        <v>35855</v>
      </c>
      <c r="F21" s="84">
        <v>41213</v>
      </c>
      <c r="G21" s="91" t="s">
        <v>121</v>
      </c>
      <c r="H21" s="91" t="s">
        <v>119</v>
      </c>
      <c r="I21" s="83" t="s">
        <v>117</v>
      </c>
      <c r="J21" s="66">
        <f t="shared" si="2"/>
        <v>0.21888387096774195</v>
      </c>
      <c r="K21" s="85">
        <v>1.12E-2</v>
      </c>
      <c r="L21" s="85">
        <v>2.2000000000000001E-3</v>
      </c>
      <c r="M21" s="85">
        <v>7.1999999999999998E-3</v>
      </c>
      <c r="N21" s="85">
        <v>0</v>
      </c>
      <c r="O21" s="86">
        <v>1.11E-2</v>
      </c>
      <c r="P21" s="85">
        <f t="shared" si="0"/>
        <v>0.23948387096774196</v>
      </c>
      <c r="Q21" s="87">
        <v>770729</v>
      </c>
      <c r="R21" s="83">
        <v>15</v>
      </c>
      <c r="S21" s="42"/>
      <c r="T21" s="88">
        <f t="shared" si="1"/>
        <v>101.78100000000001</v>
      </c>
      <c r="U21" s="88"/>
      <c r="V21" s="82">
        <v>142015</v>
      </c>
      <c r="W21" s="42"/>
      <c r="X21" s="89"/>
      <c r="Y21" s="89"/>
    </row>
    <row r="22" spans="2:25" s="46" customFormat="1" x14ac:dyDescent="0.25">
      <c r="B22" s="42" t="s">
        <v>118</v>
      </c>
      <c r="C22" s="83" t="s">
        <v>34</v>
      </c>
      <c r="D22" s="83" t="s">
        <v>22</v>
      </c>
      <c r="E22" s="84">
        <v>35855</v>
      </c>
      <c r="F22" s="84">
        <v>40117</v>
      </c>
      <c r="G22" s="91" t="s">
        <v>112</v>
      </c>
      <c r="H22" s="91" t="s">
        <v>119</v>
      </c>
      <c r="I22" s="83" t="s">
        <v>30</v>
      </c>
      <c r="J22" s="66">
        <f t="shared" si="2"/>
        <v>0.21888387096774195</v>
      </c>
      <c r="K22" s="85">
        <v>1.12E-2</v>
      </c>
      <c r="L22" s="85">
        <v>2.2000000000000001E-3</v>
      </c>
      <c r="M22" s="85">
        <v>7.1999999999999998E-3</v>
      </c>
      <c r="N22" s="85">
        <v>0</v>
      </c>
      <c r="O22" s="86">
        <v>1.11E-2</v>
      </c>
      <c r="P22" s="85">
        <f t="shared" si="0"/>
        <v>0.23948387096774196</v>
      </c>
      <c r="Q22" s="87">
        <v>770732</v>
      </c>
      <c r="R22" s="83">
        <v>21</v>
      </c>
      <c r="S22" s="42"/>
      <c r="T22" s="88">
        <f t="shared" si="1"/>
        <v>142.49340000000001</v>
      </c>
      <c r="U22" s="88"/>
      <c r="V22" s="82">
        <v>142016</v>
      </c>
      <c r="W22" s="42"/>
      <c r="X22" s="89"/>
      <c r="Y22" s="89"/>
    </row>
    <row r="23" spans="2:25" s="46" customFormat="1" x14ac:dyDescent="0.25">
      <c r="B23" s="42" t="s">
        <v>118</v>
      </c>
      <c r="C23" s="83" t="s">
        <v>34</v>
      </c>
      <c r="D23" s="83" t="s">
        <v>22</v>
      </c>
      <c r="E23" s="84">
        <v>35855</v>
      </c>
      <c r="F23" s="84">
        <v>36830</v>
      </c>
      <c r="G23" s="91" t="s">
        <v>112</v>
      </c>
      <c r="H23" s="42" t="s">
        <v>120</v>
      </c>
      <c r="I23" s="83" t="s">
        <v>113</v>
      </c>
      <c r="J23" s="66">
        <f t="shared" si="2"/>
        <v>0.21888387096774195</v>
      </c>
      <c r="K23" s="85">
        <v>1.12E-2</v>
      </c>
      <c r="L23" s="85">
        <v>2.2000000000000001E-3</v>
      </c>
      <c r="M23" s="85">
        <v>7.1999999999999998E-3</v>
      </c>
      <c r="N23" s="85">
        <v>0</v>
      </c>
      <c r="O23" s="86">
        <v>1.11E-2</v>
      </c>
      <c r="P23" s="85">
        <f t="shared" si="0"/>
        <v>0.23948387096774196</v>
      </c>
      <c r="Q23" s="87">
        <v>770734</v>
      </c>
      <c r="R23" s="83">
        <v>23</v>
      </c>
      <c r="S23" s="42"/>
      <c r="T23" s="88">
        <f t="shared" si="1"/>
        <v>156.0642</v>
      </c>
      <c r="U23" s="88"/>
      <c r="V23" s="82">
        <v>142018</v>
      </c>
      <c r="W23" s="42"/>
      <c r="X23" s="89"/>
      <c r="Y23" s="89"/>
    </row>
    <row r="24" spans="2:25" s="46" customFormat="1" x14ac:dyDescent="0.25">
      <c r="B24" s="42" t="s">
        <v>118</v>
      </c>
      <c r="C24" s="83" t="s">
        <v>34</v>
      </c>
      <c r="D24" s="83" t="s">
        <v>22</v>
      </c>
      <c r="E24" s="84">
        <v>36465</v>
      </c>
      <c r="F24" s="84">
        <v>36830</v>
      </c>
      <c r="G24" s="91" t="s">
        <v>112</v>
      </c>
      <c r="H24" s="91" t="s">
        <v>123</v>
      </c>
      <c r="I24" s="83" t="s">
        <v>29</v>
      </c>
      <c r="J24" s="66">
        <f t="shared" si="2"/>
        <v>0.21888387096774195</v>
      </c>
      <c r="K24" s="85">
        <v>1.12E-2</v>
      </c>
      <c r="L24" s="85">
        <v>2.2000000000000001E-3</v>
      </c>
      <c r="M24" s="85">
        <v>7.1999999999999998E-3</v>
      </c>
      <c r="N24" s="85">
        <v>0</v>
      </c>
      <c r="O24" s="86">
        <v>1.11E-2</v>
      </c>
      <c r="P24" s="85">
        <f t="shared" si="0"/>
        <v>0.23948387096774196</v>
      </c>
      <c r="Q24" s="87">
        <v>770990</v>
      </c>
      <c r="R24" s="83">
        <v>11</v>
      </c>
      <c r="S24" s="42"/>
      <c r="T24" s="88">
        <f t="shared" si="1"/>
        <v>74.639399999999995</v>
      </c>
      <c r="U24" s="88"/>
      <c r="V24" s="82">
        <v>142020</v>
      </c>
      <c r="W24" s="42"/>
      <c r="X24" s="89"/>
      <c r="Y24" s="89"/>
    </row>
    <row r="25" spans="2:25" s="46" customFormat="1" x14ac:dyDescent="0.25">
      <c r="B25" s="42" t="s">
        <v>118</v>
      </c>
      <c r="C25" s="83" t="s">
        <v>34</v>
      </c>
      <c r="D25" s="83" t="s">
        <v>22</v>
      </c>
      <c r="E25" s="84">
        <v>36465</v>
      </c>
      <c r="F25" s="84">
        <v>39021</v>
      </c>
      <c r="G25" s="91" t="s">
        <v>112</v>
      </c>
      <c r="H25" s="91" t="s">
        <v>124</v>
      </c>
      <c r="I25" s="83" t="s">
        <v>29</v>
      </c>
      <c r="J25" s="66">
        <f t="shared" si="2"/>
        <v>0.21888387096774195</v>
      </c>
      <c r="K25" s="85">
        <v>1.12E-2</v>
      </c>
      <c r="L25" s="85">
        <v>2.2000000000000001E-3</v>
      </c>
      <c r="M25" s="85">
        <v>7.1999999999999998E-3</v>
      </c>
      <c r="N25" s="85">
        <v>0</v>
      </c>
      <c r="O25" s="86">
        <v>1.11E-2</v>
      </c>
      <c r="P25" s="85">
        <f t="shared" si="0"/>
        <v>0.23948387096774196</v>
      </c>
      <c r="Q25" s="87">
        <v>770991</v>
      </c>
      <c r="R25" s="83">
        <v>73</v>
      </c>
      <c r="S25" s="42"/>
      <c r="T25" s="88">
        <f t="shared" si="1"/>
        <v>495.33420000000001</v>
      </c>
      <c r="U25" s="88"/>
      <c r="V25" s="82">
        <v>142022</v>
      </c>
      <c r="W25" s="42"/>
      <c r="X25" s="89"/>
      <c r="Y25" s="89"/>
    </row>
    <row r="26" spans="2:25" s="46" customFormat="1" x14ac:dyDescent="0.25">
      <c r="B26" s="42" t="s">
        <v>118</v>
      </c>
      <c r="C26" s="83" t="s">
        <v>34</v>
      </c>
      <c r="D26" s="83" t="s">
        <v>22</v>
      </c>
      <c r="E26" s="84">
        <v>36465</v>
      </c>
      <c r="F26" s="84">
        <v>38656</v>
      </c>
      <c r="G26" s="91" t="s">
        <v>212</v>
      </c>
      <c r="H26" s="91" t="s">
        <v>125</v>
      </c>
      <c r="I26" s="83" t="s">
        <v>29</v>
      </c>
      <c r="J26" s="66">
        <f t="shared" si="2"/>
        <v>0.21888387096774195</v>
      </c>
      <c r="K26" s="85">
        <v>1.12E-2</v>
      </c>
      <c r="L26" s="85">
        <v>2.2000000000000001E-3</v>
      </c>
      <c r="M26" s="85">
        <v>7.1999999999999998E-3</v>
      </c>
      <c r="N26" s="85">
        <v>0</v>
      </c>
      <c r="O26" s="86">
        <v>1.11E-2</v>
      </c>
      <c r="P26" s="85">
        <f t="shared" si="0"/>
        <v>0.23948387096774196</v>
      </c>
      <c r="Q26" s="87">
        <v>770992</v>
      </c>
      <c r="R26" s="83">
        <v>158</v>
      </c>
      <c r="S26" s="42"/>
      <c r="T26" s="88">
        <f t="shared" si="1"/>
        <v>1072.0932</v>
      </c>
      <c r="U26" s="88"/>
      <c r="V26" s="82">
        <v>142024</v>
      </c>
      <c r="W26" s="42"/>
      <c r="X26" s="89"/>
      <c r="Y26" s="89"/>
    </row>
    <row r="27" spans="2:25" s="46" customFormat="1" x14ac:dyDescent="0.25">
      <c r="B27" s="42" t="s">
        <v>118</v>
      </c>
      <c r="C27" s="83" t="s">
        <v>34</v>
      </c>
      <c r="D27" s="83" t="s">
        <v>22</v>
      </c>
      <c r="E27" s="84">
        <v>36465</v>
      </c>
      <c r="F27" s="84">
        <v>38656</v>
      </c>
      <c r="G27" s="91" t="s">
        <v>112</v>
      </c>
      <c r="H27" s="42" t="s">
        <v>120</v>
      </c>
      <c r="I27" s="83" t="s">
        <v>29</v>
      </c>
      <c r="J27" s="66">
        <f t="shared" si="2"/>
        <v>0.21888387096774195</v>
      </c>
      <c r="K27" s="85">
        <v>1.12E-2</v>
      </c>
      <c r="L27" s="85">
        <v>2.2000000000000001E-3</v>
      </c>
      <c r="M27" s="85">
        <v>7.1999999999999998E-3</v>
      </c>
      <c r="N27" s="85">
        <v>0</v>
      </c>
      <c r="O27" s="86">
        <v>1.11E-2</v>
      </c>
      <c r="P27" s="85">
        <f t="shared" si="0"/>
        <v>0.23948387096774196</v>
      </c>
      <c r="Q27" s="87">
        <v>770993</v>
      </c>
      <c r="R27" s="83">
        <v>264</v>
      </c>
      <c r="S27" s="42"/>
      <c r="T27" s="88">
        <f t="shared" si="1"/>
        <v>1791.3456000000001</v>
      </c>
      <c r="U27" s="88"/>
      <c r="V27" s="82">
        <v>142025</v>
      </c>
      <c r="W27" s="42"/>
      <c r="X27" s="89"/>
      <c r="Y27" s="89"/>
    </row>
    <row r="28" spans="2:25" s="46" customFormat="1" x14ac:dyDescent="0.25">
      <c r="B28" s="42" t="s">
        <v>118</v>
      </c>
      <c r="C28" s="83" t="s">
        <v>34</v>
      </c>
      <c r="D28" s="83" t="s">
        <v>114</v>
      </c>
      <c r="E28" s="84">
        <v>36479</v>
      </c>
      <c r="F28" s="84">
        <v>36676</v>
      </c>
      <c r="G28" s="91" t="s">
        <v>115</v>
      </c>
      <c r="H28" s="91" t="s">
        <v>116</v>
      </c>
      <c r="I28" s="83" t="s">
        <v>117</v>
      </c>
      <c r="J28" s="66">
        <f t="shared" si="2"/>
        <v>0.21888387096774195</v>
      </c>
      <c r="K28" s="85">
        <v>1.12E-2</v>
      </c>
      <c r="L28" s="85">
        <v>2.2000000000000001E-3</v>
      </c>
      <c r="M28" s="85">
        <v>7.1999999999999998E-3</v>
      </c>
      <c r="N28" s="85">
        <v>0</v>
      </c>
      <c r="O28" s="86">
        <v>1.11E-2</v>
      </c>
      <c r="P28" s="85">
        <f t="shared" si="0"/>
        <v>0.23948387096774196</v>
      </c>
      <c r="Q28" s="87">
        <v>771013</v>
      </c>
      <c r="R28" s="83">
        <v>69</v>
      </c>
      <c r="S28" s="42"/>
      <c r="T28" s="88">
        <f t="shared" si="1"/>
        <v>468.19260000000003</v>
      </c>
      <c r="U28" s="88"/>
      <c r="V28" s="82">
        <v>142030</v>
      </c>
      <c r="W28" s="42"/>
      <c r="X28" s="89"/>
      <c r="Y28" s="89"/>
    </row>
    <row r="29" spans="2:25" x14ac:dyDescent="0.25">
      <c r="B29" s="10" t="s">
        <v>3</v>
      </c>
      <c r="C29" s="11" t="s">
        <v>3</v>
      </c>
      <c r="D29" s="12" t="s">
        <v>3</v>
      </c>
      <c r="E29" s="13" t="s">
        <v>3</v>
      </c>
      <c r="F29" s="13"/>
      <c r="G29" s="10" t="s">
        <v>3</v>
      </c>
      <c r="H29" s="30" t="s">
        <v>3</v>
      </c>
      <c r="I29" s="11" t="s">
        <v>3</v>
      </c>
      <c r="J29" s="14"/>
      <c r="K29" s="15"/>
      <c r="L29" s="15"/>
      <c r="M29" s="15"/>
      <c r="N29" s="15"/>
      <c r="O29" s="49"/>
      <c r="P29" s="15"/>
      <c r="Q29" s="26" t="s">
        <v>3</v>
      </c>
      <c r="R29" s="11">
        <f>SUM(R15:R28)</f>
        <v>844</v>
      </c>
      <c r="S29" s="10" t="s">
        <v>3</v>
      </c>
      <c r="T29" s="22">
        <f>SUM(T15:T28)</f>
        <v>5726.8776000000016</v>
      </c>
      <c r="U29" s="22">
        <f>SUM(U15:U28)</f>
        <v>0</v>
      </c>
      <c r="V29" s="71"/>
      <c r="W29" s="10"/>
      <c r="X29" s="36"/>
      <c r="Y29" s="36"/>
    </row>
    <row r="30" spans="2:25" x14ac:dyDescent="0.25">
      <c r="B30" s="16" t="s">
        <v>4</v>
      </c>
      <c r="C30" s="17" t="s">
        <v>5</v>
      </c>
      <c r="D30" s="17" t="s">
        <v>111</v>
      </c>
      <c r="E30" s="18" t="s">
        <v>7</v>
      </c>
      <c r="F30" s="18"/>
      <c r="G30" s="16" t="s">
        <v>8</v>
      </c>
      <c r="H30" s="16" t="s">
        <v>9</v>
      </c>
      <c r="I30" s="17" t="s">
        <v>61</v>
      </c>
      <c r="J30" s="19" t="s">
        <v>11</v>
      </c>
      <c r="K30" s="17" t="s">
        <v>12</v>
      </c>
      <c r="L30" s="17" t="s">
        <v>13</v>
      </c>
      <c r="M30" s="17" t="s">
        <v>14</v>
      </c>
      <c r="N30" s="17" t="s">
        <v>15</v>
      </c>
      <c r="O30" s="48" t="s">
        <v>16</v>
      </c>
      <c r="P30" s="17" t="s">
        <v>17</v>
      </c>
      <c r="Q30" s="20" t="s">
        <v>18</v>
      </c>
      <c r="R30" s="17" t="s">
        <v>19</v>
      </c>
      <c r="S30" s="16" t="s">
        <v>20</v>
      </c>
      <c r="T30" s="21" t="s">
        <v>60</v>
      </c>
      <c r="U30" s="21" t="s">
        <v>59</v>
      </c>
      <c r="V30" s="69" t="s">
        <v>36</v>
      </c>
      <c r="W30" s="95" t="s">
        <v>47</v>
      </c>
      <c r="X30" s="36"/>
      <c r="Y30" s="36"/>
    </row>
    <row r="31" spans="2:25" s="46" customFormat="1" x14ac:dyDescent="0.25">
      <c r="B31" s="42" t="s">
        <v>118</v>
      </c>
      <c r="C31" s="83" t="s">
        <v>28</v>
      </c>
      <c r="D31" s="83" t="s">
        <v>143</v>
      </c>
      <c r="E31" s="84">
        <v>36526</v>
      </c>
      <c r="F31" s="84">
        <v>36556</v>
      </c>
      <c r="G31" s="42" t="s">
        <v>132</v>
      </c>
      <c r="H31" s="42" t="s">
        <v>144</v>
      </c>
      <c r="I31" s="83" t="s">
        <v>128</v>
      </c>
      <c r="J31" s="66">
        <f>5.75/J$1</f>
        <v>0.18548387096774194</v>
      </c>
      <c r="K31" s="85">
        <v>4.3400000000000001E-2</v>
      </c>
      <c r="L31" s="85">
        <v>2.2000000000000001E-3</v>
      </c>
      <c r="M31" s="85">
        <v>0</v>
      </c>
      <c r="N31" s="85">
        <v>0</v>
      </c>
      <c r="O31" s="86">
        <v>2.2800000000000001E-2</v>
      </c>
      <c r="P31" s="85">
        <f t="shared" ref="P31:P39" si="3">SUM(J31:N31)</f>
        <v>0.23108387096774194</v>
      </c>
      <c r="Q31" s="87" t="s">
        <v>246</v>
      </c>
      <c r="R31" s="83">
        <v>420</v>
      </c>
      <c r="S31" s="42" t="s">
        <v>248</v>
      </c>
      <c r="T31" s="88">
        <f t="shared" ref="T31:T36" si="4">J31*J$1*R31</f>
        <v>2415</v>
      </c>
      <c r="U31" s="88"/>
      <c r="V31" s="82">
        <v>144296</v>
      </c>
      <c r="W31" s="42"/>
      <c r="X31" s="89"/>
      <c r="Y31" s="89"/>
    </row>
    <row r="32" spans="2:25" s="46" customFormat="1" x14ac:dyDescent="0.25">
      <c r="B32" s="42" t="s">
        <v>118</v>
      </c>
      <c r="C32" s="83" t="s">
        <v>28</v>
      </c>
      <c r="D32" s="83" t="s">
        <v>143</v>
      </c>
      <c r="E32" s="84">
        <v>36526</v>
      </c>
      <c r="F32" s="84">
        <v>36556</v>
      </c>
      <c r="G32" s="42" t="s">
        <v>132</v>
      </c>
      <c r="H32" s="42" t="s">
        <v>144</v>
      </c>
      <c r="I32" s="83" t="s">
        <v>128</v>
      </c>
      <c r="J32" s="66">
        <f>5.75/J$1</f>
        <v>0.18548387096774194</v>
      </c>
      <c r="K32" s="85">
        <v>4.3400000000000001E-2</v>
      </c>
      <c r="L32" s="85">
        <v>2.2000000000000001E-3</v>
      </c>
      <c r="M32" s="85">
        <v>0</v>
      </c>
      <c r="N32" s="85">
        <v>0</v>
      </c>
      <c r="O32" s="86">
        <v>2.2800000000000001E-2</v>
      </c>
      <c r="P32" s="85">
        <f t="shared" si="3"/>
        <v>0.23108387096774194</v>
      </c>
      <c r="Q32" s="87" t="s">
        <v>247</v>
      </c>
      <c r="R32" s="83">
        <v>476</v>
      </c>
      <c r="S32" s="42" t="s">
        <v>249</v>
      </c>
      <c r="T32" s="88">
        <f t="shared" si="4"/>
        <v>2737</v>
      </c>
      <c r="U32" s="88"/>
      <c r="V32" s="82">
        <v>144297</v>
      </c>
      <c r="W32" s="42"/>
      <c r="X32" s="89"/>
      <c r="Y32" s="89"/>
    </row>
    <row r="33" spans="1:25" s="46" customFormat="1" x14ac:dyDescent="0.25">
      <c r="B33" s="42" t="s">
        <v>118</v>
      </c>
      <c r="C33" s="83" t="s">
        <v>28</v>
      </c>
      <c r="D33" s="83" t="s">
        <v>22</v>
      </c>
      <c r="E33" s="84">
        <v>36220</v>
      </c>
      <c r="F33" s="84">
        <v>37711</v>
      </c>
      <c r="G33" s="91" t="s">
        <v>126</v>
      </c>
      <c r="H33" s="91" t="s">
        <v>127</v>
      </c>
      <c r="I33" s="83" t="s">
        <v>128</v>
      </c>
      <c r="J33" s="66">
        <f>5.627/J$1</f>
        <v>0.18151612903225806</v>
      </c>
      <c r="K33" s="85">
        <v>4.3400000000000001E-2</v>
      </c>
      <c r="L33" s="85">
        <v>2.2000000000000001E-3</v>
      </c>
      <c r="M33" s="85">
        <v>0</v>
      </c>
      <c r="N33" s="85">
        <v>0</v>
      </c>
      <c r="O33" s="86">
        <v>2.2800000000000001E-2</v>
      </c>
      <c r="P33" s="85">
        <f t="shared" si="3"/>
        <v>0.22711612903225806</v>
      </c>
      <c r="Q33" s="87" t="s">
        <v>129</v>
      </c>
      <c r="R33" s="83">
        <v>12</v>
      </c>
      <c r="S33" s="42" t="s">
        <v>130</v>
      </c>
      <c r="T33" s="88">
        <f t="shared" si="4"/>
        <v>67.524000000000001</v>
      </c>
      <c r="U33" s="88"/>
      <c r="V33" s="82">
        <v>142039</v>
      </c>
      <c r="W33" s="42"/>
      <c r="X33" s="89"/>
      <c r="Y33" s="89"/>
    </row>
    <row r="34" spans="1:25" s="46" customFormat="1" x14ac:dyDescent="0.25">
      <c r="B34" s="42" t="s">
        <v>118</v>
      </c>
      <c r="C34" s="83" t="s">
        <v>28</v>
      </c>
      <c r="D34" s="83" t="s">
        <v>22</v>
      </c>
      <c r="E34" s="84">
        <v>36220</v>
      </c>
      <c r="F34" s="84">
        <v>37711</v>
      </c>
      <c r="G34" s="91" t="s">
        <v>131</v>
      </c>
      <c r="H34" s="91" t="s">
        <v>127</v>
      </c>
      <c r="I34" s="83" t="s">
        <v>128</v>
      </c>
      <c r="J34" s="66">
        <f>5.627/J$1</f>
        <v>0.18151612903225806</v>
      </c>
      <c r="K34" s="85">
        <v>4.3400000000000001E-2</v>
      </c>
      <c r="L34" s="85">
        <v>2.2000000000000001E-3</v>
      </c>
      <c r="M34" s="85">
        <v>0</v>
      </c>
      <c r="N34" s="85">
        <v>0</v>
      </c>
      <c r="O34" s="86">
        <v>2.2800000000000001E-2</v>
      </c>
      <c r="P34" s="85">
        <f t="shared" si="3"/>
        <v>0.22711612903225806</v>
      </c>
      <c r="Q34" s="87" t="s">
        <v>129</v>
      </c>
      <c r="R34" s="83">
        <v>16</v>
      </c>
      <c r="S34" s="42" t="s">
        <v>130</v>
      </c>
      <c r="T34" s="88">
        <f t="shared" si="4"/>
        <v>90.031999999999996</v>
      </c>
      <c r="U34" s="88"/>
      <c r="V34" s="82">
        <v>142039</v>
      </c>
      <c r="W34" s="42"/>
      <c r="X34" s="89"/>
      <c r="Y34" s="89"/>
    </row>
    <row r="35" spans="1:25" s="46" customFormat="1" x14ac:dyDescent="0.25">
      <c r="B35" s="42" t="s">
        <v>118</v>
      </c>
      <c r="C35" s="83" t="s">
        <v>28</v>
      </c>
      <c r="D35" s="83" t="s">
        <v>22</v>
      </c>
      <c r="E35" s="84">
        <v>36220</v>
      </c>
      <c r="F35" s="84">
        <v>37711</v>
      </c>
      <c r="G35" s="91" t="s">
        <v>132</v>
      </c>
      <c r="H35" s="91" t="s">
        <v>127</v>
      </c>
      <c r="I35" s="83" t="s">
        <v>128</v>
      </c>
      <c r="J35" s="66">
        <f>5.627/J$1</f>
        <v>0.18151612903225806</v>
      </c>
      <c r="K35" s="85">
        <v>4.3400000000000001E-2</v>
      </c>
      <c r="L35" s="85">
        <v>2.2000000000000001E-3</v>
      </c>
      <c r="M35" s="85">
        <v>0</v>
      </c>
      <c r="N35" s="85">
        <v>0</v>
      </c>
      <c r="O35" s="86">
        <v>2.2800000000000001E-2</v>
      </c>
      <c r="P35" s="85">
        <f t="shared" si="3"/>
        <v>0.22711612903225806</v>
      </c>
      <c r="Q35" s="87" t="s">
        <v>129</v>
      </c>
      <c r="R35" s="83">
        <v>46</v>
      </c>
      <c r="S35" s="42" t="s">
        <v>130</v>
      </c>
      <c r="T35" s="88">
        <f t="shared" si="4"/>
        <v>258.84199999999998</v>
      </c>
      <c r="U35" s="88"/>
      <c r="V35" s="82">
        <v>142039</v>
      </c>
      <c r="W35" s="42"/>
      <c r="X35" s="89"/>
      <c r="Y35" s="89"/>
    </row>
    <row r="36" spans="1:25" s="46" customFormat="1" x14ac:dyDescent="0.25">
      <c r="B36" s="42" t="s">
        <v>118</v>
      </c>
      <c r="C36" s="83" t="s">
        <v>28</v>
      </c>
      <c r="D36" s="83" t="s">
        <v>22</v>
      </c>
      <c r="E36" s="84">
        <v>36220</v>
      </c>
      <c r="F36" s="84">
        <v>38807</v>
      </c>
      <c r="G36" s="42" t="s">
        <v>140</v>
      </c>
      <c r="H36" s="91"/>
      <c r="I36" s="83" t="s">
        <v>139</v>
      </c>
      <c r="J36" s="66">
        <f>1.8533/J$1</f>
        <v>5.9783870967741931E-2</v>
      </c>
      <c r="K36" s="85">
        <v>0</v>
      </c>
      <c r="L36" s="85">
        <v>0</v>
      </c>
      <c r="M36" s="85">
        <v>0</v>
      </c>
      <c r="N36" s="85">
        <v>0</v>
      </c>
      <c r="O36" s="86">
        <v>0</v>
      </c>
      <c r="P36" s="85">
        <f t="shared" si="3"/>
        <v>5.9783870967741931E-2</v>
      </c>
      <c r="Q36" s="87">
        <v>560042</v>
      </c>
      <c r="R36" s="83">
        <v>147</v>
      </c>
      <c r="S36" s="42" t="s">
        <v>142</v>
      </c>
      <c r="T36" s="92">
        <f t="shared" si="4"/>
        <v>272.43509999999998</v>
      </c>
      <c r="U36" s="88"/>
      <c r="V36" s="82">
        <v>142434</v>
      </c>
      <c r="W36" s="42"/>
      <c r="X36" s="89"/>
      <c r="Y36" s="89"/>
    </row>
    <row r="37" spans="1:25" s="46" customFormat="1" x14ac:dyDescent="0.25">
      <c r="B37" s="42" t="s">
        <v>118</v>
      </c>
      <c r="C37" s="83" t="s">
        <v>28</v>
      </c>
      <c r="D37" s="83" t="s">
        <v>22</v>
      </c>
      <c r="E37" s="84">
        <v>36220</v>
      </c>
      <c r="F37" s="84">
        <v>38807</v>
      </c>
      <c r="G37" s="42" t="s">
        <v>141</v>
      </c>
      <c r="H37" s="91"/>
      <c r="I37" s="83" t="s">
        <v>139</v>
      </c>
      <c r="J37" s="66">
        <v>1.37E-2</v>
      </c>
      <c r="K37" s="85">
        <v>0</v>
      </c>
      <c r="L37" s="85">
        <v>0</v>
      </c>
      <c r="M37" s="85">
        <v>0</v>
      </c>
      <c r="N37" s="85">
        <v>0</v>
      </c>
      <c r="O37" s="86">
        <v>0</v>
      </c>
      <c r="P37" s="85">
        <f t="shared" si="3"/>
        <v>1.37E-2</v>
      </c>
      <c r="Q37" s="87">
        <v>560042</v>
      </c>
      <c r="R37" s="83">
        <v>16275</v>
      </c>
      <c r="S37" s="42" t="s">
        <v>142</v>
      </c>
      <c r="T37" s="92">
        <f>+R37*J37</f>
        <v>222.9675</v>
      </c>
      <c r="U37" s="88"/>
      <c r="V37" s="82">
        <v>142434</v>
      </c>
      <c r="W37" s="42"/>
      <c r="X37" s="89"/>
      <c r="Y37" s="89"/>
    </row>
    <row r="38" spans="1:25" s="46" customFormat="1" x14ac:dyDescent="0.25">
      <c r="B38" s="42" t="s">
        <v>136</v>
      </c>
      <c r="C38" s="83" t="s">
        <v>28</v>
      </c>
      <c r="D38" s="83" t="s">
        <v>114</v>
      </c>
      <c r="E38" s="84">
        <v>36465</v>
      </c>
      <c r="F38" s="84">
        <v>36677</v>
      </c>
      <c r="G38" s="91" t="s">
        <v>132</v>
      </c>
      <c r="H38" s="91" t="s">
        <v>135</v>
      </c>
      <c r="I38" s="83" t="s">
        <v>128</v>
      </c>
      <c r="J38" s="66">
        <f>5.75/J$1</f>
        <v>0.18548387096774194</v>
      </c>
      <c r="K38" s="85">
        <v>4.3400000000000001E-2</v>
      </c>
      <c r="L38" s="85">
        <v>2.2000000000000001E-3</v>
      </c>
      <c r="M38" s="85">
        <v>0</v>
      </c>
      <c r="N38" s="85">
        <v>0</v>
      </c>
      <c r="O38" s="86">
        <v>2.2800000000000001E-2</v>
      </c>
      <c r="P38" s="85">
        <f t="shared" si="3"/>
        <v>0.23108387096774194</v>
      </c>
      <c r="Q38" s="87" t="s">
        <v>134</v>
      </c>
      <c r="R38" s="83">
        <v>186</v>
      </c>
      <c r="S38" s="42" t="s">
        <v>133</v>
      </c>
      <c r="T38" s="88">
        <f>J38*J$1*R38</f>
        <v>1069.5</v>
      </c>
      <c r="U38" s="88"/>
      <c r="V38" s="82">
        <v>142040</v>
      </c>
      <c r="W38" s="42"/>
      <c r="X38" s="89"/>
      <c r="Y38" s="89"/>
    </row>
    <row r="39" spans="1:25" s="46" customFormat="1" x14ac:dyDescent="0.25">
      <c r="B39" s="42" t="s">
        <v>136</v>
      </c>
      <c r="C39" s="83" t="s">
        <v>28</v>
      </c>
      <c r="D39" s="83" t="s">
        <v>114</v>
      </c>
      <c r="E39" s="84">
        <v>36495</v>
      </c>
      <c r="F39" s="84">
        <v>36616</v>
      </c>
      <c r="G39" s="91" t="s">
        <v>132</v>
      </c>
      <c r="H39" s="91" t="s">
        <v>135</v>
      </c>
      <c r="I39" s="83" t="s">
        <v>128</v>
      </c>
      <c r="J39" s="66">
        <f>5.75/J$1</f>
        <v>0.18548387096774194</v>
      </c>
      <c r="K39" s="85">
        <v>4.3400000000000001E-2</v>
      </c>
      <c r="L39" s="85">
        <v>2.2000000000000001E-3</v>
      </c>
      <c r="M39" s="85">
        <v>0</v>
      </c>
      <c r="N39" s="85">
        <v>0</v>
      </c>
      <c r="O39" s="86">
        <v>2.2800000000000001E-2</v>
      </c>
      <c r="P39" s="85">
        <f t="shared" si="3"/>
        <v>0.23108387096774194</v>
      </c>
      <c r="Q39" s="87" t="s">
        <v>138</v>
      </c>
      <c r="R39" s="83">
        <v>11</v>
      </c>
      <c r="S39" s="42" t="s">
        <v>137</v>
      </c>
      <c r="T39" s="88">
        <f>J39*J$1*R39</f>
        <v>63.25</v>
      </c>
      <c r="U39" s="88"/>
      <c r="V39" s="82">
        <v>142041</v>
      </c>
      <c r="W39" s="42"/>
      <c r="X39" s="89"/>
      <c r="Y39" s="89"/>
    </row>
    <row r="40" spans="1:25" s="46" customFormat="1" x14ac:dyDescent="0.25">
      <c r="A40" s="46" t="s">
        <v>264</v>
      </c>
      <c r="B40" s="42" t="s">
        <v>118</v>
      </c>
      <c r="C40" s="83" t="s">
        <v>28</v>
      </c>
      <c r="D40" s="83" t="s">
        <v>164</v>
      </c>
      <c r="E40" s="84">
        <v>36526</v>
      </c>
      <c r="F40" s="84">
        <v>36556</v>
      </c>
      <c r="G40" s="105">
        <v>10001</v>
      </c>
      <c r="H40" s="105">
        <v>10001</v>
      </c>
      <c r="I40" s="83" t="s">
        <v>139</v>
      </c>
      <c r="J40" s="66">
        <v>1.37E-2</v>
      </c>
      <c r="K40" s="85"/>
      <c r="L40" s="85"/>
      <c r="M40" s="85"/>
      <c r="N40" s="85"/>
      <c r="O40" s="86"/>
      <c r="P40" s="85"/>
      <c r="Q40" s="87">
        <v>530529</v>
      </c>
      <c r="R40" s="83">
        <v>14046</v>
      </c>
      <c r="S40" s="91" t="s">
        <v>278</v>
      </c>
      <c r="T40" s="88">
        <f>J40*1*R40</f>
        <v>192.43020000000001</v>
      </c>
      <c r="U40" s="88"/>
      <c r="V40" s="82">
        <v>153939</v>
      </c>
      <c r="W40" s="42"/>
      <c r="X40" s="89"/>
      <c r="Y40" s="89"/>
    </row>
    <row r="41" spans="1:25" s="46" customFormat="1" x14ac:dyDescent="0.25">
      <c r="A41" s="46" t="s">
        <v>264</v>
      </c>
      <c r="B41" s="42" t="s">
        <v>118</v>
      </c>
      <c r="C41" s="83" t="s">
        <v>28</v>
      </c>
      <c r="D41" s="83" t="s">
        <v>164</v>
      </c>
      <c r="E41" s="84">
        <v>36526</v>
      </c>
      <c r="F41" s="84">
        <v>36556</v>
      </c>
      <c r="G41" s="105">
        <v>10001</v>
      </c>
      <c r="H41" s="105">
        <v>10001</v>
      </c>
      <c r="I41" s="83" t="s">
        <v>139</v>
      </c>
      <c r="J41" s="66">
        <v>1.8532999999999999</v>
      </c>
      <c r="K41" s="85"/>
      <c r="L41" s="85"/>
      <c r="M41" s="85"/>
      <c r="N41" s="85"/>
      <c r="O41" s="86"/>
      <c r="P41" s="85"/>
      <c r="Q41" s="87">
        <v>530529</v>
      </c>
      <c r="R41" s="83">
        <v>230</v>
      </c>
      <c r="S41" s="91" t="s">
        <v>278</v>
      </c>
      <c r="T41" s="88">
        <f>J41*1*R41</f>
        <v>426.25900000000001</v>
      </c>
      <c r="U41" s="88"/>
      <c r="V41" s="82">
        <v>153939</v>
      </c>
      <c r="W41" s="42"/>
      <c r="X41" s="89"/>
      <c r="Y41" s="89"/>
    </row>
    <row r="42" spans="1:25" s="46" customFormat="1" x14ac:dyDescent="0.25">
      <c r="B42" s="42" t="s">
        <v>272</v>
      </c>
      <c r="C42" s="83" t="s">
        <v>28</v>
      </c>
      <c r="D42" s="83" t="s">
        <v>273</v>
      </c>
      <c r="E42" s="84">
        <v>36526</v>
      </c>
      <c r="F42" s="84">
        <v>36556</v>
      </c>
      <c r="G42" s="42" t="s">
        <v>145</v>
      </c>
      <c r="H42" s="42" t="s">
        <v>274</v>
      </c>
      <c r="I42" s="83" t="s">
        <v>128</v>
      </c>
      <c r="J42" s="66">
        <v>0</v>
      </c>
      <c r="K42" s="85">
        <v>0</v>
      </c>
      <c r="L42" s="85">
        <v>2.2000000000000001E-3</v>
      </c>
      <c r="M42" s="85">
        <v>0</v>
      </c>
      <c r="N42" s="85">
        <v>0</v>
      </c>
      <c r="O42" s="86">
        <v>2.2800000000000001E-2</v>
      </c>
      <c r="P42" s="85">
        <f>SUM(J42:N42)</f>
        <v>2.2000000000000001E-3</v>
      </c>
      <c r="Q42" s="87" t="s">
        <v>275</v>
      </c>
      <c r="R42" s="83">
        <v>7000</v>
      </c>
      <c r="S42" s="42" t="s">
        <v>276</v>
      </c>
      <c r="T42" s="88">
        <f>J42*J$1*R42</f>
        <v>0</v>
      </c>
      <c r="U42" s="88"/>
      <c r="V42" s="82" t="s">
        <v>277</v>
      </c>
      <c r="W42" s="42"/>
      <c r="X42" s="89"/>
      <c r="Y42" s="89"/>
    </row>
    <row r="43" spans="1:25" x14ac:dyDescent="0.25">
      <c r="B43" s="10" t="s">
        <v>3</v>
      </c>
      <c r="C43" s="11" t="s">
        <v>3</v>
      </c>
      <c r="D43" s="12" t="s">
        <v>3</v>
      </c>
      <c r="E43" s="13" t="s">
        <v>3</v>
      </c>
      <c r="F43" s="13"/>
      <c r="G43" s="10" t="s">
        <v>3</v>
      </c>
      <c r="H43" s="30" t="s">
        <v>3</v>
      </c>
      <c r="I43" s="11" t="s">
        <v>3</v>
      </c>
      <c r="J43" s="14"/>
      <c r="K43" s="15"/>
      <c r="L43" s="15"/>
      <c r="M43" s="15"/>
      <c r="N43" s="15"/>
      <c r="O43" s="49"/>
      <c r="P43" s="15"/>
      <c r="Q43" s="26" t="s">
        <v>3</v>
      </c>
      <c r="R43" s="11">
        <f>SUM(R31:R39)</f>
        <v>17589</v>
      </c>
      <c r="S43" s="10" t="s">
        <v>3</v>
      </c>
      <c r="T43" s="22">
        <f>SUM(T31:T39)</f>
        <v>7196.5505999999996</v>
      </c>
      <c r="U43" s="22">
        <f>SUM(U31:U39)</f>
        <v>0</v>
      </c>
      <c r="V43" s="71"/>
      <c r="W43" s="10"/>
      <c r="X43" s="36"/>
      <c r="Y43" s="36"/>
    </row>
    <row r="44" spans="1:25" x14ac:dyDescent="0.25">
      <c r="B44" s="16" t="s">
        <v>4</v>
      </c>
      <c r="C44" s="17" t="s">
        <v>5</v>
      </c>
      <c r="D44" s="17" t="s">
        <v>6</v>
      </c>
      <c r="E44" s="18" t="s">
        <v>7</v>
      </c>
      <c r="F44" s="18"/>
      <c r="G44" s="16" t="s">
        <v>8</v>
      </c>
      <c r="H44" s="16" t="s">
        <v>9</v>
      </c>
      <c r="I44" s="17" t="s">
        <v>61</v>
      </c>
      <c r="J44" s="19" t="s">
        <v>11</v>
      </c>
      <c r="K44" s="17" t="s">
        <v>12</v>
      </c>
      <c r="L44" s="17" t="s">
        <v>13</v>
      </c>
      <c r="M44" s="17" t="s">
        <v>14</v>
      </c>
      <c r="N44" s="17" t="s">
        <v>15</v>
      </c>
      <c r="O44" s="48" t="s">
        <v>16</v>
      </c>
      <c r="P44" s="17" t="s">
        <v>17</v>
      </c>
      <c r="Q44" s="20" t="s">
        <v>18</v>
      </c>
      <c r="R44" s="17" t="s">
        <v>19</v>
      </c>
      <c r="S44" s="16" t="s">
        <v>20</v>
      </c>
      <c r="T44" s="21" t="s">
        <v>60</v>
      </c>
      <c r="U44" s="21" t="s">
        <v>59</v>
      </c>
      <c r="V44" s="69" t="s">
        <v>36</v>
      </c>
      <c r="W44" s="95" t="str">
        <f>+W30</f>
        <v>Questions</v>
      </c>
      <c r="X44" s="36"/>
      <c r="Y44" s="36"/>
    </row>
    <row r="45" spans="1:25" s="46" customFormat="1" x14ac:dyDescent="0.25">
      <c r="B45" s="42" t="s">
        <v>118</v>
      </c>
      <c r="C45" s="83" t="s">
        <v>50</v>
      </c>
      <c r="D45" s="83" t="s">
        <v>41</v>
      </c>
      <c r="E45" s="84">
        <v>36526</v>
      </c>
      <c r="F45" s="84">
        <v>36646</v>
      </c>
      <c r="G45" s="44" t="s">
        <v>262</v>
      </c>
      <c r="H45" s="44" t="s">
        <v>147</v>
      </c>
      <c r="I45" s="83" t="s">
        <v>65</v>
      </c>
      <c r="J45" s="66">
        <f>6.5/J$1</f>
        <v>0.20967741935483872</v>
      </c>
      <c r="K45" s="85">
        <v>1.32E-2</v>
      </c>
      <c r="L45" s="85">
        <v>2.2000000000000001E-3</v>
      </c>
      <c r="M45" s="85">
        <v>7.4999999999999997E-3</v>
      </c>
      <c r="N45" s="85">
        <v>0</v>
      </c>
      <c r="O45" s="86">
        <v>2.1160000000000002E-2</v>
      </c>
      <c r="P45" s="85">
        <f>SUM(J45:N45)</f>
        <v>0.23257741935483872</v>
      </c>
      <c r="Q45" s="87">
        <v>37956</v>
      </c>
      <c r="R45" s="83">
        <v>600</v>
      </c>
      <c r="S45" s="42" t="s">
        <v>58</v>
      </c>
      <c r="T45" s="88">
        <f>J45*J$1*R45</f>
        <v>3900</v>
      </c>
      <c r="U45" s="88"/>
      <c r="V45" s="82">
        <v>140439</v>
      </c>
      <c r="W45" s="88"/>
      <c r="X45" s="89"/>
      <c r="Y45" s="89"/>
    </row>
    <row r="46" spans="1:25" s="46" customFormat="1" x14ac:dyDescent="0.25">
      <c r="B46" s="42" t="s">
        <v>37</v>
      </c>
      <c r="C46" s="83" t="s">
        <v>50</v>
      </c>
      <c r="D46" s="83" t="s">
        <v>74</v>
      </c>
      <c r="E46" s="84">
        <v>36251</v>
      </c>
      <c r="F46" s="84">
        <v>36616</v>
      </c>
      <c r="G46" s="42" t="s">
        <v>75</v>
      </c>
      <c r="H46" s="42" t="s">
        <v>77</v>
      </c>
      <c r="I46" s="83" t="s">
        <v>76</v>
      </c>
      <c r="J46" s="66">
        <v>0</v>
      </c>
      <c r="K46" s="85">
        <v>0</v>
      </c>
      <c r="L46" s="85">
        <v>0</v>
      </c>
      <c r="M46" s="85">
        <v>0</v>
      </c>
      <c r="N46" s="85">
        <v>0</v>
      </c>
      <c r="O46" s="86">
        <v>0</v>
      </c>
      <c r="P46" s="85">
        <f t="shared" ref="P46:P87" si="5">SUM(J46:N46)</f>
        <v>0</v>
      </c>
      <c r="Q46" s="87">
        <v>51407</v>
      </c>
      <c r="R46" s="83">
        <v>0</v>
      </c>
      <c r="S46" s="42" t="s">
        <v>79</v>
      </c>
      <c r="T46" s="88">
        <f>J46*R46</f>
        <v>0</v>
      </c>
      <c r="U46" s="88"/>
      <c r="V46" s="82">
        <v>151880</v>
      </c>
      <c r="W46" s="42"/>
      <c r="X46" s="89"/>
      <c r="Y46" s="89"/>
    </row>
    <row r="47" spans="1:25" s="46" customFormat="1" x14ac:dyDescent="0.25">
      <c r="B47" s="42" t="s">
        <v>37</v>
      </c>
      <c r="C47" s="83" t="s">
        <v>50</v>
      </c>
      <c r="D47" s="83" t="s">
        <v>74</v>
      </c>
      <c r="E47" s="84">
        <v>36251</v>
      </c>
      <c r="F47" s="84">
        <v>36616</v>
      </c>
      <c r="G47" s="42" t="s">
        <v>75</v>
      </c>
      <c r="H47" s="42" t="s">
        <v>78</v>
      </c>
      <c r="I47" s="83" t="s">
        <v>76</v>
      </c>
      <c r="J47" s="66">
        <v>0</v>
      </c>
      <c r="K47" s="85">
        <v>0</v>
      </c>
      <c r="L47" s="85">
        <v>0</v>
      </c>
      <c r="M47" s="85">
        <v>0</v>
      </c>
      <c r="N47" s="85">
        <v>0</v>
      </c>
      <c r="O47" s="86">
        <v>0</v>
      </c>
      <c r="P47" s="85">
        <f t="shared" si="5"/>
        <v>0</v>
      </c>
      <c r="Q47" s="87">
        <v>51407</v>
      </c>
      <c r="R47" s="83">
        <v>0</v>
      </c>
      <c r="S47" s="42" t="s">
        <v>79</v>
      </c>
      <c r="T47" s="88">
        <f>J47*J$1*R47</f>
        <v>0</v>
      </c>
      <c r="U47" s="88"/>
      <c r="V47" s="82">
        <v>151880</v>
      </c>
      <c r="W47" s="42"/>
      <c r="X47" s="89"/>
      <c r="Y47" s="89"/>
    </row>
    <row r="48" spans="1:25" s="46" customFormat="1" x14ac:dyDescent="0.25">
      <c r="B48" s="42" t="s">
        <v>37</v>
      </c>
      <c r="C48" s="83" t="s">
        <v>50</v>
      </c>
      <c r="D48" s="83"/>
      <c r="E48" s="84">
        <v>36100</v>
      </c>
      <c r="F48" s="84">
        <v>36830</v>
      </c>
      <c r="G48" s="91" t="s">
        <v>146</v>
      </c>
      <c r="H48" s="42" t="s">
        <v>147</v>
      </c>
      <c r="I48" s="83" t="s">
        <v>65</v>
      </c>
      <c r="J48" s="66">
        <f>4.56/J$1</f>
        <v>0.14709677419354839</v>
      </c>
      <c r="K48" s="85">
        <v>1.32E-2</v>
      </c>
      <c r="L48" s="85">
        <v>2.2000000000000001E-3</v>
      </c>
      <c r="M48" s="85">
        <v>7.1999999999999998E-3</v>
      </c>
      <c r="N48" s="85">
        <v>0</v>
      </c>
      <c r="O48" s="86">
        <v>2.1160000000000002E-2</v>
      </c>
      <c r="P48" s="85">
        <f t="shared" si="5"/>
        <v>0.16969677419354839</v>
      </c>
      <c r="Q48" s="87">
        <v>61822</v>
      </c>
      <c r="R48" s="83">
        <v>4000</v>
      </c>
      <c r="S48" s="42" t="s">
        <v>148</v>
      </c>
      <c r="T48" s="88">
        <f t="shared" ref="T48:T61" si="6">J48*J$1*R48</f>
        <v>18240</v>
      </c>
      <c r="U48" s="88"/>
      <c r="V48" s="82">
        <v>14275</v>
      </c>
      <c r="W48" s="42"/>
      <c r="X48" s="89"/>
      <c r="Y48" s="89"/>
    </row>
    <row r="49" spans="2:25" s="46" customFormat="1" x14ac:dyDescent="0.25">
      <c r="B49" s="42" t="s">
        <v>118</v>
      </c>
      <c r="C49" s="83" t="s">
        <v>50</v>
      </c>
      <c r="D49" s="83" t="s">
        <v>41</v>
      </c>
      <c r="E49" s="84">
        <v>36526</v>
      </c>
      <c r="F49" s="84">
        <v>36830</v>
      </c>
      <c r="G49" s="42" t="s">
        <v>149</v>
      </c>
      <c r="H49" s="42" t="s">
        <v>281</v>
      </c>
      <c r="I49" s="83" t="s">
        <v>65</v>
      </c>
      <c r="J49" s="53">
        <v>0.15</v>
      </c>
      <c r="K49" s="85">
        <v>1.32E-2</v>
      </c>
      <c r="L49" s="85">
        <v>2.2000000000000001E-3</v>
      </c>
      <c r="M49" s="85">
        <v>7.4999999999999997E-3</v>
      </c>
      <c r="N49" s="85">
        <v>0</v>
      </c>
      <c r="O49" s="86">
        <v>2.1160000000000002E-2</v>
      </c>
      <c r="P49" s="85">
        <f>SUM(J49:N49)</f>
        <v>0.1729</v>
      </c>
      <c r="Q49" s="87">
        <v>61825</v>
      </c>
      <c r="R49" s="83">
        <v>2000</v>
      </c>
      <c r="S49" s="91" t="s">
        <v>279</v>
      </c>
      <c r="T49" s="88">
        <f t="shared" si="6"/>
        <v>9299.9999999999982</v>
      </c>
      <c r="U49" s="88"/>
      <c r="V49" s="82">
        <v>140437</v>
      </c>
      <c r="W49" s="88"/>
      <c r="X49" s="89"/>
      <c r="Y49" s="89"/>
    </row>
    <row r="50" spans="2:25" s="46" customFormat="1" x14ac:dyDescent="0.25">
      <c r="B50" s="42" t="s">
        <v>118</v>
      </c>
      <c r="C50" s="83" t="s">
        <v>50</v>
      </c>
      <c r="D50" s="83" t="s">
        <v>41</v>
      </c>
      <c r="E50" s="84">
        <v>36526</v>
      </c>
      <c r="F50" s="84">
        <v>36830</v>
      </c>
      <c r="G50" s="42" t="s">
        <v>155</v>
      </c>
      <c r="H50" s="42" t="s">
        <v>281</v>
      </c>
      <c r="I50" s="83" t="s">
        <v>65</v>
      </c>
      <c r="J50" s="53">
        <v>0.15</v>
      </c>
      <c r="K50" s="85">
        <v>1.32E-2</v>
      </c>
      <c r="L50" s="85">
        <v>2.2000000000000001E-3</v>
      </c>
      <c r="M50" s="85">
        <v>7.4999999999999997E-3</v>
      </c>
      <c r="N50" s="85">
        <v>0</v>
      </c>
      <c r="O50" s="86">
        <v>2.1160000000000002E-2</v>
      </c>
      <c r="P50" s="85">
        <f>SUM(J50:N50)</f>
        <v>0.1729</v>
      </c>
      <c r="Q50" s="87">
        <v>61825</v>
      </c>
      <c r="R50" s="83">
        <v>5000</v>
      </c>
      <c r="S50" s="91" t="s">
        <v>279</v>
      </c>
      <c r="T50" s="88">
        <f t="shared" si="6"/>
        <v>23249.999999999996</v>
      </c>
      <c r="U50" s="88"/>
      <c r="V50" s="82">
        <v>140437</v>
      </c>
      <c r="W50" s="88"/>
      <c r="X50" s="89"/>
      <c r="Y50" s="89"/>
    </row>
    <row r="51" spans="2:25" s="46" customFormat="1" x14ac:dyDescent="0.25">
      <c r="B51" s="42" t="s">
        <v>118</v>
      </c>
      <c r="C51" s="83" t="s">
        <v>50</v>
      </c>
      <c r="D51" s="83" t="s">
        <v>41</v>
      </c>
      <c r="E51" s="84">
        <v>36526</v>
      </c>
      <c r="F51" s="84">
        <v>36830</v>
      </c>
      <c r="G51" s="42" t="s">
        <v>280</v>
      </c>
      <c r="H51" s="42" t="s">
        <v>281</v>
      </c>
      <c r="I51" s="83" t="s">
        <v>65</v>
      </c>
      <c r="J51" s="53">
        <v>0.15</v>
      </c>
      <c r="K51" s="85">
        <v>1.32E-2</v>
      </c>
      <c r="L51" s="85">
        <v>2.2000000000000001E-3</v>
      </c>
      <c r="M51" s="85">
        <v>7.4999999999999997E-3</v>
      </c>
      <c r="N51" s="85">
        <v>0</v>
      </c>
      <c r="O51" s="86">
        <v>2.1160000000000002E-2</v>
      </c>
      <c r="P51" s="85">
        <f>SUM(J51:N51)</f>
        <v>0.1729</v>
      </c>
      <c r="Q51" s="87">
        <v>61825</v>
      </c>
      <c r="R51" s="83">
        <v>1000</v>
      </c>
      <c r="S51" s="91" t="s">
        <v>279</v>
      </c>
      <c r="T51" s="88">
        <f t="shared" si="6"/>
        <v>4649.9999999999991</v>
      </c>
      <c r="U51" s="88"/>
      <c r="V51" s="82">
        <v>140437</v>
      </c>
      <c r="W51" s="88"/>
      <c r="X51" s="89"/>
      <c r="Y51" s="89"/>
    </row>
    <row r="52" spans="2:25" s="46" customFormat="1" x14ac:dyDescent="0.25">
      <c r="B52" s="42" t="s">
        <v>37</v>
      </c>
      <c r="C52" s="83" t="s">
        <v>50</v>
      </c>
      <c r="D52" s="83"/>
      <c r="E52" s="84">
        <v>36100</v>
      </c>
      <c r="F52" s="84">
        <v>36830</v>
      </c>
      <c r="G52" s="42" t="s">
        <v>149</v>
      </c>
      <c r="H52" s="91" t="s">
        <v>150</v>
      </c>
      <c r="I52" s="83" t="s">
        <v>65</v>
      </c>
      <c r="J52" s="66">
        <f>4.56/J$1</f>
        <v>0.14709677419354839</v>
      </c>
      <c r="K52" s="85">
        <v>1.32E-2</v>
      </c>
      <c r="L52" s="85">
        <v>2.2000000000000001E-3</v>
      </c>
      <c r="M52" s="85">
        <v>7.1999999999999998E-3</v>
      </c>
      <c r="N52" s="85">
        <v>0</v>
      </c>
      <c r="O52" s="86">
        <v>2.1160000000000002E-2</v>
      </c>
      <c r="P52" s="85">
        <f t="shared" si="5"/>
        <v>0.16969677419354839</v>
      </c>
      <c r="Q52" s="87">
        <v>61838</v>
      </c>
      <c r="R52" s="83">
        <v>1000</v>
      </c>
      <c r="S52" s="42" t="s">
        <v>151</v>
      </c>
      <c r="T52" s="88">
        <f t="shared" si="6"/>
        <v>4560</v>
      </c>
      <c r="U52" s="88"/>
      <c r="V52" s="82">
        <v>142768</v>
      </c>
      <c r="W52" s="42"/>
      <c r="X52" s="89"/>
      <c r="Y52" s="89"/>
    </row>
    <row r="53" spans="2:25" s="46" customFormat="1" x14ac:dyDescent="0.25">
      <c r="B53" s="42" t="s">
        <v>118</v>
      </c>
      <c r="C53" s="83" t="s">
        <v>50</v>
      </c>
      <c r="D53" s="83" t="s">
        <v>41</v>
      </c>
      <c r="E53" s="84">
        <v>36526</v>
      </c>
      <c r="F53" s="84">
        <v>36830</v>
      </c>
      <c r="G53" s="42" t="s">
        <v>149</v>
      </c>
      <c r="H53" s="42" t="s">
        <v>283</v>
      </c>
      <c r="I53" s="83" t="s">
        <v>65</v>
      </c>
      <c r="J53" s="53">
        <v>0.15</v>
      </c>
      <c r="K53" s="85">
        <v>1.32E-2</v>
      </c>
      <c r="L53" s="85">
        <v>2.2000000000000001E-3</v>
      </c>
      <c r="M53" s="85">
        <v>7.4999999999999997E-3</v>
      </c>
      <c r="N53" s="85">
        <v>0</v>
      </c>
      <c r="O53" s="86">
        <v>2.1160000000000002E-2</v>
      </c>
      <c r="P53" s="85">
        <f>SUM(J53:N53)</f>
        <v>0.1729</v>
      </c>
      <c r="Q53" s="87">
        <v>61990</v>
      </c>
      <c r="R53" s="83">
        <v>2000</v>
      </c>
      <c r="S53" s="91" t="s">
        <v>282</v>
      </c>
      <c r="T53" s="88">
        <f t="shared" si="6"/>
        <v>9299.9999999999982</v>
      </c>
      <c r="U53" s="88"/>
      <c r="V53" s="82">
        <v>140438</v>
      </c>
      <c r="W53" s="88"/>
      <c r="X53" s="89"/>
      <c r="Y53" s="89"/>
    </row>
    <row r="54" spans="2:25" s="46" customFormat="1" x14ac:dyDescent="0.25">
      <c r="B54" s="42" t="s">
        <v>118</v>
      </c>
      <c r="C54" s="83" t="s">
        <v>50</v>
      </c>
      <c r="D54" s="83" t="s">
        <v>41</v>
      </c>
      <c r="E54" s="84">
        <v>36465</v>
      </c>
      <c r="F54" s="84">
        <v>36891</v>
      </c>
      <c r="G54" s="42"/>
      <c r="H54" s="42"/>
      <c r="I54" s="83" t="s">
        <v>65</v>
      </c>
      <c r="J54" s="66">
        <f>3.0417/30.417</f>
        <v>9.9999999999999992E-2</v>
      </c>
      <c r="K54" s="85"/>
      <c r="L54" s="85"/>
      <c r="M54" s="85"/>
      <c r="N54" s="85"/>
      <c r="O54" s="86"/>
      <c r="P54" s="85"/>
      <c r="Q54" s="87">
        <v>62164</v>
      </c>
      <c r="R54" s="83">
        <v>2000</v>
      </c>
      <c r="S54" s="91"/>
      <c r="T54" s="88">
        <v>2000</v>
      </c>
      <c r="U54" s="88"/>
      <c r="V54" s="82">
        <v>149341</v>
      </c>
      <c r="W54" s="88"/>
      <c r="X54" s="89"/>
      <c r="Y54" s="89"/>
    </row>
    <row r="55" spans="2:25" s="46" customFormat="1" x14ac:dyDescent="0.25">
      <c r="B55" s="42" t="s">
        <v>37</v>
      </c>
      <c r="C55" s="83" t="s">
        <v>50</v>
      </c>
      <c r="D55" s="83" t="s">
        <v>62</v>
      </c>
      <c r="E55" s="84">
        <v>36192</v>
      </c>
      <c r="F55" s="84">
        <v>36556</v>
      </c>
      <c r="G55" s="42" t="s">
        <v>64</v>
      </c>
      <c r="H55" s="42" t="s">
        <v>66</v>
      </c>
      <c r="I55" s="83" t="s">
        <v>65</v>
      </c>
      <c r="J55" s="66">
        <f>6.53/J$1</f>
        <v>0.2106451612903226</v>
      </c>
      <c r="K55" s="85">
        <v>1.32E-2</v>
      </c>
      <c r="L55" s="85">
        <v>2.2000000000000001E-3</v>
      </c>
      <c r="M55" s="85">
        <v>7.1999999999999998E-3</v>
      </c>
      <c r="N55" s="85">
        <v>0</v>
      </c>
      <c r="O55" s="86">
        <v>2.1160000000000002E-2</v>
      </c>
      <c r="P55" s="85">
        <f t="shared" si="5"/>
        <v>0.23324516129032261</v>
      </c>
      <c r="Q55" s="87">
        <v>62740</v>
      </c>
      <c r="R55" s="83">
        <v>2</v>
      </c>
      <c r="S55" s="42" t="s">
        <v>67</v>
      </c>
      <c r="T55" s="88">
        <f t="shared" si="6"/>
        <v>13.06</v>
      </c>
      <c r="U55" s="88"/>
      <c r="V55" s="82">
        <v>140484</v>
      </c>
      <c r="W55" s="42"/>
      <c r="X55" s="89"/>
      <c r="Y55" s="89"/>
    </row>
    <row r="56" spans="2:25" s="46" customFormat="1" x14ac:dyDescent="0.25">
      <c r="B56" s="42" t="s">
        <v>118</v>
      </c>
      <c r="C56" s="83" t="s">
        <v>50</v>
      </c>
      <c r="D56" s="83" t="s">
        <v>41</v>
      </c>
      <c r="E56" s="84">
        <v>36526</v>
      </c>
      <c r="F56" s="84">
        <v>36616</v>
      </c>
      <c r="G56" s="44" t="s">
        <v>51</v>
      </c>
      <c r="H56" s="44" t="s">
        <v>52</v>
      </c>
      <c r="I56" s="83" t="s">
        <v>65</v>
      </c>
      <c r="J56" s="53">
        <v>0.05</v>
      </c>
      <c r="K56" s="85">
        <v>1.32E-2</v>
      </c>
      <c r="L56" s="85">
        <v>2.2000000000000001E-3</v>
      </c>
      <c r="M56" s="85">
        <v>7.4999999999999997E-3</v>
      </c>
      <c r="N56" s="85">
        <v>0</v>
      </c>
      <c r="O56" s="86">
        <v>2.1160000000000002E-2</v>
      </c>
      <c r="P56" s="85">
        <f>SUM(J56:N56)</f>
        <v>7.2899999999999993E-2</v>
      </c>
      <c r="Q56" s="87">
        <v>62978</v>
      </c>
      <c r="R56" s="83">
        <v>8000</v>
      </c>
      <c r="S56" s="42" t="s">
        <v>53</v>
      </c>
      <c r="T56" s="88">
        <f t="shared" si="6"/>
        <v>12400</v>
      </c>
      <c r="U56" s="88"/>
      <c r="V56" s="82">
        <v>139318</v>
      </c>
      <c r="W56" s="88"/>
      <c r="X56" s="89"/>
      <c r="Y56" s="89"/>
    </row>
    <row r="57" spans="2:25" s="46" customFormat="1" x14ac:dyDescent="0.25">
      <c r="B57" s="42" t="s">
        <v>37</v>
      </c>
      <c r="C57" s="83" t="s">
        <v>50</v>
      </c>
      <c r="D57" s="83" t="s">
        <v>63</v>
      </c>
      <c r="E57" s="84">
        <v>36220</v>
      </c>
      <c r="F57" s="84">
        <v>36585</v>
      </c>
      <c r="G57" s="42" t="s">
        <v>64</v>
      </c>
      <c r="H57" s="42" t="s">
        <v>68</v>
      </c>
      <c r="I57" s="83" t="s">
        <v>65</v>
      </c>
      <c r="J57" s="66">
        <f>6.5/J$1</f>
        <v>0.20967741935483872</v>
      </c>
      <c r="K57" s="85">
        <v>1.32E-2</v>
      </c>
      <c r="L57" s="85">
        <v>2.2000000000000001E-3</v>
      </c>
      <c r="M57" s="85">
        <v>7.1999999999999998E-3</v>
      </c>
      <c r="N57" s="85">
        <v>0</v>
      </c>
      <c r="O57" s="86">
        <v>2.1160000000000002E-2</v>
      </c>
      <c r="P57" s="85">
        <f t="shared" si="5"/>
        <v>0.23227741935483873</v>
      </c>
      <c r="Q57" s="87">
        <v>62982</v>
      </c>
      <c r="R57" s="83">
        <v>2</v>
      </c>
      <c r="S57" s="42" t="s">
        <v>69</v>
      </c>
      <c r="T57" s="88">
        <f t="shared" si="6"/>
        <v>13</v>
      </c>
      <c r="U57" s="88"/>
      <c r="V57" s="82">
        <v>140914</v>
      </c>
      <c r="W57" s="42"/>
      <c r="X57" s="89"/>
      <c r="Y57" s="89"/>
    </row>
    <row r="58" spans="2:25" s="46" customFormat="1" x14ac:dyDescent="0.25">
      <c r="B58" s="42" t="s">
        <v>37</v>
      </c>
      <c r="C58" s="83" t="s">
        <v>50</v>
      </c>
      <c r="D58" s="83" t="s">
        <v>62</v>
      </c>
      <c r="E58" s="84">
        <v>36220</v>
      </c>
      <c r="F58" s="84">
        <v>36585</v>
      </c>
      <c r="G58" s="42" t="s">
        <v>64</v>
      </c>
      <c r="H58" s="42" t="s">
        <v>66</v>
      </c>
      <c r="I58" s="83" t="s">
        <v>65</v>
      </c>
      <c r="J58" s="66">
        <f>6.5/J$1</f>
        <v>0.20967741935483872</v>
      </c>
      <c r="K58" s="85">
        <v>1.32E-2</v>
      </c>
      <c r="L58" s="85">
        <v>2.2000000000000001E-3</v>
      </c>
      <c r="M58" s="85">
        <v>7.1999999999999998E-3</v>
      </c>
      <c r="N58" s="85">
        <v>0</v>
      </c>
      <c r="O58" s="86">
        <v>2.1160000000000002E-2</v>
      </c>
      <c r="P58" s="85">
        <f t="shared" si="5"/>
        <v>0.23227741935483873</v>
      </c>
      <c r="Q58" s="87">
        <v>62983</v>
      </c>
      <c r="R58" s="83">
        <v>2</v>
      </c>
      <c r="S58" s="42" t="s">
        <v>70</v>
      </c>
      <c r="T58" s="88">
        <f t="shared" si="6"/>
        <v>13</v>
      </c>
      <c r="U58" s="88"/>
      <c r="V58" s="82">
        <v>140916</v>
      </c>
      <c r="W58" s="42"/>
      <c r="X58" s="89"/>
      <c r="Y58" s="89"/>
    </row>
    <row r="59" spans="2:25" s="46" customFormat="1" x14ac:dyDescent="0.25">
      <c r="B59" s="42" t="s">
        <v>37</v>
      </c>
      <c r="C59" s="83" t="s">
        <v>50</v>
      </c>
      <c r="D59" s="83" t="s">
        <v>74</v>
      </c>
      <c r="E59" s="84">
        <v>36434</v>
      </c>
      <c r="F59" s="84">
        <v>36616</v>
      </c>
      <c r="G59" s="42" t="s">
        <v>75</v>
      </c>
      <c r="H59" s="42" t="s">
        <v>105</v>
      </c>
      <c r="I59" s="83" t="s">
        <v>103</v>
      </c>
      <c r="J59" s="66">
        <f>6.329/J$1</f>
        <v>0.20416129032258062</v>
      </c>
      <c r="K59" s="85">
        <v>1.2999999999999999E-2</v>
      </c>
      <c r="L59" s="85">
        <v>2.2000000000000001E-3</v>
      </c>
      <c r="M59" s="85">
        <v>7.1999999999999998E-3</v>
      </c>
      <c r="N59" s="85">
        <v>0</v>
      </c>
      <c r="O59" s="86">
        <v>2.1160000000000002E-2</v>
      </c>
      <c r="P59" s="85">
        <f t="shared" si="5"/>
        <v>0.22656129032258066</v>
      </c>
      <c r="Q59" s="87">
        <v>63281</v>
      </c>
      <c r="R59" s="83">
        <v>134710</v>
      </c>
      <c r="S59" s="42" t="s">
        <v>106</v>
      </c>
      <c r="T59" s="88">
        <f t="shared" si="6"/>
        <v>852579.59</v>
      </c>
      <c r="U59" s="88"/>
      <c r="V59" s="82">
        <v>141177</v>
      </c>
      <c r="W59" s="42"/>
      <c r="X59" s="89"/>
      <c r="Y59" s="89"/>
    </row>
    <row r="60" spans="2:25" s="46" customFormat="1" x14ac:dyDescent="0.25">
      <c r="B60" s="42" t="s">
        <v>37</v>
      </c>
      <c r="C60" s="83" t="s">
        <v>50</v>
      </c>
      <c r="D60" s="83" t="s">
        <v>63</v>
      </c>
      <c r="E60" s="84">
        <v>36251</v>
      </c>
      <c r="F60" s="84">
        <v>36616</v>
      </c>
      <c r="G60" s="42" t="s">
        <v>64</v>
      </c>
      <c r="H60" s="42" t="s">
        <v>68</v>
      </c>
      <c r="I60" s="83" t="s">
        <v>65</v>
      </c>
      <c r="J60" s="66">
        <f>6.5/J$1</f>
        <v>0.20967741935483872</v>
      </c>
      <c r="K60" s="85">
        <v>1.32E-2</v>
      </c>
      <c r="L60" s="85">
        <v>2.2000000000000001E-3</v>
      </c>
      <c r="M60" s="85">
        <v>7.1999999999999998E-3</v>
      </c>
      <c r="N60" s="85">
        <v>0</v>
      </c>
      <c r="O60" s="86">
        <v>2.1160000000000002E-2</v>
      </c>
      <c r="P60" s="85">
        <f t="shared" si="5"/>
        <v>0.23227741935483873</v>
      </c>
      <c r="Q60" s="87">
        <v>63282</v>
      </c>
      <c r="R60" s="83">
        <v>6</v>
      </c>
      <c r="S60" s="42" t="s">
        <v>71</v>
      </c>
      <c r="T60" s="88">
        <f t="shared" si="6"/>
        <v>39</v>
      </c>
      <c r="U60" s="88"/>
      <c r="V60" s="82">
        <v>140965</v>
      </c>
      <c r="W60" s="42"/>
      <c r="X60" s="89"/>
      <c r="Y60" s="89"/>
    </row>
    <row r="61" spans="2:25" s="46" customFormat="1" x14ac:dyDescent="0.25">
      <c r="B61" s="42" t="s">
        <v>37</v>
      </c>
      <c r="C61" s="83" t="s">
        <v>50</v>
      </c>
      <c r="D61" s="83" t="s">
        <v>62</v>
      </c>
      <c r="E61" s="84">
        <v>36251</v>
      </c>
      <c r="F61" s="84">
        <v>36616</v>
      </c>
      <c r="G61" s="42" t="s">
        <v>64</v>
      </c>
      <c r="H61" s="42" t="s">
        <v>72</v>
      </c>
      <c r="I61" s="83" t="s">
        <v>65</v>
      </c>
      <c r="J61" s="66">
        <f>6.5/J$1</f>
        <v>0.20967741935483872</v>
      </c>
      <c r="K61" s="85">
        <v>1.32E-2</v>
      </c>
      <c r="L61" s="85">
        <v>2.2000000000000001E-3</v>
      </c>
      <c r="M61" s="85">
        <v>7.1999999999999998E-3</v>
      </c>
      <c r="N61" s="85">
        <v>0</v>
      </c>
      <c r="O61" s="86">
        <v>2.1160000000000002E-2</v>
      </c>
      <c r="P61" s="85">
        <f t="shared" si="5"/>
        <v>0.23227741935483873</v>
      </c>
      <c r="Q61" s="87">
        <v>63283</v>
      </c>
      <c r="R61" s="83">
        <v>46</v>
      </c>
      <c r="S61" s="42" t="s">
        <v>73</v>
      </c>
      <c r="T61" s="88">
        <f t="shared" si="6"/>
        <v>299</v>
      </c>
      <c r="U61" s="88"/>
      <c r="V61" s="82">
        <v>140968</v>
      </c>
      <c r="W61" s="42"/>
      <c r="X61" s="89"/>
      <c r="Y61" s="89"/>
    </row>
    <row r="62" spans="2:25" s="46" customFormat="1" x14ac:dyDescent="0.25">
      <c r="B62" s="42" t="s">
        <v>37</v>
      </c>
      <c r="C62" s="83" t="s">
        <v>50</v>
      </c>
      <c r="D62" s="83" t="s">
        <v>74</v>
      </c>
      <c r="E62" s="84">
        <v>36251</v>
      </c>
      <c r="F62" s="84">
        <v>36616</v>
      </c>
      <c r="G62" s="42" t="s">
        <v>75</v>
      </c>
      <c r="H62" s="42" t="s">
        <v>77</v>
      </c>
      <c r="I62" s="83" t="s">
        <v>76</v>
      </c>
      <c r="J62" s="66">
        <v>2.9100000000000001E-2</v>
      </c>
      <c r="K62" s="85">
        <v>0</v>
      </c>
      <c r="L62" s="85">
        <v>0</v>
      </c>
      <c r="M62" s="85">
        <v>0</v>
      </c>
      <c r="N62" s="85">
        <v>0</v>
      </c>
      <c r="O62" s="86">
        <v>0</v>
      </c>
      <c r="P62" s="85">
        <f t="shared" si="5"/>
        <v>2.9100000000000001E-2</v>
      </c>
      <c r="Q62" s="87">
        <v>63304</v>
      </c>
      <c r="R62" s="83">
        <v>7503838</v>
      </c>
      <c r="S62" s="42" t="s">
        <v>263</v>
      </c>
      <c r="T62" s="88">
        <f>J62*R62</f>
        <v>218361.68580000001</v>
      </c>
      <c r="U62" s="88"/>
      <c r="V62" s="82">
        <v>151879</v>
      </c>
      <c r="W62" s="42"/>
      <c r="X62" s="89"/>
      <c r="Y62" s="89"/>
    </row>
    <row r="63" spans="2:25" s="46" customFormat="1" x14ac:dyDescent="0.25">
      <c r="B63" s="42" t="s">
        <v>37</v>
      </c>
      <c r="C63" s="83" t="s">
        <v>50</v>
      </c>
      <c r="D63" s="83" t="s">
        <v>74</v>
      </c>
      <c r="E63" s="84">
        <v>36251</v>
      </c>
      <c r="F63" s="84">
        <v>36616</v>
      </c>
      <c r="G63" s="42" t="s">
        <v>75</v>
      </c>
      <c r="H63" s="42" t="s">
        <v>78</v>
      </c>
      <c r="I63" s="83" t="s">
        <v>76</v>
      </c>
      <c r="J63" s="66">
        <v>1.512</v>
      </c>
      <c r="K63" s="85">
        <v>0</v>
      </c>
      <c r="L63" s="85">
        <v>0</v>
      </c>
      <c r="M63" s="85">
        <v>0</v>
      </c>
      <c r="N63" s="85">
        <v>0</v>
      </c>
      <c r="O63" s="86">
        <v>0</v>
      </c>
      <c r="P63" s="85">
        <f t="shared" si="5"/>
        <v>1.512</v>
      </c>
      <c r="Q63" s="87">
        <v>63304</v>
      </c>
      <c r="R63" s="83">
        <v>134743</v>
      </c>
      <c r="S63" s="42" t="s">
        <v>263</v>
      </c>
      <c r="T63" s="88">
        <f>J63*R63</f>
        <v>203731.416</v>
      </c>
      <c r="U63" s="88"/>
      <c r="V63" s="82">
        <v>151879</v>
      </c>
      <c r="W63" s="42"/>
      <c r="X63" s="89"/>
      <c r="Y63" s="89"/>
    </row>
    <row r="64" spans="2:25" s="81" customFormat="1" x14ac:dyDescent="0.25">
      <c r="B64" s="42" t="s">
        <v>37</v>
      </c>
      <c r="C64" s="83" t="s">
        <v>50</v>
      </c>
      <c r="D64" s="83" t="s">
        <v>63</v>
      </c>
      <c r="E64" s="84">
        <v>36281</v>
      </c>
      <c r="F64" s="84">
        <v>36646</v>
      </c>
      <c r="G64" s="42" t="s">
        <v>64</v>
      </c>
      <c r="H64" s="42" t="s">
        <v>68</v>
      </c>
      <c r="I64" s="83" t="s">
        <v>65</v>
      </c>
      <c r="J64" s="66">
        <f>6.5/J$1</f>
        <v>0.20967741935483872</v>
      </c>
      <c r="K64" s="85">
        <v>1.32E-2</v>
      </c>
      <c r="L64" s="85">
        <v>2.2000000000000001E-3</v>
      </c>
      <c r="M64" s="85">
        <v>7.1999999999999998E-3</v>
      </c>
      <c r="N64" s="85">
        <v>0</v>
      </c>
      <c r="O64" s="86">
        <v>2.1160000000000002E-2</v>
      </c>
      <c r="P64" s="85">
        <f t="shared" si="5"/>
        <v>0.23227741935483873</v>
      </c>
      <c r="Q64" s="87">
        <v>63557</v>
      </c>
      <c r="R64" s="83">
        <v>33</v>
      </c>
      <c r="S64" s="42" t="s">
        <v>80</v>
      </c>
      <c r="T64" s="88">
        <f t="shared" ref="T64:T89" si="7">J64*J$1*R64</f>
        <v>214.5</v>
      </c>
      <c r="U64" s="88"/>
      <c r="V64" s="82">
        <v>140974</v>
      </c>
      <c r="W64" s="42"/>
      <c r="X64" s="80"/>
      <c r="Y64" s="80"/>
    </row>
    <row r="65" spans="2:25" s="81" customFormat="1" x14ac:dyDescent="0.25">
      <c r="B65" s="42" t="s">
        <v>118</v>
      </c>
      <c r="C65" s="83" t="s">
        <v>50</v>
      </c>
      <c r="D65" s="83" t="s">
        <v>41</v>
      </c>
      <c r="E65" s="84">
        <v>36526</v>
      </c>
      <c r="F65" s="84">
        <v>36616</v>
      </c>
      <c r="G65" s="44" t="s">
        <v>51</v>
      </c>
      <c r="H65" s="44" t="s">
        <v>52</v>
      </c>
      <c r="I65" s="83" t="s">
        <v>65</v>
      </c>
      <c r="J65" s="53">
        <v>4.4999999999999998E-2</v>
      </c>
      <c r="K65" s="85">
        <v>1.32E-2</v>
      </c>
      <c r="L65" s="85">
        <v>2.2000000000000001E-3</v>
      </c>
      <c r="M65" s="85">
        <v>7.4999999999999997E-3</v>
      </c>
      <c r="N65" s="85">
        <v>0</v>
      </c>
      <c r="O65" s="86">
        <v>2.1160000000000002E-2</v>
      </c>
      <c r="P65" s="85">
        <f>SUM(J65:N65)</f>
        <v>6.7900000000000002E-2</v>
      </c>
      <c r="Q65" s="87">
        <v>63764</v>
      </c>
      <c r="R65" s="83">
        <v>10000</v>
      </c>
      <c r="S65" s="42" t="s">
        <v>54</v>
      </c>
      <c r="T65" s="88">
        <f t="shared" si="7"/>
        <v>13950</v>
      </c>
      <c r="U65" s="88"/>
      <c r="V65" s="82">
        <v>139469</v>
      </c>
      <c r="W65" s="88"/>
      <c r="X65" s="80"/>
      <c r="Y65" s="80"/>
    </row>
    <row r="66" spans="2:25" s="46" customFormat="1" x14ac:dyDescent="0.25">
      <c r="B66" s="42" t="s">
        <v>37</v>
      </c>
      <c r="C66" s="83" t="s">
        <v>50</v>
      </c>
      <c r="D66" s="83" t="s">
        <v>63</v>
      </c>
      <c r="E66" s="84">
        <v>36312</v>
      </c>
      <c r="F66" s="84">
        <v>36677</v>
      </c>
      <c r="G66" s="42" t="s">
        <v>64</v>
      </c>
      <c r="H66" s="42" t="s">
        <v>68</v>
      </c>
      <c r="I66" s="83" t="s">
        <v>65</v>
      </c>
      <c r="J66" s="66">
        <f t="shared" ref="J66:J78" si="8">6.5/J$1</f>
        <v>0.20967741935483872</v>
      </c>
      <c r="K66" s="85">
        <v>1.32E-2</v>
      </c>
      <c r="L66" s="85">
        <v>2.2000000000000001E-3</v>
      </c>
      <c r="M66" s="85">
        <v>7.1999999999999998E-3</v>
      </c>
      <c r="N66" s="85">
        <v>0</v>
      </c>
      <c r="O66" s="86">
        <v>2.1160000000000002E-2</v>
      </c>
      <c r="P66" s="85">
        <f t="shared" si="5"/>
        <v>0.23227741935483873</v>
      </c>
      <c r="Q66" s="87">
        <v>63822</v>
      </c>
      <c r="R66" s="83">
        <v>303</v>
      </c>
      <c r="S66" s="42" t="s">
        <v>81</v>
      </c>
      <c r="T66" s="88">
        <f t="shared" si="7"/>
        <v>1969.5</v>
      </c>
      <c r="U66" s="88"/>
      <c r="V66" s="82">
        <v>141146</v>
      </c>
      <c r="W66" s="42"/>
      <c r="X66" s="89"/>
      <c r="Y66" s="89"/>
    </row>
    <row r="67" spans="2:25" s="46" customFormat="1" x14ac:dyDescent="0.25">
      <c r="B67" s="42" t="s">
        <v>37</v>
      </c>
      <c r="C67" s="83" t="s">
        <v>50</v>
      </c>
      <c r="D67" s="83" t="s">
        <v>62</v>
      </c>
      <c r="E67" s="84">
        <v>36312</v>
      </c>
      <c r="F67" s="84">
        <v>36677</v>
      </c>
      <c r="G67" s="42" t="s">
        <v>64</v>
      </c>
      <c r="H67" s="42" t="s">
        <v>72</v>
      </c>
      <c r="I67" s="83" t="s">
        <v>65</v>
      </c>
      <c r="J67" s="66">
        <f t="shared" si="8"/>
        <v>0.20967741935483872</v>
      </c>
      <c r="K67" s="85">
        <v>1.32E-2</v>
      </c>
      <c r="L67" s="85">
        <v>2.2000000000000001E-3</v>
      </c>
      <c r="M67" s="85">
        <v>7.1999999999999998E-3</v>
      </c>
      <c r="N67" s="85">
        <v>0</v>
      </c>
      <c r="O67" s="86">
        <v>2.1160000000000002E-2</v>
      </c>
      <c r="P67" s="85">
        <f t="shared" si="5"/>
        <v>0.23227741935483873</v>
      </c>
      <c r="Q67" s="87">
        <v>63825</v>
      </c>
      <c r="R67" s="83">
        <v>213</v>
      </c>
      <c r="S67" s="42" t="s">
        <v>82</v>
      </c>
      <c r="T67" s="88">
        <f t="shared" si="7"/>
        <v>1384.5</v>
      </c>
      <c r="U67" s="88"/>
      <c r="V67" s="82">
        <v>141148</v>
      </c>
      <c r="W67" s="42"/>
      <c r="X67" s="89"/>
      <c r="Y67" s="89"/>
    </row>
    <row r="68" spans="2:25" s="46" customFormat="1" x14ac:dyDescent="0.25">
      <c r="B68" s="42" t="s">
        <v>37</v>
      </c>
      <c r="C68" s="83" t="s">
        <v>50</v>
      </c>
      <c r="D68" s="83" t="s">
        <v>63</v>
      </c>
      <c r="E68" s="84">
        <v>36342</v>
      </c>
      <c r="F68" s="84">
        <v>36707</v>
      </c>
      <c r="G68" s="42" t="s">
        <v>64</v>
      </c>
      <c r="H68" s="42" t="s">
        <v>68</v>
      </c>
      <c r="I68" s="83" t="s">
        <v>65</v>
      </c>
      <c r="J68" s="66">
        <f t="shared" si="8"/>
        <v>0.20967741935483872</v>
      </c>
      <c r="K68" s="85">
        <v>1.32E-2</v>
      </c>
      <c r="L68" s="85">
        <v>2.2000000000000001E-3</v>
      </c>
      <c r="M68" s="85">
        <v>7.1999999999999998E-3</v>
      </c>
      <c r="N68" s="85">
        <v>0</v>
      </c>
      <c r="O68" s="86">
        <v>2.1160000000000002E-2</v>
      </c>
      <c r="P68" s="85">
        <f t="shared" si="5"/>
        <v>0.23227741935483873</v>
      </c>
      <c r="Q68" s="87">
        <v>64034</v>
      </c>
      <c r="R68" s="83">
        <v>911</v>
      </c>
      <c r="S68" s="42" t="s">
        <v>83</v>
      </c>
      <c r="T68" s="88">
        <f t="shared" si="7"/>
        <v>5921.5</v>
      </c>
      <c r="U68" s="88"/>
      <c r="V68" s="82">
        <v>141150</v>
      </c>
      <c r="W68" s="42"/>
      <c r="X68" s="89"/>
      <c r="Y68" s="89"/>
    </row>
    <row r="69" spans="2:25" s="46" customFormat="1" x14ac:dyDescent="0.25">
      <c r="B69" s="42" t="s">
        <v>37</v>
      </c>
      <c r="C69" s="83" t="s">
        <v>50</v>
      </c>
      <c r="D69" s="83" t="s">
        <v>62</v>
      </c>
      <c r="E69" s="84">
        <v>36342</v>
      </c>
      <c r="F69" s="84">
        <v>36707</v>
      </c>
      <c r="G69" s="42" t="s">
        <v>64</v>
      </c>
      <c r="H69" s="42" t="s">
        <v>66</v>
      </c>
      <c r="I69" s="83" t="s">
        <v>65</v>
      </c>
      <c r="J69" s="66">
        <f t="shared" si="8"/>
        <v>0.20967741935483872</v>
      </c>
      <c r="K69" s="85">
        <v>1.32E-2</v>
      </c>
      <c r="L69" s="85">
        <v>2.2000000000000001E-3</v>
      </c>
      <c r="M69" s="85">
        <v>7.1999999999999998E-3</v>
      </c>
      <c r="N69" s="85">
        <v>0</v>
      </c>
      <c r="O69" s="86">
        <v>2.1160000000000002E-2</v>
      </c>
      <c r="P69" s="85">
        <f t="shared" si="5"/>
        <v>0.23227741935483873</v>
      </c>
      <c r="Q69" s="87">
        <v>64036</v>
      </c>
      <c r="R69" s="83">
        <v>1</v>
      </c>
      <c r="S69" s="42" t="s">
        <v>84</v>
      </c>
      <c r="T69" s="88">
        <f t="shared" si="7"/>
        <v>6.5</v>
      </c>
      <c r="U69" s="88"/>
      <c r="V69" s="82">
        <v>141151</v>
      </c>
      <c r="W69" s="42"/>
      <c r="X69" s="89"/>
      <c r="Y69" s="89"/>
    </row>
    <row r="70" spans="2:25" s="46" customFormat="1" x14ac:dyDescent="0.25">
      <c r="B70" s="42" t="s">
        <v>37</v>
      </c>
      <c r="C70" s="83" t="s">
        <v>50</v>
      </c>
      <c r="D70" s="83" t="s">
        <v>63</v>
      </c>
      <c r="E70" s="84">
        <v>36373</v>
      </c>
      <c r="F70" s="84">
        <v>36738</v>
      </c>
      <c r="G70" s="42" t="s">
        <v>64</v>
      </c>
      <c r="H70" s="42" t="s">
        <v>68</v>
      </c>
      <c r="I70" s="83" t="s">
        <v>65</v>
      </c>
      <c r="J70" s="66">
        <f t="shared" si="8"/>
        <v>0.20967741935483872</v>
      </c>
      <c r="K70" s="85">
        <v>1.32E-2</v>
      </c>
      <c r="L70" s="85">
        <v>2.2000000000000001E-3</v>
      </c>
      <c r="M70" s="85">
        <v>7.1999999999999998E-3</v>
      </c>
      <c r="N70" s="85">
        <v>0</v>
      </c>
      <c r="O70" s="86">
        <v>2.1160000000000002E-2</v>
      </c>
      <c r="P70" s="85">
        <f t="shared" si="5"/>
        <v>0.23227741935483873</v>
      </c>
      <c r="Q70" s="87">
        <v>64328</v>
      </c>
      <c r="R70" s="83">
        <v>51</v>
      </c>
      <c r="S70" s="42" t="s">
        <v>85</v>
      </c>
      <c r="T70" s="88">
        <f t="shared" si="7"/>
        <v>331.5</v>
      </c>
      <c r="U70" s="88"/>
      <c r="V70" s="82">
        <v>141152</v>
      </c>
      <c r="W70" s="42"/>
      <c r="X70" s="89"/>
      <c r="Y70" s="89"/>
    </row>
    <row r="71" spans="2:25" s="46" customFormat="1" x14ac:dyDescent="0.25">
      <c r="B71" s="42" t="s">
        <v>37</v>
      </c>
      <c r="C71" s="83" t="s">
        <v>50</v>
      </c>
      <c r="D71" s="83" t="s">
        <v>62</v>
      </c>
      <c r="E71" s="84">
        <v>36373</v>
      </c>
      <c r="F71" s="84">
        <v>36738</v>
      </c>
      <c r="G71" s="42" t="s">
        <v>64</v>
      </c>
      <c r="H71" s="42" t="s">
        <v>72</v>
      </c>
      <c r="I71" s="83" t="s">
        <v>65</v>
      </c>
      <c r="J71" s="66">
        <f t="shared" si="8"/>
        <v>0.20967741935483872</v>
      </c>
      <c r="K71" s="85">
        <v>1.32E-2</v>
      </c>
      <c r="L71" s="85">
        <v>2.2000000000000001E-3</v>
      </c>
      <c r="M71" s="85">
        <v>7.1999999999999998E-3</v>
      </c>
      <c r="N71" s="85">
        <v>0</v>
      </c>
      <c r="O71" s="86">
        <v>2.1160000000000002E-2</v>
      </c>
      <c r="P71" s="85">
        <f t="shared" si="5"/>
        <v>0.23227741935483873</v>
      </c>
      <c r="Q71" s="87">
        <v>64329</v>
      </c>
      <c r="R71" s="83">
        <v>12</v>
      </c>
      <c r="S71" s="42" t="s">
        <v>86</v>
      </c>
      <c r="T71" s="88">
        <f t="shared" si="7"/>
        <v>78</v>
      </c>
      <c r="U71" s="88"/>
      <c r="V71" s="82">
        <v>141153</v>
      </c>
      <c r="W71" s="42"/>
      <c r="X71" s="89"/>
      <c r="Y71" s="89"/>
    </row>
    <row r="72" spans="2:25" s="46" customFormat="1" x14ac:dyDescent="0.25">
      <c r="B72" s="42" t="s">
        <v>37</v>
      </c>
      <c r="C72" s="83" t="s">
        <v>50</v>
      </c>
      <c r="D72" s="83" t="s">
        <v>62</v>
      </c>
      <c r="E72" s="84">
        <v>36404</v>
      </c>
      <c r="F72" s="84">
        <v>36769</v>
      </c>
      <c r="G72" s="42" t="s">
        <v>64</v>
      </c>
      <c r="H72" s="42" t="s">
        <v>72</v>
      </c>
      <c r="I72" s="83" t="s">
        <v>65</v>
      </c>
      <c r="J72" s="66">
        <f t="shared" si="8"/>
        <v>0.20967741935483872</v>
      </c>
      <c r="K72" s="85">
        <v>1.32E-2</v>
      </c>
      <c r="L72" s="85">
        <v>2.2000000000000001E-3</v>
      </c>
      <c r="M72" s="85">
        <v>7.1999999999999998E-3</v>
      </c>
      <c r="N72" s="85">
        <v>0</v>
      </c>
      <c r="O72" s="86">
        <v>2.1160000000000002E-2</v>
      </c>
      <c r="P72" s="85">
        <f t="shared" si="5"/>
        <v>0.23227741935483873</v>
      </c>
      <c r="Q72" s="87">
        <v>64651</v>
      </c>
      <c r="R72" s="83">
        <v>64</v>
      </c>
      <c r="S72" s="42" t="s">
        <v>87</v>
      </c>
      <c r="T72" s="88">
        <f t="shared" si="7"/>
        <v>416</v>
      </c>
      <c r="U72" s="88"/>
      <c r="V72" s="82">
        <v>141155</v>
      </c>
      <c r="W72" s="42"/>
      <c r="X72" s="89"/>
      <c r="Y72" s="89"/>
    </row>
    <row r="73" spans="2:25" s="46" customFormat="1" x14ac:dyDescent="0.25">
      <c r="B73" s="42" t="s">
        <v>37</v>
      </c>
      <c r="C73" s="83" t="s">
        <v>50</v>
      </c>
      <c r="D73" s="83" t="s">
        <v>62</v>
      </c>
      <c r="E73" s="84">
        <v>36434</v>
      </c>
      <c r="F73" s="84">
        <v>36799</v>
      </c>
      <c r="G73" s="42" t="s">
        <v>64</v>
      </c>
      <c r="H73" s="42" t="s">
        <v>66</v>
      </c>
      <c r="I73" s="83" t="s">
        <v>65</v>
      </c>
      <c r="J73" s="66">
        <f t="shared" si="8"/>
        <v>0.20967741935483872</v>
      </c>
      <c r="K73" s="85">
        <v>1.32E-2</v>
      </c>
      <c r="L73" s="85">
        <v>2.2000000000000001E-3</v>
      </c>
      <c r="M73" s="85">
        <v>7.1999999999999998E-3</v>
      </c>
      <c r="N73" s="85">
        <v>0</v>
      </c>
      <c r="O73" s="86">
        <v>2.1160000000000002E-2</v>
      </c>
      <c r="P73" s="85">
        <f t="shared" si="5"/>
        <v>0.23227741935483873</v>
      </c>
      <c r="Q73" s="87">
        <v>64862</v>
      </c>
      <c r="R73" s="83">
        <v>13</v>
      </c>
      <c r="S73" s="42" t="s">
        <v>88</v>
      </c>
      <c r="T73" s="88">
        <f t="shared" si="7"/>
        <v>84.5</v>
      </c>
      <c r="U73" s="88"/>
      <c r="V73" s="82">
        <v>141157</v>
      </c>
      <c r="W73" s="42"/>
      <c r="X73" s="89"/>
      <c r="Y73" s="89"/>
    </row>
    <row r="74" spans="2:25" s="46" customFormat="1" x14ac:dyDescent="0.25">
      <c r="B74" s="42" t="s">
        <v>37</v>
      </c>
      <c r="C74" s="83" t="s">
        <v>50</v>
      </c>
      <c r="D74" s="83" t="s">
        <v>74</v>
      </c>
      <c r="E74" s="84">
        <v>36434</v>
      </c>
      <c r="F74" s="84">
        <v>36799</v>
      </c>
      <c r="G74" s="42" t="s">
        <v>64</v>
      </c>
      <c r="H74" s="42" t="s">
        <v>89</v>
      </c>
      <c r="I74" s="83" t="s">
        <v>65</v>
      </c>
      <c r="J74" s="66">
        <f t="shared" si="8"/>
        <v>0.20967741935483872</v>
      </c>
      <c r="K74" s="85">
        <v>1.32E-2</v>
      </c>
      <c r="L74" s="85">
        <v>2.2000000000000001E-3</v>
      </c>
      <c r="M74" s="85">
        <v>7.1999999999999998E-3</v>
      </c>
      <c r="N74" s="85">
        <v>0</v>
      </c>
      <c r="O74" s="86">
        <v>2.1160000000000002E-2</v>
      </c>
      <c r="P74" s="85">
        <f t="shared" si="5"/>
        <v>0.23227741935483873</v>
      </c>
      <c r="Q74" s="87">
        <v>64939</v>
      </c>
      <c r="R74" s="83">
        <v>2300</v>
      </c>
      <c r="S74" s="42" t="s">
        <v>90</v>
      </c>
      <c r="T74" s="88">
        <f t="shared" si="7"/>
        <v>14950</v>
      </c>
      <c r="U74" s="88"/>
      <c r="V74" s="82">
        <v>141158</v>
      </c>
      <c r="W74" s="42"/>
      <c r="X74" s="89"/>
      <c r="Y74" s="89"/>
    </row>
    <row r="75" spans="2:25" s="46" customFormat="1" x14ac:dyDescent="0.25">
      <c r="B75" s="42" t="s">
        <v>37</v>
      </c>
      <c r="C75" s="83" t="s">
        <v>50</v>
      </c>
      <c r="D75" s="83" t="s">
        <v>62</v>
      </c>
      <c r="E75" s="84">
        <v>36465</v>
      </c>
      <c r="F75" s="84">
        <v>36830</v>
      </c>
      <c r="G75" s="42" t="s">
        <v>64</v>
      </c>
      <c r="H75" s="42" t="s">
        <v>72</v>
      </c>
      <c r="I75" s="83" t="s">
        <v>65</v>
      </c>
      <c r="J75" s="66">
        <f t="shared" si="8"/>
        <v>0.20967741935483872</v>
      </c>
      <c r="K75" s="85">
        <v>1.32E-2</v>
      </c>
      <c r="L75" s="85">
        <v>2.2000000000000001E-3</v>
      </c>
      <c r="M75" s="85">
        <v>7.1999999999999998E-3</v>
      </c>
      <c r="N75" s="85">
        <v>0</v>
      </c>
      <c r="O75" s="86">
        <v>2.1160000000000002E-2</v>
      </c>
      <c r="P75" s="85">
        <f t="shared" si="5"/>
        <v>0.23227741935483873</v>
      </c>
      <c r="Q75" s="87">
        <v>65026</v>
      </c>
      <c r="R75" s="83">
        <v>128</v>
      </c>
      <c r="S75" s="42" t="s">
        <v>91</v>
      </c>
      <c r="T75" s="88">
        <f t="shared" si="7"/>
        <v>832</v>
      </c>
      <c r="U75" s="88"/>
      <c r="V75" s="90" t="s">
        <v>108</v>
      </c>
      <c r="W75" s="42"/>
      <c r="X75" s="89"/>
      <c r="Y75" s="89"/>
    </row>
    <row r="76" spans="2:25" s="46" customFormat="1" x14ac:dyDescent="0.25">
      <c r="B76" s="42" t="s">
        <v>37</v>
      </c>
      <c r="C76" s="83" t="s">
        <v>50</v>
      </c>
      <c r="D76" s="83" t="s">
        <v>92</v>
      </c>
      <c r="E76" s="84">
        <v>36465</v>
      </c>
      <c r="F76" s="84">
        <v>36830</v>
      </c>
      <c r="G76" s="42" t="s">
        <v>64</v>
      </c>
      <c r="H76" s="42" t="s">
        <v>93</v>
      </c>
      <c r="I76" s="83" t="s">
        <v>65</v>
      </c>
      <c r="J76" s="66">
        <f t="shared" si="8"/>
        <v>0.20967741935483872</v>
      </c>
      <c r="K76" s="85">
        <v>1.32E-2</v>
      </c>
      <c r="L76" s="85">
        <v>2.2000000000000001E-3</v>
      </c>
      <c r="M76" s="85">
        <v>7.1999999999999998E-3</v>
      </c>
      <c r="N76" s="85">
        <v>0</v>
      </c>
      <c r="O76" s="86">
        <v>2.1160000000000002E-2</v>
      </c>
      <c r="P76" s="85">
        <f t="shared" si="5"/>
        <v>0.23227741935483873</v>
      </c>
      <c r="Q76" s="87">
        <v>65041</v>
      </c>
      <c r="R76" s="83">
        <v>9619</v>
      </c>
      <c r="S76" s="42" t="s">
        <v>94</v>
      </c>
      <c r="T76" s="88">
        <f t="shared" si="7"/>
        <v>62523.5</v>
      </c>
      <c r="U76" s="88"/>
      <c r="V76" s="90" t="s">
        <v>107</v>
      </c>
      <c r="W76" s="42"/>
      <c r="X76" s="89"/>
      <c r="Y76" s="89"/>
    </row>
    <row r="77" spans="2:25" s="46" customFormat="1" x14ac:dyDescent="0.25">
      <c r="B77" s="42" t="s">
        <v>37</v>
      </c>
      <c r="C77" s="83" t="s">
        <v>50</v>
      </c>
      <c r="D77" s="83" t="s">
        <v>92</v>
      </c>
      <c r="E77" s="84">
        <v>36465</v>
      </c>
      <c r="F77" s="84">
        <v>36830</v>
      </c>
      <c r="G77" s="42" t="s">
        <v>64</v>
      </c>
      <c r="H77" s="42" t="s">
        <v>96</v>
      </c>
      <c r="I77" s="83" t="s">
        <v>65</v>
      </c>
      <c r="J77" s="66">
        <f t="shared" si="8"/>
        <v>0.20967741935483872</v>
      </c>
      <c r="K77" s="85">
        <v>1.32E-2</v>
      </c>
      <c r="L77" s="85">
        <v>2.2000000000000001E-3</v>
      </c>
      <c r="M77" s="85">
        <v>7.1999999999999998E-3</v>
      </c>
      <c r="N77" s="85">
        <v>0</v>
      </c>
      <c r="O77" s="86">
        <v>2.1160000000000002E-2</v>
      </c>
      <c r="P77" s="85">
        <f t="shared" si="5"/>
        <v>0.23227741935483873</v>
      </c>
      <c r="Q77" s="87">
        <v>65042</v>
      </c>
      <c r="R77" s="83">
        <v>4427</v>
      </c>
      <c r="S77" s="42" t="s">
        <v>95</v>
      </c>
      <c r="T77" s="88">
        <f t="shared" si="7"/>
        <v>28775.5</v>
      </c>
      <c r="U77" s="88"/>
      <c r="V77" s="90" t="s">
        <v>109</v>
      </c>
      <c r="W77" s="42"/>
      <c r="X77" s="89"/>
      <c r="Y77" s="89"/>
    </row>
    <row r="78" spans="2:25" s="59" customFormat="1" x14ac:dyDescent="0.25">
      <c r="B78" s="44" t="s">
        <v>37</v>
      </c>
      <c r="C78" s="45" t="s">
        <v>50</v>
      </c>
      <c r="D78" s="45" t="s">
        <v>97</v>
      </c>
      <c r="E78" s="52">
        <v>36465</v>
      </c>
      <c r="F78" s="52">
        <v>37011</v>
      </c>
      <c r="G78" s="44" t="s">
        <v>64</v>
      </c>
      <c r="H78" s="44" t="s">
        <v>98</v>
      </c>
      <c r="I78" s="45" t="s">
        <v>65</v>
      </c>
      <c r="J78" s="66">
        <f t="shared" si="8"/>
        <v>0.20967741935483872</v>
      </c>
      <c r="K78" s="54">
        <v>1.32E-2</v>
      </c>
      <c r="L78" s="54">
        <v>2.2000000000000001E-3</v>
      </c>
      <c r="M78" s="54">
        <v>7.1999999999999998E-3</v>
      </c>
      <c r="N78" s="54">
        <v>0</v>
      </c>
      <c r="O78" s="55">
        <v>2.1160000000000002E-2</v>
      </c>
      <c r="P78" s="54">
        <f t="shared" si="5"/>
        <v>0.23227741935483873</v>
      </c>
      <c r="Q78" s="58">
        <v>65108</v>
      </c>
      <c r="R78" s="45">
        <v>5000</v>
      </c>
      <c r="S78" s="44"/>
      <c r="T78" s="56">
        <f t="shared" si="7"/>
        <v>32500</v>
      </c>
      <c r="U78" s="56"/>
      <c r="V78" s="104" t="s">
        <v>110</v>
      </c>
      <c r="W78" s="44"/>
      <c r="X78" s="57"/>
      <c r="Y78" s="57"/>
    </row>
    <row r="79" spans="2:25" s="59" customFormat="1" x14ac:dyDescent="0.25">
      <c r="B79" s="42" t="s">
        <v>118</v>
      </c>
      <c r="C79" s="83" t="s">
        <v>50</v>
      </c>
      <c r="D79" s="83" t="s">
        <v>41</v>
      </c>
      <c r="E79" s="84">
        <v>36465</v>
      </c>
      <c r="F79" s="84">
        <v>36830</v>
      </c>
      <c r="G79" s="42" t="s">
        <v>55</v>
      </c>
      <c r="H79" s="42" t="s">
        <v>56</v>
      </c>
      <c r="I79" s="83" t="s">
        <v>65</v>
      </c>
      <c r="J79" s="66">
        <v>0.15</v>
      </c>
      <c r="K79" s="85">
        <v>1.32E-2</v>
      </c>
      <c r="L79" s="85">
        <v>2.2000000000000001E-3</v>
      </c>
      <c r="M79" s="85">
        <v>7.4999999999999997E-3</v>
      </c>
      <c r="N79" s="85">
        <v>0</v>
      </c>
      <c r="O79" s="86">
        <v>2.1160000000000002E-2</v>
      </c>
      <c r="P79" s="85">
        <f>SUM(J79:N79)</f>
        <v>0.1729</v>
      </c>
      <c r="Q79" s="87">
        <v>65402</v>
      </c>
      <c r="R79" s="83">
        <v>20000</v>
      </c>
      <c r="S79" s="42" t="s">
        <v>261</v>
      </c>
      <c r="T79" s="88">
        <f t="shared" si="7"/>
        <v>92999.999999999985</v>
      </c>
      <c r="U79" s="88"/>
      <c r="V79" s="82"/>
      <c r="W79" s="42"/>
      <c r="X79" s="57"/>
      <c r="Y79" s="57"/>
    </row>
    <row r="80" spans="2:25" s="46" customFormat="1" x14ac:dyDescent="0.25">
      <c r="B80" s="44" t="s">
        <v>37</v>
      </c>
      <c r="C80" s="45" t="s">
        <v>50</v>
      </c>
      <c r="D80" s="45" t="s">
        <v>74</v>
      </c>
      <c r="E80" s="52">
        <v>36465</v>
      </c>
      <c r="F80" s="52">
        <v>36830</v>
      </c>
      <c r="G80" s="44" t="s">
        <v>64</v>
      </c>
      <c r="H80" s="44" t="s">
        <v>99</v>
      </c>
      <c r="I80" s="45" t="s">
        <v>65</v>
      </c>
      <c r="J80" s="66">
        <f>6.5/J$1</f>
        <v>0.20967741935483872</v>
      </c>
      <c r="K80" s="54">
        <v>1.32E-2</v>
      </c>
      <c r="L80" s="54">
        <v>2.2000000000000001E-3</v>
      </c>
      <c r="M80" s="54">
        <v>7.1999999999999998E-3</v>
      </c>
      <c r="N80" s="54">
        <v>0</v>
      </c>
      <c r="O80" s="55">
        <v>2.1160000000000002E-2</v>
      </c>
      <c r="P80" s="54">
        <f t="shared" si="5"/>
        <v>0.23227741935483873</v>
      </c>
      <c r="Q80" s="58">
        <v>65402</v>
      </c>
      <c r="R80" s="45">
        <v>20000</v>
      </c>
      <c r="S80" s="44" t="s">
        <v>100</v>
      </c>
      <c r="T80" s="56">
        <f t="shared" si="7"/>
        <v>130000</v>
      </c>
      <c r="U80" s="56"/>
      <c r="V80" s="70">
        <v>141174</v>
      </c>
      <c r="W80" s="44"/>
      <c r="X80" s="89"/>
      <c r="Y80" s="89"/>
    </row>
    <row r="81" spans="2:25" s="130" customFormat="1" x14ac:dyDescent="0.25">
      <c r="B81" s="131" t="s">
        <v>37</v>
      </c>
      <c r="C81" s="132" t="s">
        <v>50</v>
      </c>
      <c r="D81" s="132"/>
      <c r="E81" s="133">
        <v>36465</v>
      </c>
      <c r="F81" s="133">
        <v>37011</v>
      </c>
      <c r="G81" s="131"/>
      <c r="H81" s="131"/>
      <c r="I81" s="132"/>
      <c r="J81" s="134">
        <f>4.862/30.417</f>
        <v>0.1598448236183713</v>
      </c>
      <c r="K81" s="135"/>
      <c r="L81" s="135"/>
      <c r="M81" s="135"/>
      <c r="N81" s="135"/>
      <c r="O81" s="136"/>
      <c r="P81" s="135"/>
      <c r="Q81" s="137">
        <v>65403</v>
      </c>
      <c r="R81" s="132">
        <v>19293</v>
      </c>
      <c r="S81" s="131"/>
      <c r="T81" s="138"/>
      <c r="U81" s="138"/>
      <c r="V81" s="139"/>
      <c r="W81" s="131"/>
      <c r="X81" s="140"/>
      <c r="Y81" s="140"/>
    </row>
    <row r="82" spans="2:25" s="46" customFormat="1" x14ac:dyDescent="0.25">
      <c r="B82" s="42" t="s">
        <v>37</v>
      </c>
      <c r="C82" s="83" t="s">
        <v>50</v>
      </c>
      <c r="D82" s="83" t="s">
        <v>114</v>
      </c>
      <c r="E82" s="84">
        <v>36465</v>
      </c>
      <c r="F82" s="84">
        <v>36677</v>
      </c>
      <c r="G82" s="42" t="s">
        <v>152</v>
      </c>
      <c r="H82" s="42" t="s">
        <v>153</v>
      </c>
      <c r="I82" s="83" t="s">
        <v>65</v>
      </c>
      <c r="J82" s="66">
        <f>6.5/J$1</f>
        <v>0.20967741935483872</v>
      </c>
      <c r="K82" s="85">
        <v>1.32E-2</v>
      </c>
      <c r="L82" s="85">
        <v>2.2000000000000001E-3</v>
      </c>
      <c r="M82" s="85">
        <v>7.1999999999999998E-3</v>
      </c>
      <c r="N82" s="85">
        <v>0</v>
      </c>
      <c r="O82" s="86">
        <v>2.1160000000000002E-2</v>
      </c>
      <c r="P82" s="85">
        <f t="shared" si="5"/>
        <v>0.23227741935483873</v>
      </c>
      <c r="Q82" s="87">
        <v>65404</v>
      </c>
      <c r="R82" s="83">
        <v>34</v>
      </c>
      <c r="S82" s="42" t="s">
        <v>154</v>
      </c>
      <c r="T82" s="88">
        <f t="shared" si="7"/>
        <v>221</v>
      </c>
      <c r="U82" s="88"/>
      <c r="V82" s="82">
        <v>142774</v>
      </c>
      <c r="W82" s="42"/>
      <c r="X82" s="89"/>
      <c r="Y82" s="89"/>
    </row>
    <row r="83" spans="2:25" s="46" customFormat="1" x14ac:dyDescent="0.25">
      <c r="B83" s="42" t="s">
        <v>37</v>
      </c>
      <c r="C83" s="83" t="s">
        <v>50</v>
      </c>
      <c r="D83" s="83"/>
      <c r="E83" s="84">
        <v>36465</v>
      </c>
      <c r="F83" s="84">
        <v>36830</v>
      </c>
      <c r="G83" s="42" t="s">
        <v>155</v>
      </c>
      <c r="H83" s="42" t="s">
        <v>147</v>
      </c>
      <c r="I83" s="83" t="s">
        <v>65</v>
      </c>
      <c r="J83" s="66">
        <f>4.563/J$1</f>
        <v>0.14719354838709678</v>
      </c>
      <c r="K83" s="85">
        <v>1.32E-2</v>
      </c>
      <c r="L83" s="85">
        <v>2.2000000000000001E-3</v>
      </c>
      <c r="M83" s="85">
        <v>7.1999999999999998E-3</v>
      </c>
      <c r="N83" s="85">
        <v>0</v>
      </c>
      <c r="O83" s="86">
        <v>2.1160000000000002E-2</v>
      </c>
      <c r="P83" s="85">
        <f t="shared" si="5"/>
        <v>0.16979354838709679</v>
      </c>
      <c r="Q83" s="87">
        <v>65418</v>
      </c>
      <c r="R83" s="83">
        <v>500</v>
      </c>
      <c r="S83" s="42" t="s">
        <v>156</v>
      </c>
      <c r="T83" s="88">
        <f t="shared" si="7"/>
        <v>2281.5</v>
      </c>
      <c r="U83" s="88"/>
      <c r="V83" s="82">
        <v>142790</v>
      </c>
      <c r="W83" s="42"/>
      <c r="X83" s="89"/>
      <c r="Y83" s="89"/>
    </row>
    <row r="84" spans="2:25" s="46" customFormat="1" x14ac:dyDescent="0.25">
      <c r="B84" s="42" t="s">
        <v>37</v>
      </c>
      <c r="C84" s="83" t="s">
        <v>50</v>
      </c>
      <c r="D84" s="83" t="s">
        <v>74</v>
      </c>
      <c r="E84" s="84">
        <v>36465</v>
      </c>
      <c r="F84" s="84">
        <v>36616</v>
      </c>
      <c r="G84" s="42" t="s">
        <v>75</v>
      </c>
      <c r="H84" s="42" t="s">
        <v>102</v>
      </c>
      <c r="I84" s="83" t="s">
        <v>103</v>
      </c>
      <c r="J84" s="66">
        <f>6.329/J$1</f>
        <v>0.20416129032258062</v>
      </c>
      <c r="K84" s="85">
        <v>1.2999999999999999E-2</v>
      </c>
      <c r="L84" s="85">
        <v>2.2000000000000001E-3</v>
      </c>
      <c r="M84" s="85">
        <v>7.1999999999999998E-3</v>
      </c>
      <c r="N84" s="85">
        <v>0</v>
      </c>
      <c r="O84" s="86">
        <v>2.1160000000000002E-2</v>
      </c>
      <c r="P84" s="85">
        <f t="shared" si="5"/>
        <v>0.22656129032258066</v>
      </c>
      <c r="Q84" s="87">
        <v>65458</v>
      </c>
      <c r="R84" s="83">
        <v>33</v>
      </c>
      <c r="S84" s="42" t="s">
        <v>104</v>
      </c>
      <c r="T84" s="88">
        <f t="shared" si="7"/>
        <v>208.857</v>
      </c>
      <c r="U84" s="88"/>
      <c r="V84" s="82">
        <v>141176</v>
      </c>
      <c r="W84" s="42"/>
      <c r="X84" s="89"/>
      <c r="Y84" s="89"/>
    </row>
    <row r="85" spans="2:25" s="130" customFormat="1" x14ac:dyDescent="0.25">
      <c r="B85" s="131" t="s">
        <v>37</v>
      </c>
      <c r="C85" s="132" t="s">
        <v>50</v>
      </c>
      <c r="D85" s="132"/>
      <c r="E85" s="133"/>
      <c r="F85" s="133"/>
      <c r="G85" s="131"/>
      <c r="H85" s="131"/>
      <c r="I85" s="132"/>
      <c r="J85" s="134"/>
      <c r="K85" s="135"/>
      <c r="L85" s="135"/>
      <c r="M85" s="135"/>
      <c r="N85" s="135"/>
      <c r="O85" s="136"/>
      <c r="P85" s="135"/>
      <c r="Q85" s="137">
        <v>65534</v>
      </c>
      <c r="R85" s="132"/>
      <c r="S85" s="131"/>
      <c r="T85" s="138"/>
      <c r="U85" s="138"/>
      <c r="V85" s="139"/>
      <c r="W85" s="131"/>
      <c r="X85" s="140"/>
      <c r="Y85" s="140"/>
    </row>
    <row r="86" spans="2:25" s="46" customFormat="1" x14ac:dyDescent="0.25">
      <c r="B86" s="42" t="s">
        <v>37</v>
      </c>
      <c r="C86" s="83" t="s">
        <v>50</v>
      </c>
      <c r="D86" s="83" t="s">
        <v>62</v>
      </c>
      <c r="E86" s="84">
        <v>36495</v>
      </c>
      <c r="F86" s="84">
        <v>36860</v>
      </c>
      <c r="G86" s="42" t="s">
        <v>64</v>
      </c>
      <c r="H86" s="42" t="s">
        <v>72</v>
      </c>
      <c r="I86" s="83" t="s">
        <v>65</v>
      </c>
      <c r="J86" s="66">
        <f>6.5/J$1</f>
        <v>0.20967741935483872</v>
      </c>
      <c r="K86" s="85">
        <v>1.32E-2</v>
      </c>
      <c r="L86" s="85">
        <v>2.2000000000000001E-3</v>
      </c>
      <c r="M86" s="85">
        <v>7.1999999999999998E-3</v>
      </c>
      <c r="N86" s="85">
        <v>0</v>
      </c>
      <c r="O86" s="86">
        <v>2.1160000000000002E-2</v>
      </c>
      <c r="P86" s="85">
        <f t="shared" si="5"/>
        <v>0.23227741935483873</v>
      </c>
      <c r="Q86" s="87">
        <v>65556</v>
      </c>
      <c r="R86" s="83">
        <v>3</v>
      </c>
      <c r="S86" s="42" t="s">
        <v>101</v>
      </c>
      <c r="T86" s="88">
        <f t="shared" si="7"/>
        <v>19.5</v>
      </c>
      <c r="U86" s="88"/>
      <c r="V86" s="82">
        <v>141175</v>
      </c>
      <c r="W86" s="42"/>
      <c r="X86" s="89"/>
      <c r="Y86" s="89"/>
    </row>
    <row r="87" spans="2:25" s="81" customFormat="1" x14ac:dyDescent="0.25">
      <c r="B87" s="42" t="s">
        <v>37</v>
      </c>
      <c r="C87" s="83" t="s">
        <v>50</v>
      </c>
      <c r="D87" s="83" t="s">
        <v>114</v>
      </c>
      <c r="E87" s="84">
        <v>36495</v>
      </c>
      <c r="F87" s="84">
        <v>36616</v>
      </c>
      <c r="G87" s="42" t="s">
        <v>152</v>
      </c>
      <c r="H87" s="42" t="s">
        <v>153</v>
      </c>
      <c r="I87" s="83" t="s">
        <v>65</v>
      </c>
      <c r="J87" s="66">
        <f>6.5/J$1</f>
        <v>0.20967741935483872</v>
      </c>
      <c r="K87" s="85">
        <v>1.32E-2</v>
      </c>
      <c r="L87" s="85">
        <v>2.2000000000000001E-3</v>
      </c>
      <c r="M87" s="85">
        <v>7.1999999999999998E-3</v>
      </c>
      <c r="N87" s="85">
        <v>0</v>
      </c>
      <c r="O87" s="86">
        <v>2.1160000000000002E-2</v>
      </c>
      <c r="P87" s="85">
        <f t="shared" si="5"/>
        <v>0.23227741935483873</v>
      </c>
      <c r="Q87" s="87">
        <v>65659</v>
      </c>
      <c r="R87" s="83">
        <v>3</v>
      </c>
      <c r="S87" s="42" t="s">
        <v>157</v>
      </c>
      <c r="T87" s="88">
        <f t="shared" si="7"/>
        <v>19.5</v>
      </c>
      <c r="U87" s="88"/>
      <c r="V87" s="82">
        <v>142812</v>
      </c>
      <c r="W87" s="42"/>
      <c r="X87" s="80"/>
      <c r="Y87" s="80"/>
    </row>
    <row r="88" spans="2:25" s="130" customFormat="1" x14ac:dyDescent="0.25">
      <c r="B88" s="131" t="s">
        <v>37</v>
      </c>
      <c r="C88" s="132" t="s">
        <v>50</v>
      </c>
      <c r="D88" s="132"/>
      <c r="E88" s="133"/>
      <c r="F88" s="133"/>
      <c r="G88" s="131"/>
      <c r="H88" s="131"/>
      <c r="I88" s="132" t="s">
        <v>65</v>
      </c>
      <c r="J88" s="134">
        <f>6.5/31</f>
        <v>0.20967741935483872</v>
      </c>
      <c r="K88" s="135"/>
      <c r="L88" s="135"/>
      <c r="M88" s="135"/>
      <c r="N88" s="135"/>
      <c r="O88" s="136"/>
      <c r="P88" s="135"/>
      <c r="Q88" s="137">
        <v>65857</v>
      </c>
      <c r="R88" s="132">
        <v>213</v>
      </c>
      <c r="S88" s="131"/>
      <c r="T88" s="138"/>
      <c r="U88" s="138"/>
      <c r="V88" s="139">
        <v>149350</v>
      </c>
      <c r="W88" s="131"/>
      <c r="X88" s="140"/>
      <c r="Y88" s="140"/>
    </row>
    <row r="89" spans="2:25" s="81" customFormat="1" x14ac:dyDescent="0.25">
      <c r="B89" s="42" t="s">
        <v>118</v>
      </c>
      <c r="C89" s="83" t="s">
        <v>50</v>
      </c>
      <c r="D89" s="83" t="s">
        <v>251</v>
      </c>
      <c r="E89" s="84">
        <v>36526</v>
      </c>
      <c r="F89" s="84">
        <v>36556</v>
      </c>
      <c r="G89" s="91" t="s">
        <v>252</v>
      </c>
      <c r="H89" s="91" t="s">
        <v>253</v>
      </c>
      <c r="I89" s="83"/>
      <c r="J89" s="66">
        <f>3.72/J$1</f>
        <v>0.12000000000000001</v>
      </c>
      <c r="K89" s="85">
        <v>1.32E-2</v>
      </c>
      <c r="L89" s="85">
        <v>2.2000000000000001E-3</v>
      </c>
      <c r="M89" s="85">
        <v>7.4999999999999997E-3</v>
      </c>
      <c r="N89" s="85">
        <v>0</v>
      </c>
      <c r="O89" s="86">
        <v>2.1160000000000002E-2</v>
      </c>
      <c r="P89" s="85">
        <f>SUM(J89:N89)</f>
        <v>0.14290000000000003</v>
      </c>
      <c r="Q89" s="87">
        <v>65997</v>
      </c>
      <c r="R89" s="83">
        <v>2200</v>
      </c>
      <c r="S89" s="42"/>
      <c r="T89" s="88">
        <f t="shared" si="7"/>
        <v>8184</v>
      </c>
      <c r="U89" s="88"/>
      <c r="V89" s="82">
        <v>144624</v>
      </c>
      <c r="W89" s="42"/>
      <c r="X89" s="80"/>
      <c r="Y89" s="80"/>
    </row>
    <row r="90" spans="2:25" x14ac:dyDescent="0.25">
      <c r="B90" s="10" t="s">
        <v>3</v>
      </c>
      <c r="C90" s="11" t="s">
        <v>3</v>
      </c>
      <c r="D90" s="11" t="s">
        <v>3</v>
      </c>
      <c r="E90" s="13" t="s">
        <v>3</v>
      </c>
      <c r="F90" s="13" t="s">
        <v>3</v>
      </c>
      <c r="G90" s="10" t="s">
        <v>3</v>
      </c>
      <c r="H90" s="30" t="s">
        <v>3</v>
      </c>
      <c r="I90" s="11" t="s">
        <v>3</v>
      </c>
      <c r="J90" s="14"/>
      <c r="K90" s="15"/>
      <c r="L90" s="15"/>
      <c r="M90" s="15"/>
      <c r="N90" s="15"/>
      <c r="O90" s="49"/>
      <c r="P90" s="15"/>
      <c r="Q90" s="26" t="s">
        <v>3</v>
      </c>
      <c r="R90" s="11">
        <f>SUM(R60:R89)</f>
        <v>7733987</v>
      </c>
      <c r="S90" s="10" t="s">
        <v>3</v>
      </c>
      <c r="T90" s="22">
        <f>SUM(T45:T89)</f>
        <v>1760521.6088</v>
      </c>
      <c r="U90" s="22">
        <f>SUM(U60:U60)</f>
        <v>0</v>
      </c>
      <c r="V90" s="71"/>
      <c r="W90" s="30"/>
      <c r="X90" s="36"/>
      <c r="Y90" s="36"/>
    </row>
    <row r="91" spans="2:25" x14ac:dyDescent="0.25">
      <c r="B91" s="16" t="s">
        <v>4</v>
      </c>
      <c r="C91" s="17" t="s">
        <v>5</v>
      </c>
      <c r="D91" s="17" t="s">
        <v>6</v>
      </c>
      <c r="E91" s="18" t="s">
        <v>7</v>
      </c>
      <c r="F91" s="18"/>
      <c r="G91" s="16" t="s">
        <v>8</v>
      </c>
      <c r="H91" s="16" t="s">
        <v>9</v>
      </c>
      <c r="I91" s="17" t="s">
        <v>61</v>
      </c>
      <c r="J91" s="19" t="s">
        <v>11</v>
      </c>
      <c r="K91" s="17" t="s">
        <v>12</v>
      </c>
      <c r="L91" s="17" t="s">
        <v>13</v>
      </c>
      <c r="M91" s="17" t="s">
        <v>14</v>
      </c>
      <c r="N91" s="17" t="s">
        <v>15</v>
      </c>
      <c r="O91" s="48" t="s">
        <v>16</v>
      </c>
      <c r="P91" s="17" t="s">
        <v>17</v>
      </c>
      <c r="Q91" s="20" t="s">
        <v>18</v>
      </c>
      <c r="R91" s="17" t="s">
        <v>19</v>
      </c>
      <c r="S91" s="16" t="s">
        <v>20</v>
      </c>
      <c r="T91" s="21" t="s">
        <v>60</v>
      </c>
      <c r="U91" s="21" t="s">
        <v>59</v>
      </c>
      <c r="V91" s="69" t="s">
        <v>36</v>
      </c>
      <c r="W91" s="95">
        <f>+W67</f>
        <v>0</v>
      </c>
      <c r="X91" s="36"/>
      <c r="Y91" s="36"/>
    </row>
    <row r="92" spans="2:25" s="46" customFormat="1" x14ac:dyDescent="0.25">
      <c r="B92" s="42" t="s">
        <v>118</v>
      </c>
      <c r="C92" s="83" t="s">
        <v>42</v>
      </c>
      <c r="D92" s="83" t="s">
        <v>57</v>
      </c>
      <c r="E92" s="84">
        <v>36192</v>
      </c>
      <c r="F92" s="84">
        <v>36556</v>
      </c>
      <c r="G92" s="42" t="s">
        <v>43</v>
      </c>
      <c r="H92" s="42" t="s">
        <v>33</v>
      </c>
      <c r="I92" s="83" t="s">
        <v>171</v>
      </c>
      <c r="J92" s="66">
        <f t="shared" ref="J92:J108" si="9">3.145/J$1</f>
        <v>0.10145161290322581</v>
      </c>
      <c r="K92" s="85">
        <v>1.32E-2</v>
      </c>
      <c r="L92" s="85">
        <v>2.2000000000000001E-3</v>
      </c>
      <c r="M92" s="85">
        <v>0</v>
      </c>
      <c r="N92" s="85">
        <v>0</v>
      </c>
      <c r="O92" s="86">
        <v>2.1160000000000002E-2</v>
      </c>
      <c r="P92" s="85">
        <f t="shared" ref="P92:P108" si="10">SUM(J92:N92)</f>
        <v>0.11685161290322581</v>
      </c>
      <c r="Q92" s="87">
        <v>62741</v>
      </c>
      <c r="R92" s="83">
        <v>2</v>
      </c>
      <c r="S92" s="42"/>
      <c r="T92" s="88">
        <f t="shared" ref="T92:T109" si="11">J92*J$1*R92</f>
        <v>6.29</v>
      </c>
      <c r="U92" s="88"/>
      <c r="V92" s="82">
        <v>140449</v>
      </c>
      <c r="W92" s="42"/>
      <c r="X92" s="89"/>
      <c r="Y92" s="89"/>
    </row>
    <row r="93" spans="2:25" s="46" customFormat="1" x14ac:dyDescent="0.25">
      <c r="B93" s="42" t="s">
        <v>118</v>
      </c>
      <c r="C93" s="83" t="s">
        <v>42</v>
      </c>
      <c r="D93" s="83" t="s">
        <v>57</v>
      </c>
      <c r="E93" s="84">
        <v>36220</v>
      </c>
      <c r="F93" s="84">
        <v>36584</v>
      </c>
      <c r="G93" s="42" t="s">
        <v>43</v>
      </c>
      <c r="H93" s="42" t="s">
        <v>33</v>
      </c>
      <c r="I93" s="83" t="s">
        <v>171</v>
      </c>
      <c r="J93" s="66">
        <f t="shared" si="9"/>
        <v>0.10145161290322581</v>
      </c>
      <c r="K93" s="85">
        <v>1.32E-2</v>
      </c>
      <c r="L93" s="85">
        <v>2.2000000000000001E-3</v>
      </c>
      <c r="M93" s="85">
        <v>0</v>
      </c>
      <c r="N93" s="85">
        <v>0</v>
      </c>
      <c r="O93" s="86">
        <v>2.1160000000000002E-2</v>
      </c>
      <c r="P93" s="85">
        <f t="shared" si="10"/>
        <v>0.11685161290322581</v>
      </c>
      <c r="Q93" s="87">
        <v>62979</v>
      </c>
      <c r="R93" s="83">
        <v>2</v>
      </c>
      <c r="S93" s="42"/>
      <c r="T93" s="88">
        <f t="shared" si="11"/>
        <v>6.29</v>
      </c>
      <c r="U93" s="88"/>
      <c r="V93" s="82">
        <v>140450</v>
      </c>
      <c r="W93" s="42"/>
      <c r="X93" s="89"/>
      <c r="Y93" s="89"/>
    </row>
    <row r="94" spans="2:25" s="46" customFormat="1" x14ac:dyDescent="0.25">
      <c r="B94" s="42" t="s">
        <v>118</v>
      </c>
      <c r="C94" s="83" t="s">
        <v>42</v>
      </c>
      <c r="D94" s="83" t="s">
        <v>172</v>
      </c>
      <c r="E94" s="84">
        <v>36220</v>
      </c>
      <c r="F94" s="84">
        <v>36585</v>
      </c>
      <c r="G94" s="42" t="s">
        <v>43</v>
      </c>
      <c r="H94" s="42" t="s">
        <v>33</v>
      </c>
      <c r="I94" s="83" t="s">
        <v>171</v>
      </c>
      <c r="J94" s="66">
        <f t="shared" si="9"/>
        <v>0.10145161290322581</v>
      </c>
      <c r="K94" s="85">
        <v>1.32E-2</v>
      </c>
      <c r="L94" s="85">
        <v>2.2000000000000001E-3</v>
      </c>
      <c r="M94" s="85">
        <v>0</v>
      </c>
      <c r="N94" s="85">
        <v>0</v>
      </c>
      <c r="O94" s="86">
        <v>2.1160000000000002E-2</v>
      </c>
      <c r="P94" s="85">
        <f t="shared" si="10"/>
        <v>0.11685161290322581</v>
      </c>
      <c r="Q94" s="87">
        <v>62981</v>
      </c>
      <c r="R94" s="83">
        <v>2</v>
      </c>
      <c r="S94" s="42"/>
      <c r="T94" s="88">
        <f t="shared" si="11"/>
        <v>6.29</v>
      </c>
      <c r="U94" s="88"/>
      <c r="V94" s="82">
        <v>140451</v>
      </c>
      <c r="W94" s="42"/>
      <c r="X94" s="89"/>
      <c r="Y94" s="89"/>
    </row>
    <row r="95" spans="2:25" s="46" customFormat="1" x14ac:dyDescent="0.25">
      <c r="B95" s="42" t="s">
        <v>118</v>
      </c>
      <c r="C95" s="83" t="s">
        <v>42</v>
      </c>
      <c r="D95" s="83" t="s">
        <v>172</v>
      </c>
      <c r="E95" s="84">
        <v>36251</v>
      </c>
      <c r="F95" s="84">
        <v>36616</v>
      </c>
      <c r="G95" s="42" t="s">
        <v>43</v>
      </c>
      <c r="H95" s="42" t="s">
        <v>33</v>
      </c>
      <c r="I95" s="83" t="s">
        <v>171</v>
      </c>
      <c r="J95" s="66">
        <f t="shared" si="9"/>
        <v>0.10145161290322581</v>
      </c>
      <c r="K95" s="85">
        <v>1.32E-2</v>
      </c>
      <c r="L95" s="85">
        <v>2.2000000000000001E-3</v>
      </c>
      <c r="M95" s="85">
        <v>0</v>
      </c>
      <c r="N95" s="85">
        <v>0</v>
      </c>
      <c r="O95" s="86">
        <v>2.1160000000000002E-2</v>
      </c>
      <c r="P95" s="85">
        <f t="shared" si="10"/>
        <v>0.11685161290322581</v>
      </c>
      <c r="Q95" s="87">
        <v>63285</v>
      </c>
      <c r="R95" s="83">
        <v>6</v>
      </c>
      <c r="S95" s="42"/>
      <c r="T95" s="88">
        <f t="shared" si="11"/>
        <v>18.87</v>
      </c>
      <c r="U95" s="88"/>
      <c r="V95" s="82">
        <v>140452</v>
      </c>
      <c r="W95" s="42"/>
      <c r="X95" s="89"/>
      <c r="Y95" s="89"/>
    </row>
    <row r="96" spans="2:25" s="46" customFormat="1" x14ac:dyDescent="0.25">
      <c r="B96" s="42" t="s">
        <v>118</v>
      </c>
      <c r="C96" s="83" t="s">
        <v>42</v>
      </c>
      <c r="D96" s="83" t="s">
        <v>57</v>
      </c>
      <c r="E96" s="84">
        <v>36251</v>
      </c>
      <c r="F96" s="84">
        <v>36616</v>
      </c>
      <c r="G96" s="42" t="s">
        <v>43</v>
      </c>
      <c r="H96" s="42" t="s">
        <v>33</v>
      </c>
      <c r="I96" s="83" t="s">
        <v>171</v>
      </c>
      <c r="J96" s="66">
        <f t="shared" si="9"/>
        <v>0.10145161290322581</v>
      </c>
      <c r="K96" s="85">
        <v>1.32E-2</v>
      </c>
      <c r="L96" s="85">
        <v>2.2000000000000001E-3</v>
      </c>
      <c r="M96" s="85">
        <v>0</v>
      </c>
      <c r="N96" s="85">
        <v>0</v>
      </c>
      <c r="O96" s="86">
        <v>2.1160000000000002E-2</v>
      </c>
      <c r="P96" s="85">
        <f t="shared" si="10"/>
        <v>0.11685161290322581</v>
      </c>
      <c r="Q96" s="87">
        <v>63287</v>
      </c>
      <c r="R96" s="83">
        <v>47</v>
      </c>
      <c r="S96" s="42"/>
      <c r="T96" s="88">
        <f t="shared" si="11"/>
        <v>147.815</v>
      </c>
      <c r="U96" s="88"/>
      <c r="V96" s="82">
        <v>140453</v>
      </c>
      <c r="W96" s="42"/>
      <c r="X96" s="89"/>
      <c r="Y96" s="89"/>
    </row>
    <row r="97" spans="2:25" s="46" customFormat="1" x14ac:dyDescent="0.25">
      <c r="B97" s="42" t="s">
        <v>118</v>
      </c>
      <c r="C97" s="83" t="s">
        <v>42</v>
      </c>
      <c r="D97" s="83" t="s">
        <v>172</v>
      </c>
      <c r="E97" s="84">
        <v>36281</v>
      </c>
      <c r="F97" s="84">
        <v>36646</v>
      </c>
      <c r="G97" s="42" t="s">
        <v>43</v>
      </c>
      <c r="H97" s="42" t="s">
        <v>33</v>
      </c>
      <c r="I97" s="83" t="s">
        <v>171</v>
      </c>
      <c r="J97" s="66">
        <f t="shared" si="9"/>
        <v>0.10145161290322581</v>
      </c>
      <c r="K97" s="85">
        <v>1.32E-2</v>
      </c>
      <c r="L97" s="85">
        <v>2.2000000000000001E-3</v>
      </c>
      <c r="M97" s="85">
        <v>0</v>
      </c>
      <c r="N97" s="85">
        <v>0</v>
      </c>
      <c r="O97" s="86">
        <v>2.1160000000000002E-2</v>
      </c>
      <c r="P97" s="85">
        <f t="shared" si="10"/>
        <v>0.11685161290322581</v>
      </c>
      <c r="Q97" s="87">
        <v>63562</v>
      </c>
      <c r="R97" s="83">
        <v>34</v>
      </c>
      <c r="S97" s="42"/>
      <c r="T97" s="88">
        <f t="shared" si="11"/>
        <v>106.93</v>
      </c>
      <c r="U97" s="88"/>
      <c r="V97" s="82">
        <v>140474</v>
      </c>
      <c r="W97" s="42"/>
      <c r="X97" s="89"/>
      <c r="Y97" s="89"/>
    </row>
    <row r="98" spans="2:25" s="46" customFormat="1" x14ac:dyDescent="0.25">
      <c r="B98" s="42" t="s">
        <v>118</v>
      </c>
      <c r="C98" s="83" t="s">
        <v>42</v>
      </c>
      <c r="D98" s="83" t="s">
        <v>172</v>
      </c>
      <c r="E98" s="84">
        <v>36312</v>
      </c>
      <c r="F98" s="84">
        <v>36677</v>
      </c>
      <c r="G98" s="42" t="s">
        <v>43</v>
      </c>
      <c r="H98" s="42" t="s">
        <v>33</v>
      </c>
      <c r="I98" s="83" t="s">
        <v>171</v>
      </c>
      <c r="J98" s="66">
        <f t="shared" si="9"/>
        <v>0.10145161290322581</v>
      </c>
      <c r="K98" s="85">
        <v>1.32E-2</v>
      </c>
      <c r="L98" s="85">
        <v>2.2000000000000001E-3</v>
      </c>
      <c r="M98" s="85">
        <v>0</v>
      </c>
      <c r="N98" s="85">
        <v>0</v>
      </c>
      <c r="O98" s="86">
        <v>2.1160000000000002E-2</v>
      </c>
      <c r="P98" s="85">
        <f t="shared" si="10"/>
        <v>0.11685161290322581</v>
      </c>
      <c r="Q98" s="87">
        <v>63823</v>
      </c>
      <c r="R98" s="83">
        <v>310</v>
      </c>
      <c r="S98" s="42"/>
      <c r="T98" s="88">
        <f t="shared" si="11"/>
        <v>974.95</v>
      </c>
      <c r="U98" s="88"/>
      <c r="V98" s="82">
        <v>140475</v>
      </c>
      <c r="W98" s="42"/>
      <c r="X98" s="89"/>
      <c r="Y98" s="89"/>
    </row>
    <row r="99" spans="2:25" s="46" customFormat="1" x14ac:dyDescent="0.25">
      <c r="B99" s="42" t="s">
        <v>118</v>
      </c>
      <c r="C99" s="83" t="s">
        <v>42</v>
      </c>
      <c r="D99" s="83" t="s">
        <v>57</v>
      </c>
      <c r="E99" s="84">
        <v>36312</v>
      </c>
      <c r="F99" s="84">
        <v>36677</v>
      </c>
      <c r="G99" s="42" t="s">
        <v>43</v>
      </c>
      <c r="H99" s="42" t="s">
        <v>33</v>
      </c>
      <c r="I99" s="83" t="s">
        <v>171</v>
      </c>
      <c r="J99" s="66">
        <f t="shared" si="9"/>
        <v>0.10145161290322581</v>
      </c>
      <c r="K99" s="85">
        <v>1.32E-2</v>
      </c>
      <c r="L99" s="85">
        <v>2.2000000000000001E-3</v>
      </c>
      <c r="M99" s="85">
        <v>0</v>
      </c>
      <c r="N99" s="85">
        <v>0</v>
      </c>
      <c r="O99" s="86">
        <v>2.1160000000000002E-2</v>
      </c>
      <c r="P99" s="85">
        <f t="shared" si="10"/>
        <v>0.11685161290322581</v>
      </c>
      <c r="Q99" s="87">
        <v>63826</v>
      </c>
      <c r="R99" s="83">
        <v>218</v>
      </c>
      <c r="S99" s="42"/>
      <c r="T99" s="88">
        <f t="shared" si="11"/>
        <v>685.61</v>
      </c>
      <c r="U99" s="88"/>
      <c r="V99" s="82">
        <v>140476</v>
      </c>
      <c r="W99" s="42"/>
      <c r="X99" s="89"/>
      <c r="Y99" s="89"/>
    </row>
    <row r="100" spans="2:25" s="46" customFormat="1" x14ac:dyDescent="0.25">
      <c r="B100" s="42" t="s">
        <v>118</v>
      </c>
      <c r="C100" s="83" t="s">
        <v>42</v>
      </c>
      <c r="D100" s="83" t="s">
        <v>57</v>
      </c>
      <c r="E100" s="84">
        <v>36342</v>
      </c>
      <c r="F100" s="84">
        <v>36707</v>
      </c>
      <c r="G100" s="42" t="s">
        <v>43</v>
      </c>
      <c r="H100" s="42" t="s">
        <v>33</v>
      </c>
      <c r="I100" s="83" t="s">
        <v>171</v>
      </c>
      <c r="J100" s="66">
        <f t="shared" si="9"/>
        <v>0.10145161290322581</v>
      </c>
      <c r="K100" s="85">
        <v>1.32E-2</v>
      </c>
      <c r="L100" s="85">
        <v>2.2000000000000001E-3</v>
      </c>
      <c r="M100" s="85">
        <v>0</v>
      </c>
      <c r="N100" s="85">
        <v>0</v>
      </c>
      <c r="O100" s="86">
        <v>2.1160000000000002E-2</v>
      </c>
      <c r="P100" s="85">
        <f t="shared" si="10"/>
        <v>0.11685161290322581</v>
      </c>
      <c r="Q100" s="87">
        <v>64033</v>
      </c>
      <c r="R100" s="83">
        <v>1</v>
      </c>
      <c r="S100" s="42"/>
      <c r="T100" s="88">
        <f t="shared" si="11"/>
        <v>3.145</v>
      </c>
      <c r="U100" s="88"/>
      <c r="V100" s="82">
        <v>140477</v>
      </c>
      <c r="W100" s="42"/>
      <c r="X100" s="89"/>
      <c r="Y100" s="89"/>
    </row>
    <row r="101" spans="2:25" s="46" customFormat="1" x14ac:dyDescent="0.25">
      <c r="B101" s="42" t="s">
        <v>118</v>
      </c>
      <c r="C101" s="83" t="s">
        <v>42</v>
      </c>
      <c r="D101" s="83" t="s">
        <v>172</v>
      </c>
      <c r="E101" s="84">
        <v>36342</v>
      </c>
      <c r="F101" s="84">
        <v>36707</v>
      </c>
      <c r="G101" s="42" t="s">
        <v>43</v>
      </c>
      <c r="H101" s="42" t="s">
        <v>33</v>
      </c>
      <c r="I101" s="83" t="s">
        <v>171</v>
      </c>
      <c r="J101" s="66">
        <f t="shared" si="9"/>
        <v>0.10145161290322581</v>
      </c>
      <c r="K101" s="85">
        <v>1.32E-2</v>
      </c>
      <c r="L101" s="85">
        <v>2.2000000000000001E-3</v>
      </c>
      <c r="M101" s="85">
        <v>0</v>
      </c>
      <c r="N101" s="85">
        <v>0</v>
      </c>
      <c r="O101" s="86">
        <v>2.1160000000000002E-2</v>
      </c>
      <c r="P101" s="85">
        <f t="shared" si="10"/>
        <v>0.11685161290322581</v>
      </c>
      <c r="Q101" s="87">
        <v>64035</v>
      </c>
      <c r="R101" s="83">
        <v>931</v>
      </c>
      <c r="S101" s="42"/>
      <c r="T101" s="88">
        <f t="shared" si="11"/>
        <v>2927.9949999999999</v>
      </c>
      <c r="U101" s="88"/>
      <c r="V101" s="82">
        <v>140478</v>
      </c>
      <c r="W101" s="42"/>
      <c r="X101" s="89"/>
      <c r="Y101" s="89"/>
    </row>
    <row r="102" spans="2:25" s="46" customFormat="1" x14ac:dyDescent="0.25">
      <c r="B102" s="42" t="s">
        <v>118</v>
      </c>
      <c r="C102" s="83" t="s">
        <v>42</v>
      </c>
      <c r="D102" s="83" t="s">
        <v>57</v>
      </c>
      <c r="E102" s="84">
        <v>36373</v>
      </c>
      <c r="F102" s="84">
        <v>36738</v>
      </c>
      <c r="G102" s="42" t="s">
        <v>43</v>
      </c>
      <c r="H102" s="42" t="s">
        <v>33</v>
      </c>
      <c r="I102" s="83" t="s">
        <v>171</v>
      </c>
      <c r="J102" s="66">
        <f t="shared" si="9"/>
        <v>0.10145161290322581</v>
      </c>
      <c r="K102" s="85">
        <v>1.32E-2</v>
      </c>
      <c r="L102" s="85">
        <v>2.2000000000000001E-3</v>
      </c>
      <c r="M102" s="85">
        <v>0</v>
      </c>
      <c r="N102" s="85">
        <v>0</v>
      </c>
      <c r="O102" s="86">
        <v>2.1160000000000002E-2</v>
      </c>
      <c r="P102" s="85">
        <f t="shared" si="10"/>
        <v>0.11685161290322581</v>
      </c>
      <c r="Q102" s="87">
        <v>64332</v>
      </c>
      <c r="R102" s="83">
        <v>12</v>
      </c>
      <c r="S102" s="42"/>
      <c r="T102" s="88">
        <f t="shared" si="11"/>
        <v>37.74</v>
      </c>
      <c r="U102" s="88"/>
      <c r="V102" s="82">
        <v>140479</v>
      </c>
      <c r="W102" s="42"/>
      <c r="X102" s="89"/>
      <c r="Y102" s="89"/>
    </row>
    <row r="103" spans="2:25" s="46" customFormat="1" x14ac:dyDescent="0.25">
      <c r="B103" s="42" t="s">
        <v>118</v>
      </c>
      <c r="C103" s="83" t="s">
        <v>42</v>
      </c>
      <c r="D103" s="83" t="s">
        <v>172</v>
      </c>
      <c r="E103" s="84">
        <v>36373</v>
      </c>
      <c r="F103" s="84">
        <v>36738</v>
      </c>
      <c r="G103" s="42" t="s">
        <v>43</v>
      </c>
      <c r="H103" s="42" t="s">
        <v>33</v>
      </c>
      <c r="I103" s="83" t="s">
        <v>171</v>
      </c>
      <c r="J103" s="66">
        <f t="shared" si="9"/>
        <v>0.10145161290322581</v>
      </c>
      <c r="K103" s="85">
        <v>1.32E-2</v>
      </c>
      <c r="L103" s="85">
        <v>2.2000000000000001E-3</v>
      </c>
      <c r="M103" s="85">
        <v>0</v>
      </c>
      <c r="N103" s="85">
        <v>0</v>
      </c>
      <c r="O103" s="86">
        <v>2.1160000000000002E-2</v>
      </c>
      <c r="P103" s="85">
        <f>SUM(J103:N103)</f>
        <v>0.11685161290322581</v>
      </c>
      <c r="Q103" s="87">
        <v>64334</v>
      </c>
      <c r="R103" s="83">
        <v>3</v>
      </c>
      <c r="S103" s="42"/>
      <c r="T103" s="88">
        <f>J103*J$1*R103</f>
        <v>9.4350000000000005</v>
      </c>
      <c r="U103" s="88"/>
      <c r="V103" s="82">
        <v>140480</v>
      </c>
      <c r="W103" s="42"/>
      <c r="X103" s="89"/>
      <c r="Y103" s="89"/>
    </row>
    <row r="104" spans="2:25" s="46" customFormat="1" x14ac:dyDescent="0.25">
      <c r="B104" s="42" t="s">
        <v>118</v>
      </c>
      <c r="C104" s="83" t="s">
        <v>42</v>
      </c>
      <c r="D104" s="83" t="s">
        <v>354</v>
      </c>
      <c r="E104" s="84">
        <v>36526</v>
      </c>
      <c r="F104" s="84">
        <v>36738</v>
      </c>
      <c r="G104" s="42" t="s">
        <v>43</v>
      </c>
      <c r="H104" s="42" t="s">
        <v>33</v>
      </c>
      <c r="I104" s="83" t="s">
        <v>171</v>
      </c>
      <c r="J104" s="66">
        <f t="shared" si="9"/>
        <v>0.10145161290322581</v>
      </c>
      <c r="K104" s="85">
        <v>1.32E-2</v>
      </c>
      <c r="L104" s="85">
        <v>2.2000000000000001E-3</v>
      </c>
      <c r="M104" s="85">
        <v>0</v>
      </c>
      <c r="N104" s="85">
        <v>0</v>
      </c>
      <c r="O104" s="86">
        <v>2.1160000000000002E-2</v>
      </c>
      <c r="P104" s="85">
        <f>SUM(J104:N104)</f>
        <v>0.11685161290322581</v>
      </c>
      <c r="Q104" s="87">
        <v>64446</v>
      </c>
      <c r="R104" s="83">
        <v>142</v>
      </c>
      <c r="S104" s="42" t="s">
        <v>355</v>
      </c>
      <c r="T104" s="88">
        <f>J104*J$1*R104</f>
        <v>446.59</v>
      </c>
      <c r="U104" s="88"/>
      <c r="V104" s="82">
        <v>169037</v>
      </c>
      <c r="W104" s="42"/>
      <c r="X104" s="89"/>
      <c r="Y104" s="89"/>
    </row>
    <row r="105" spans="2:25" s="46" customFormat="1" x14ac:dyDescent="0.25">
      <c r="B105" s="42" t="s">
        <v>118</v>
      </c>
      <c r="C105" s="83" t="s">
        <v>42</v>
      </c>
      <c r="D105" s="83" t="s">
        <v>158</v>
      </c>
      <c r="E105" s="84">
        <v>36526</v>
      </c>
      <c r="F105" s="84" t="s">
        <v>353</v>
      </c>
      <c r="G105" s="42" t="s">
        <v>43</v>
      </c>
      <c r="H105" s="42" t="s">
        <v>33</v>
      </c>
      <c r="I105" s="83" t="s">
        <v>171</v>
      </c>
      <c r="J105" s="66">
        <f t="shared" si="9"/>
        <v>0.10145161290322581</v>
      </c>
      <c r="K105" s="85">
        <v>1.32E-2</v>
      </c>
      <c r="L105" s="85">
        <v>2.2000000000000001E-3</v>
      </c>
      <c r="M105" s="85">
        <v>0</v>
      </c>
      <c r="N105" s="85">
        <v>0</v>
      </c>
      <c r="O105" s="86">
        <v>2.1160000000000002E-2</v>
      </c>
      <c r="P105" s="85">
        <f>SUM(J105:N105)</f>
        <v>0.11685161290322581</v>
      </c>
      <c r="Q105" s="87">
        <v>65858</v>
      </c>
      <c r="R105" s="83">
        <v>180</v>
      </c>
      <c r="S105" s="42"/>
      <c r="T105" s="88">
        <f>J105*J$1*R105</f>
        <v>566.1</v>
      </c>
      <c r="U105" s="88"/>
      <c r="V105" s="82">
        <v>169052</v>
      </c>
      <c r="W105" s="42"/>
      <c r="X105" s="89"/>
      <c r="Y105" s="89"/>
    </row>
    <row r="106" spans="2:25" s="46" customFormat="1" x14ac:dyDescent="0.25">
      <c r="B106" s="42" t="s">
        <v>118</v>
      </c>
      <c r="C106" s="83" t="s">
        <v>42</v>
      </c>
      <c r="D106" s="83" t="s">
        <v>158</v>
      </c>
      <c r="E106" s="84">
        <v>36526</v>
      </c>
      <c r="F106" s="84" t="s">
        <v>353</v>
      </c>
      <c r="G106" s="42" t="s">
        <v>356</v>
      </c>
      <c r="H106" s="42" t="s">
        <v>43</v>
      </c>
      <c r="I106" s="83" t="s">
        <v>173</v>
      </c>
      <c r="J106" s="66">
        <f>1.0603/J$1</f>
        <v>3.4203225806451611E-2</v>
      </c>
      <c r="K106" s="85">
        <v>1.32E-2</v>
      </c>
      <c r="L106" s="85">
        <v>2.2000000000000001E-3</v>
      </c>
      <c r="M106" s="85">
        <v>0</v>
      </c>
      <c r="N106" s="85">
        <v>0</v>
      </c>
      <c r="O106" s="86">
        <v>2.1160000000000002E-2</v>
      </c>
      <c r="P106" s="85">
        <f t="shared" si="10"/>
        <v>4.9603225806451608E-2</v>
      </c>
      <c r="Q106" s="87">
        <v>65859</v>
      </c>
      <c r="R106" s="83">
        <v>185</v>
      </c>
      <c r="S106" s="42"/>
      <c r="T106" s="88">
        <f t="shared" si="11"/>
        <v>196.15550000000002</v>
      </c>
      <c r="U106" s="88"/>
      <c r="V106" s="82">
        <v>169059</v>
      </c>
      <c r="W106" s="42"/>
      <c r="X106" s="89"/>
      <c r="Y106" s="89"/>
    </row>
    <row r="107" spans="2:25" s="46" customFormat="1" x14ac:dyDescent="0.25">
      <c r="B107" s="42" t="s">
        <v>118</v>
      </c>
      <c r="C107" s="83" t="s">
        <v>42</v>
      </c>
      <c r="D107" s="83" t="s">
        <v>57</v>
      </c>
      <c r="E107" s="84">
        <v>36404</v>
      </c>
      <c r="F107" s="84">
        <v>36769</v>
      </c>
      <c r="G107" s="42" t="s">
        <v>43</v>
      </c>
      <c r="H107" s="42" t="s">
        <v>33</v>
      </c>
      <c r="I107" s="83" t="s">
        <v>171</v>
      </c>
      <c r="J107" s="66">
        <f t="shared" si="9"/>
        <v>0.10145161290322581</v>
      </c>
      <c r="K107" s="85">
        <v>1.32E-2</v>
      </c>
      <c r="L107" s="85">
        <v>2.2000000000000001E-3</v>
      </c>
      <c r="M107" s="85">
        <v>0</v>
      </c>
      <c r="N107" s="85">
        <v>0</v>
      </c>
      <c r="O107" s="86">
        <v>2.1160000000000002E-2</v>
      </c>
      <c r="P107" s="85">
        <f t="shared" si="10"/>
        <v>0.11685161290322581</v>
      </c>
      <c r="Q107" s="87">
        <v>64652</v>
      </c>
      <c r="R107" s="83">
        <v>65</v>
      </c>
      <c r="S107" s="42"/>
      <c r="T107" s="88">
        <f t="shared" si="11"/>
        <v>204.42500000000001</v>
      </c>
      <c r="U107" s="88"/>
      <c r="V107" s="82">
        <v>140481</v>
      </c>
      <c r="W107" s="42"/>
      <c r="X107" s="89"/>
      <c r="Y107" s="89"/>
    </row>
    <row r="108" spans="2:25" s="46" customFormat="1" x14ac:dyDescent="0.25">
      <c r="B108" s="42" t="s">
        <v>118</v>
      </c>
      <c r="C108" s="83" t="s">
        <v>42</v>
      </c>
      <c r="D108" s="83" t="s">
        <v>57</v>
      </c>
      <c r="E108" s="84">
        <v>36434</v>
      </c>
      <c r="F108" s="84">
        <v>36799</v>
      </c>
      <c r="G108" s="42" t="s">
        <v>43</v>
      </c>
      <c r="H108" s="42" t="s">
        <v>33</v>
      </c>
      <c r="I108" s="83" t="s">
        <v>171</v>
      </c>
      <c r="J108" s="66">
        <f t="shared" si="9"/>
        <v>0.10145161290322581</v>
      </c>
      <c r="K108" s="85">
        <v>1.32E-2</v>
      </c>
      <c r="L108" s="85">
        <v>2.2000000000000001E-3</v>
      </c>
      <c r="M108" s="85">
        <v>0</v>
      </c>
      <c r="N108" s="85">
        <v>0</v>
      </c>
      <c r="O108" s="86">
        <v>2.1160000000000002E-2</v>
      </c>
      <c r="P108" s="85">
        <f t="shared" si="10"/>
        <v>0.11685161290322581</v>
      </c>
      <c r="Q108" s="87">
        <v>64863</v>
      </c>
      <c r="R108" s="83">
        <v>13</v>
      </c>
      <c r="S108" s="42"/>
      <c r="T108" s="88">
        <f t="shared" si="11"/>
        <v>40.884999999999998</v>
      </c>
      <c r="U108" s="88"/>
      <c r="V108" s="82">
        <v>140482</v>
      </c>
      <c r="W108" s="42"/>
      <c r="X108" s="89"/>
      <c r="Y108" s="89"/>
    </row>
    <row r="109" spans="2:25" s="46" customFormat="1" x14ac:dyDescent="0.25">
      <c r="B109" s="42" t="s">
        <v>118</v>
      </c>
      <c r="C109" s="83" t="s">
        <v>42</v>
      </c>
      <c r="D109" s="83" t="s">
        <v>57</v>
      </c>
      <c r="E109" s="84">
        <v>36465</v>
      </c>
      <c r="F109" s="84">
        <v>36830</v>
      </c>
      <c r="G109" s="42" t="s">
        <v>43</v>
      </c>
      <c r="H109" s="42" t="s">
        <v>33</v>
      </c>
      <c r="I109" s="83"/>
      <c r="J109" s="66">
        <f>3.145/J$1</f>
        <v>0.10145161290322581</v>
      </c>
      <c r="K109" s="85">
        <v>1.32E-2</v>
      </c>
      <c r="L109" s="85">
        <v>2.2000000000000001E-3</v>
      </c>
      <c r="M109" s="85">
        <v>0</v>
      </c>
      <c r="N109" s="85">
        <v>0</v>
      </c>
      <c r="O109" s="86">
        <v>2.1160000000000002E-2</v>
      </c>
      <c r="P109" s="85">
        <f>SUM(J109:N109)</f>
        <v>0.11685161290322581</v>
      </c>
      <c r="Q109" s="87">
        <v>65027</v>
      </c>
      <c r="R109" s="83">
        <v>131</v>
      </c>
      <c r="S109" s="42" t="s">
        <v>49</v>
      </c>
      <c r="T109" s="88">
        <f t="shared" si="11"/>
        <v>411.995</v>
      </c>
      <c r="U109" s="88"/>
      <c r="V109" s="82">
        <v>140441</v>
      </c>
      <c r="W109" s="42" t="s">
        <v>48</v>
      </c>
      <c r="X109" s="89"/>
      <c r="Y109" s="89"/>
    </row>
    <row r="110" spans="2:25" s="46" customFormat="1" x14ac:dyDescent="0.25">
      <c r="B110" s="42" t="s">
        <v>118</v>
      </c>
      <c r="C110" s="83" t="s">
        <v>42</v>
      </c>
      <c r="D110" s="83" t="s">
        <v>57</v>
      </c>
      <c r="E110" s="84">
        <v>36495</v>
      </c>
      <c r="F110" s="84">
        <v>36860</v>
      </c>
      <c r="G110" s="42" t="s">
        <v>43</v>
      </c>
      <c r="H110" s="42" t="s">
        <v>33</v>
      </c>
      <c r="I110" s="83" t="s">
        <v>171</v>
      </c>
      <c r="J110" s="66">
        <f>3.145/J$1</f>
        <v>0.10145161290322581</v>
      </c>
      <c r="K110" s="85">
        <v>1.32E-2</v>
      </c>
      <c r="L110" s="85">
        <v>2.2000000000000001E-3</v>
      </c>
      <c r="M110" s="85">
        <v>0</v>
      </c>
      <c r="N110" s="85">
        <v>0</v>
      </c>
      <c r="O110" s="86">
        <v>2.1160000000000002E-2</v>
      </c>
      <c r="P110" s="85">
        <f>SUM(J110:N110)</f>
        <v>0.11685161290322581</v>
      </c>
      <c r="Q110" s="87">
        <v>65557</v>
      </c>
      <c r="R110" s="83">
        <v>3</v>
      </c>
      <c r="S110" s="42"/>
      <c r="T110" s="88">
        <f>J110*J$1*R110</f>
        <v>9.4350000000000005</v>
      </c>
      <c r="U110" s="88"/>
      <c r="V110" s="82">
        <v>140483</v>
      </c>
      <c r="W110" s="42"/>
      <c r="X110" s="89"/>
      <c r="Y110" s="89"/>
    </row>
    <row r="111" spans="2:25" x14ac:dyDescent="0.25">
      <c r="B111" s="1"/>
      <c r="C111" s="3"/>
      <c r="D111" s="3"/>
      <c r="E111" s="4"/>
      <c r="F111" s="4"/>
      <c r="G111" s="1"/>
      <c r="H111" s="1"/>
      <c r="I111" s="3"/>
      <c r="J111" s="8"/>
      <c r="K111" s="5"/>
      <c r="L111" s="23"/>
      <c r="M111" s="5"/>
      <c r="N111" s="5"/>
      <c r="O111" s="47"/>
      <c r="P111" s="5"/>
      <c r="Q111" s="24"/>
      <c r="R111" s="2">
        <f>SUM(R92:R110)</f>
        <v>2287</v>
      </c>
      <c r="S111" s="3"/>
      <c r="T111" s="9">
        <f>SUM(T92:T110)</f>
        <v>6806.9455000000007</v>
      </c>
      <c r="U111" s="9"/>
      <c r="V111" s="72"/>
      <c r="W111" s="1"/>
      <c r="X111" s="36"/>
      <c r="Y111" s="36"/>
    </row>
    <row r="112" spans="2:25" x14ac:dyDescent="0.25">
      <c r="B112" s="16" t="s">
        <v>4</v>
      </c>
      <c r="C112" s="17" t="s">
        <v>5</v>
      </c>
      <c r="D112" s="17" t="s">
        <v>6</v>
      </c>
      <c r="E112" s="18" t="s">
        <v>7</v>
      </c>
      <c r="F112" s="18"/>
      <c r="G112" s="16" t="s">
        <v>8</v>
      </c>
      <c r="H112" s="16" t="s">
        <v>9</v>
      </c>
      <c r="I112" s="17" t="s">
        <v>61</v>
      </c>
      <c r="J112" s="19" t="s">
        <v>11</v>
      </c>
      <c r="K112" s="17" t="s">
        <v>12</v>
      </c>
      <c r="L112" s="17" t="s">
        <v>13</v>
      </c>
      <c r="M112" s="17" t="s">
        <v>14</v>
      </c>
      <c r="N112" s="17" t="s">
        <v>15</v>
      </c>
      <c r="O112" s="48" t="s">
        <v>16</v>
      </c>
      <c r="P112" s="17" t="s">
        <v>17</v>
      </c>
      <c r="Q112" s="20" t="s">
        <v>18</v>
      </c>
      <c r="R112" s="17" t="s">
        <v>19</v>
      </c>
      <c r="S112" s="16" t="s">
        <v>20</v>
      </c>
      <c r="T112" s="21" t="s">
        <v>60</v>
      </c>
      <c r="U112" s="21" t="s">
        <v>59</v>
      </c>
      <c r="V112" s="69" t="s">
        <v>36</v>
      </c>
      <c r="W112" s="95">
        <f>+W66</f>
        <v>0</v>
      </c>
      <c r="X112" s="36"/>
      <c r="Y112" s="36"/>
    </row>
    <row r="113" spans="1:25" s="103" customFormat="1" x14ac:dyDescent="0.25">
      <c r="B113" s="1" t="s">
        <v>118</v>
      </c>
      <c r="C113" s="3" t="s">
        <v>401</v>
      </c>
      <c r="D113" s="3" t="s">
        <v>164</v>
      </c>
      <c r="E113" s="4">
        <v>36526</v>
      </c>
      <c r="F113" s="4">
        <v>36556</v>
      </c>
      <c r="G113" s="29" t="s">
        <v>159</v>
      </c>
      <c r="H113" s="29" t="s">
        <v>160</v>
      </c>
      <c r="I113" s="3" t="s">
        <v>161</v>
      </c>
      <c r="J113" s="8">
        <v>0</v>
      </c>
      <c r="K113" s="5">
        <v>0</v>
      </c>
      <c r="L113" s="5">
        <v>2.2000000000000001E-3</v>
      </c>
      <c r="M113" s="5">
        <v>7.1999999999999998E-3</v>
      </c>
      <c r="N113" s="5">
        <v>0</v>
      </c>
      <c r="O113" s="47">
        <v>0</v>
      </c>
      <c r="P113" s="5">
        <f t="shared" ref="P113:P119" si="12">SUM(J113:N113)</f>
        <v>9.4000000000000004E-3</v>
      </c>
      <c r="Q113" s="24">
        <v>31372</v>
      </c>
      <c r="R113" s="3">
        <v>431</v>
      </c>
      <c r="S113" s="1" t="s">
        <v>31</v>
      </c>
      <c r="T113" s="9">
        <f t="shared" ref="T113:T119" si="13">J113*J$1*R113</f>
        <v>0</v>
      </c>
      <c r="U113" s="9"/>
      <c r="V113" s="72">
        <v>142813</v>
      </c>
      <c r="W113" s="1"/>
      <c r="X113" s="36"/>
      <c r="Y113" s="36"/>
    </row>
    <row r="114" spans="1:25" s="103" customFormat="1" x14ac:dyDescent="0.25">
      <c r="B114" s="1" t="s">
        <v>118</v>
      </c>
      <c r="C114" s="3" t="s">
        <v>401</v>
      </c>
      <c r="D114" s="3" t="s">
        <v>164</v>
      </c>
      <c r="E114" s="4">
        <v>36526</v>
      </c>
      <c r="F114" s="4">
        <v>36556</v>
      </c>
      <c r="G114" s="29" t="s">
        <v>163</v>
      </c>
      <c r="H114" s="29" t="s">
        <v>162</v>
      </c>
      <c r="I114" s="3" t="s">
        <v>161</v>
      </c>
      <c r="J114" s="8">
        <v>0</v>
      </c>
      <c r="K114" s="5">
        <v>0</v>
      </c>
      <c r="L114" s="5">
        <v>2.2000000000000001E-3</v>
      </c>
      <c r="M114" s="5">
        <v>7.1999999999999998E-3</v>
      </c>
      <c r="N114" s="5">
        <v>0</v>
      </c>
      <c r="O114" s="47">
        <v>0</v>
      </c>
      <c r="P114" s="5">
        <f t="shared" si="12"/>
        <v>9.4000000000000004E-3</v>
      </c>
      <c r="Q114" s="24">
        <v>31533</v>
      </c>
      <c r="R114" s="3">
        <v>48</v>
      </c>
      <c r="S114" s="1" t="s">
        <v>31</v>
      </c>
      <c r="T114" s="9">
        <f t="shared" si="13"/>
        <v>0</v>
      </c>
      <c r="U114" s="9"/>
      <c r="V114" s="72">
        <v>142814</v>
      </c>
      <c r="W114" s="1"/>
      <c r="X114" s="36"/>
      <c r="Y114" s="36"/>
    </row>
    <row r="115" spans="1:25" s="103" customFormat="1" x14ac:dyDescent="0.25">
      <c r="B115" s="1" t="s">
        <v>118</v>
      </c>
      <c r="C115" s="3" t="s">
        <v>401</v>
      </c>
      <c r="D115" s="3" t="s">
        <v>164</v>
      </c>
      <c r="E115" s="4">
        <v>36526</v>
      </c>
      <c r="F115" s="4">
        <v>36556</v>
      </c>
      <c r="G115" s="1" t="s">
        <v>165</v>
      </c>
      <c r="H115" s="29" t="s">
        <v>166</v>
      </c>
      <c r="I115" s="3" t="s">
        <v>161</v>
      </c>
      <c r="J115" s="8">
        <f>6.74/31</f>
        <v>0.21741935483870969</v>
      </c>
      <c r="K115" s="5">
        <v>7.6300000000000007E-2</v>
      </c>
      <c r="L115" s="5">
        <v>2.2000000000000001E-3</v>
      </c>
      <c r="M115" s="5">
        <v>7.1999999999999998E-3</v>
      </c>
      <c r="N115" s="5">
        <v>0</v>
      </c>
      <c r="O115" s="47">
        <v>2.7900000000000001E-2</v>
      </c>
      <c r="P115" s="5">
        <f t="shared" si="12"/>
        <v>0.30311935483870966</v>
      </c>
      <c r="Q115" s="24">
        <v>31957</v>
      </c>
      <c r="R115" s="3">
        <v>3678</v>
      </c>
      <c r="S115" s="1" t="s">
        <v>31</v>
      </c>
      <c r="T115" s="9">
        <f t="shared" si="13"/>
        <v>24789.72</v>
      </c>
      <c r="U115" s="9"/>
      <c r="V115" s="72">
        <v>145064</v>
      </c>
      <c r="W115" s="1" t="s">
        <v>168</v>
      </c>
      <c r="X115" s="36"/>
      <c r="Y115" s="36"/>
    </row>
    <row r="116" spans="1:25" s="103" customFormat="1" x14ac:dyDescent="0.25">
      <c r="B116" s="1" t="s">
        <v>118</v>
      </c>
      <c r="C116" s="3" t="s">
        <v>401</v>
      </c>
      <c r="D116" s="3" t="s">
        <v>164</v>
      </c>
      <c r="E116" s="4">
        <v>36526</v>
      </c>
      <c r="F116" s="4">
        <v>36556</v>
      </c>
      <c r="G116" s="29" t="s">
        <v>169</v>
      </c>
      <c r="H116" s="29" t="s">
        <v>170</v>
      </c>
      <c r="I116" s="3" t="s">
        <v>161</v>
      </c>
      <c r="J116" s="8">
        <v>0</v>
      </c>
      <c r="K116" s="5">
        <v>0</v>
      </c>
      <c r="L116" s="5">
        <v>2.2000000000000001E-3</v>
      </c>
      <c r="M116" s="5">
        <v>7.1999999999999998E-3</v>
      </c>
      <c r="N116" s="5">
        <v>0</v>
      </c>
      <c r="O116" s="47">
        <v>0</v>
      </c>
      <c r="P116" s="5">
        <f t="shared" si="12"/>
        <v>9.4000000000000004E-3</v>
      </c>
      <c r="Q116" s="24" t="s">
        <v>167</v>
      </c>
      <c r="R116" s="3">
        <v>802</v>
      </c>
      <c r="S116" s="1" t="s">
        <v>31</v>
      </c>
      <c r="T116" s="9">
        <f t="shared" si="13"/>
        <v>0</v>
      </c>
      <c r="U116" s="9"/>
      <c r="V116" s="72"/>
      <c r="W116" s="1" t="s">
        <v>168</v>
      </c>
      <c r="X116" s="36"/>
      <c r="Y116" s="36"/>
    </row>
    <row r="117" spans="1:25" s="103" customFormat="1" x14ac:dyDescent="0.25">
      <c r="B117" s="1" t="s">
        <v>118</v>
      </c>
      <c r="C117" s="3" t="s">
        <v>401</v>
      </c>
      <c r="D117" s="3" t="s">
        <v>164</v>
      </c>
      <c r="E117" s="4">
        <v>36526</v>
      </c>
      <c r="F117" s="4">
        <v>36556</v>
      </c>
      <c r="G117" s="1" t="s">
        <v>260</v>
      </c>
      <c r="H117" s="1" t="s">
        <v>164</v>
      </c>
      <c r="I117" s="3" t="s">
        <v>161</v>
      </c>
      <c r="J117" s="8">
        <v>0.38450000000000001</v>
      </c>
      <c r="K117" s="5">
        <v>0</v>
      </c>
      <c r="L117" s="5">
        <v>2.2000000000000001E-3</v>
      </c>
      <c r="M117" s="5">
        <v>7.1999999999999998E-3</v>
      </c>
      <c r="N117" s="5">
        <v>0</v>
      </c>
      <c r="O117" s="47">
        <v>2.2200000000000001E-2</v>
      </c>
      <c r="P117" s="5">
        <f t="shared" si="12"/>
        <v>0.39389999999999997</v>
      </c>
      <c r="Q117" s="24">
        <v>31958</v>
      </c>
      <c r="R117" s="3">
        <v>4102</v>
      </c>
      <c r="S117" s="1" t="s">
        <v>31</v>
      </c>
      <c r="T117" s="9">
        <f t="shared" si="13"/>
        <v>48893.789000000004</v>
      </c>
      <c r="U117" s="9"/>
      <c r="V117" s="72">
        <v>145082</v>
      </c>
      <c r="W117" s="1" t="s">
        <v>168</v>
      </c>
      <c r="X117" s="36"/>
      <c r="Y117" s="36"/>
    </row>
    <row r="118" spans="1:25" s="103" customFormat="1" x14ac:dyDescent="0.25">
      <c r="B118" s="1" t="s">
        <v>118</v>
      </c>
      <c r="C118" s="3" t="s">
        <v>401</v>
      </c>
      <c r="D118" s="3" t="s">
        <v>164</v>
      </c>
      <c r="E118" s="4">
        <v>36526</v>
      </c>
      <c r="F118" s="4">
        <v>36556</v>
      </c>
      <c r="G118" s="29" t="s">
        <v>256</v>
      </c>
      <c r="H118" s="29" t="s">
        <v>257</v>
      </c>
      <c r="I118" s="3" t="s">
        <v>161</v>
      </c>
      <c r="J118" s="8">
        <v>7.2900000000000006E-2</v>
      </c>
      <c r="K118" s="5">
        <v>8.9999999999999993E-3</v>
      </c>
      <c r="L118" s="5">
        <v>2.2000000000000001E-3</v>
      </c>
      <c r="M118" s="5">
        <v>7.1999999999999998E-3</v>
      </c>
      <c r="N118" s="5">
        <v>0</v>
      </c>
      <c r="O118" s="47">
        <v>0</v>
      </c>
      <c r="P118" s="5">
        <f t="shared" si="12"/>
        <v>9.1299999999999992E-2</v>
      </c>
      <c r="Q118" s="24">
        <v>32110</v>
      </c>
      <c r="R118" s="3">
        <v>5000</v>
      </c>
      <c r="S118" s="1" t="s">
        <v>31</v>
      </c>
      <c r="T118" s="9">
        <f t="shared" si="13"/>
        <v>11299.5</v>
      </c>
      <c r="U118" s="9"/>
      <c r="V118" s="72">
        <v>145906</v>
      </c>
      <c r="W118" s="1" t="s">
        <v>168</v>
      </c>
      <c r="X118" s="36"/>
      <c r="Y118" s="36"/>
    </row>
    <row r="119" spans="1:25" s="103" customFormat="1" x14ac:dyDescent="0.25">
      <c r="B119" s="1" t="s">
        <v>118</v>
      </c>
      <c r="C119" s="3" t="s">
        <v>401</v>
      </c>
      <c r="D119" s="3" t="s">
        <v>164</v>
      </c>
      <c r="E119" s="4">
        <v>36526</v>
      </c>
      <c r="F119" s="4">
        <v>36556</v>
      </c>
      <c r="G119" s="1" t="s">
        <v>256</v>
      </c>
      <c r="H119" s="1" t="s">
        <v>257</v>
      </c>
      <c r="I119" s="3" t="s">
        <v>161</v>
      </c>
      <c r="J119" s="8">
        <v>7.2900000000000006E-2</v>
      </c>
      <c r="K119" s="5">
        <v>8.9999999999999993E-3</v>
      </c>
      <c r="L119" s="5">
        <v>2.2000000000000001E-3</v>
      </c>
      <c r="M119" s="5">
        <v>7.1999999999999998E-3</v>
      </c>
      <c r="N119" s="5">
        <v>0</v>
      </c>
      <c r="O119" s="47">
        <v>0</v>
      </c>
      <c r="P119" s="5">
        <f t="shared" si="12"/>
        <v>9.1299999999999992E-2</v>
      </c>
      <c r="Q119" s="24">
        <v>32067</v>
      </c>
      <c r="R119" s="3">
        <v>766</v>
      </c>
      <c r="S119" s="1" t="s">
        <v>31</v>
      </c>
      <c r="T119" s="9">
        <f t="shared" si="13"/>
        <v>1731.0834</v>
      </c>
      <c r="U119" s="9"/>
      <c r="V119" s="72">
        <v>145906</v>
      </c>
      <c r="W119" s="1" t="s">
        <v>168</v>
      </c>
      <c r="X119" s="36"/>
      <c r="Y119" s="36"/>
    </row>
    <row r="120" spans="1:25" x14ac:dyDescent="0.25">
      <c r="B120" s="1" t="s">
        <v>118</v>
      </c>
      <c r="C120" s="3" t="s">
        <v>401</v>
      </c>
      <c r="D120" s="3" t="s">
        <v>164</v>
      </c>
      <c r="E120" s="4">
        <v>36526</v>
      </c>
      <c r="F120" s="4">
        <v>36556</v>
      </c>
      <c r="G120" s="1" t="s">
        <v>267</v>
      </c>
      <c r="H120" s="1" t="s">
        <v>268</v>
      </c>
      <c r="I120" s="3" t="s">
        <v>161</v>
      </c>
      <c r="J120" s="8" t="s">
        <v>269</v>
      </c>
      <c r="K120" s="5"/>
      <c r="L120" s="23"/>
      <c r="M120" s="5"/>
      <c r="N120" s="5"/>
      <c r="O120" s="47"/>
      <c r="P120" s="5"/>
      <c r="Q120" s="24">
        <v>32087</v>
      </c>
      <c r="R120" s="2">
        <v>1000</v>
      </c>
      <c r="S120" s="3"/>
      <c r="T120" s="9"/>
      <c r="U120" s="9"/>
      <c r="V120" s="72"/>
      <c r="W120" s="1" t="s">
        <v>270</v>
      </c>
      <c r="X120" s="36"/>
      <c r="Y120" s="36"/>
    </row>
    <row r="121" spans="1:25" x14ac:dyDescent="0.25">
      <c r="B121" s="1" t="s">
        <v>118</v>
      </c>
      <c r="C121" s="3" t="s">
        <v>401</v>
      </c>
      <c r="D121" s="3" t="s">
        <v>164</v>
      </c>
      <c r="E121" s="4">
        <v>36526</v>
      </c>
      <c r="F121" s="4">
        <v>36556</v>
      </c>
      <c r="G121" s="1" t="s">
        <v>267</v>
      </c>
      <c r="H121" s="1" t="s">
        <v>256</v>
      </c>
      <c r="I121" s="3" t="s">
        <v>271</v>
      </c>
      <c r="J121" s="8">
        <v>0</v>
      </c>
      <c r="K121" s="5"/>
      <c r="L121" s="23"/>
      <c r="M121" s="5"/>
      <c r="N121" s="5"/>
      <c r="O121" s="47"/>
      <c r="P121" s="5"/>
      <c r="Q121" s="24">
        <v>32067</v>
      </c>
      <c r="R121" s="2">
        <v>769</v>
      </c>
      <c r="S121" s="3"/>
      <c r="T121" s="9"/>
      <c r="U121" s="9"/>
      <c r="V121" s="72"/>
      <c r="W121" s="1"/>
      <c r="X121" s="36"/>
      <c r="Y121" s="36"/>
    </row>
    <row r="122" spans="1:25" x14ac:dyDescent="0.25">
      <c r="B122" s="1"/>
      <c r="C122" s="3"/>
      <c r="D122" s="3"/>
      <c r="E122" s="4"/>
      <c r="F122" s="4"/>
      <c r="G122" s="1"/>
      <c r="H122" s="1"/>
      <c r="I122" s="3"/>
      <c r="J122" s="8"/>
      <c r="K122" s="5"/>
      <c r="L122" s="23"/>
      <c r="M122" s="5"/>
      <c r="N122" s="5"/>
      <c r="O122" s="50"/>
      <c r="P122" s="5"/>
      <c r="Q122" s="24"/>
      <c r="R122" s="3">
        <f>SUM(R113:R121)</f>
        <v>16596</v>
      </c>
      <c r="S122" s="3"/>
      <c r="T122" s="143">
        <f>SUM(T113:T121)</f>
        <v>86714.092400000009</v>
      </c>
      <c r="W122" s="29"/>
      <c r="X122" s="37"/>
      <c r="Y122" s="37"/>
    </row>
    <row r="123" spans="1:25" x14ac:dyDescent="0.25">
      <c r="B123" s="16" t="s">
        <v>4</v>
      </c>
      <c r="C123" s="17" t="s">
        <v>5</v>
      </c>
      <c r="D123" s="17" t="s">
        <v>6</v>
      </c>
      <c r="E123" s="18" t="s">
        <v>7</v>
      </c>
      <c r="F123" s="18"/>
      <c r="G123" s="16" t="s">
        <v>8</v>
      </c>
      <c r="H123" s="16" t="s">
        <v>9</v>
      </c>
      <c r="I123" s="17" t="s">
        <v>61</v>
      </c>
      <c r="J123" s="19" t="s">
        <v>11</v>
      </c>
      <c r="K123" s="17" t="s">
        <v>12</v>
      </c>
      <c r="L123" s="17" t="s">
        <v>13</v>
      </c>
      <c r="M123" s="17" t="s">
        <v>14</v>
      </c>
      <c r="N123" s="17" t="s">
        <v>15</v>
      </c>
      <c r="O123" s="48" t="s">
        <v>16</v>
      </c>
      <c r="P123" s="17" t="s">
        <v>17</v>
      </c>
      <c r="Q123" s="20" t="s">
        <v>18</v>
      </c>
      <c r="R123" s="17" t="s">
        <v>19</v>
      </c>
      <c r="S123" s="16" t="s">
        <v>20</v>
      </c>
      <c r="T123" s="21" t="s">
        <v>60</v>
      </c>
      <c r="U123" s="21" t="s">
        <v>59</v>
      </c>
      <c r="V123" s="69" t="s">
        <v>36</v>
      </c>
      <c r="W123" s="95">
        <f>+W77</f>
        <v>0</v>
      </c>
      <c r="X123" s="36"/>
      <c r="Y123" s="36"/>
    </row>
    <row r="124" spans="1:25" s="46" customFormat="1" x14ac:dyDescent="0.25">
      <c r="A124" s="46" t="s">
        <v>264</v>
      </c>
      <c r="B124" s="42" t="s">
        <v>118</v>
      </c>
      <c r="C124" s="83" t="s">
        <v>2</v>
      </c>
      <c r="D124" s="83" t="s">
        <v>158</v>
      </c>
      <c r="E124" s="84">
        <v>36465</v>
      </c>
      <c r="F124" s="84">
        <v>36677</v>
      </c>
      <c r="G124" s="91" t="s">
        <v>159</v>
      </c>
      <c r="H124" s="91" t="s">
        <v>160</v>
      </c>
      <c r="I124" s="83" t="s">
        <v>161</v>
      </c>
      <c r="J124" s="66">
        <v>0</v>
      </c>
      <c r="K124" s="85">
        <v>0</v>
      </c>
      <c r="L124" s="85">
        <v>2.2000000000000001E-3</v>
      </c>
      <c r="M124" s="85">
        <v>7.1999999999999998E-3</v>
      </c>
      <c r="N124" s="85">
        <v>0</v>
      </c>
      <c r="O124" s="86">
        <v>0</v>
      </c>
      <c r="P124" s="85">
        <f t="shared" ref="P124:P130" si="14">SUM(J124:N124)</f>
        <v>9.4000000000000004E-3</v>
      </c>
      <c r="Q124" s="87">
        <v>31372</v>
      </c>
      <c r="R124" s="83">
        <v>431</v>
      </c>
      <c r="S124" s="42" t="s">
        <v>31</v>
      </c>
      <c r="T124" s="88">
        <f t="shared" ref="T124:T130" si="15">J124*J$1*R124</f>
        <v>0</v>
      </c>
      <c r="U124" s="88"/>
      <c r="V124" s="82">
        <v>142813</v>
      </c>
      <c r="W124" s="42"/>
      <c r="X124" s="89"/>
      <c r="Y124" s="89"/>
    </row>
    <row r="125" spans="1:25" s="46" customFormat="1" x14ac:dyDescent="0.25">
      <c r="A125" s="46" t="s">
        <v>264</v>
      </c>
      <c r="B125" s="42" t="s">
        <v>118</v>
      </c>
      <c r="C125" s="83" t="s">
        <v>2</v>
      </c>
      <c r="D125" s="83" t="s">
        <v>114</v>
      </c>
      <c r="E125" s="84">
        <v>36465</v>
      </c>
      <c r="F125" s="84">
        <v>36677</v>
      </c>
      <c r="G125" s="91" t="s">
        <v>163</v>
      </c>
      <c r="H125" s="91" t="s">
        <v>162</v>
      </c>
      <c r="I125" s="83" t="s">
        <v>161</v>
      </c>
      <c r="J125" s="66">
        <v>0</v>
      </c>
      <c r="K125" s="85">
        <v>0</v>
      </c>
      <c r="L125" s="85">
        <v>2.2000000000000001E-3</v>
      </c>
      <c r="M125" s="85">
        <v>7.1999999999999998E-3</v>
      </c>
      <c r="N125" s="85">
        <v>0</v>
      </c>
      <c r="O125" s="86">
        <v>0</v>
      </c>
      <c r="P125" s="85">
        <f t="shared" si="14"/>
        <v>9.4000000000000004E-3</v>
      </c>
      <c r="Q125" s="87">
        <v>31533</v>
      </c>
      <c r="R125" s="83">
        <v>48</v>
      </c>
      <c r="S125" s="42" t="s">
        <v>31</v>
      </c>
      <c r="T125" s="88">
        <f t="shared" si="15"/>
        <v>0</v>
      </c>
      <c r="U125" s="88"/>
      <c r="V125" s="82">
        <v>142814</v>
      </c>
      <c r="W125" s="42"/>
      <c r="X125" s="89"/>
      <c r="Y125" s="89"/>
    </row>
    <row r="126" spans="1:25" s="81" customFormat="1" x14ac:dyDescent="0.25">
      <c r="B126" s="43" t="s">
        <v>118</v>
      </c>
      <c r="C126" s="74" t="s">
        <v>2</v>
      </c>
      <c r="D126" s="74" t="s">
        <v>164</v>
      </c>
      <c r="E126" s="75">
        <v>36526</v>
      </c>
      <c r="F126" s="75">
        <v>36556</v>
      </c>
      <c r="G126" s="43" t="s">
        <v>165</v>
      </c>
      <c r="H126" s="94" t="s">
        <v>166</v>
      </c>
      <c r="I126" s="74" t="s">
        <v>161</v>
      </c>
      <c r="J126" s="76">
        <f>6.74/31</f>
        <v>0.21741935483870969</v>
      </c>
      <c r="K126" s="65">
        <v>7.6300000000000007E-2</v>
      </c>
      <c r="L126" s="65">
        <v>2.2000000000000001E-3</v>
      </c>
      <c r="M126" s="65">
        <v>7.1999999999999998E-3</v>
      </c>
      <c r="N126" s="65">
        <v>0</v>
      </c>
      <c r="O126" s="64">
        <v>2.7900000000000001E-2</v>
      </c>
      <c r="P126" s="65">
        <f t="shared" si="14"/>
        <v>0.30311935483870966</v>
      </c>
      <c r="Q126" s="77">
        <v>31957</v>
      </c>
      <c r="R126" s="74">
        <v>3678</v>
      </c>
      <c r="S126" s="43" t="s">
        <v>31</v>
      </c>
      <c r="T126" s="78">
        <f t="shared" si="15"/>
        <v>24789.72</v>
      </c>
      <c r="U126" s="78"/>
      <c r="V126" s="79">
        <v>145064</v>
      </c>
      <c r="W126" s="43" t="s">
        <v>168</v>
      </c>
      <c r="X126" s="80"/>
      <c r="Y126" s="80"/>
    </row>
    <row r="127" spans="1:25" s="81" customFormat="1" x14ac:dyDescent="0.25">
      <c r="B127" s="43" t="s">
        <v>118</v>
      </c>
      <c r="C127" s="74" t="s">
        <v>2</v>
      </c>
      <c r="D127" s="74" t="s">
        <v>164</v>
      </c>
      <c r="E127" s="75">
        <v>36526</v>
      </c>
      <c r="F127" s="75">
        <v>36556</v>
      </c>
      <c r="G127" s="94" t="s">
        <v>169</v>
      </c>
      <c r="H127" s="94" t="s">
        <v>170</v>
      </c>
      <c r="I127" s="74" t="s">
        <v>161</v>
      </c>
      <c r="J127" s="76">
        <v>0</v>
      </c>
      <c r="K127" s="65">
        <v>0</v>
      </c>
      <c r="L127" s="65">
        <v>2.2000000000000001E-3</v>
      </c>
      <c r="M127" s="65">
        <v>7.1999999999999998E-3</v>
      </c>
      <c r="N127" s="65">
        <v>0</v>
      </c>
      <c r="O127" s="64">
        <v>0</v>
      </c>
      <c r="P127" s="65">
        <f t="shared" si="14"/>
        <v>9.4000000000000004E-3</v>
      </c>
      <c r="Q127" s="77" t="s">
        <v>167</v>
      </c>
      <c r="R127" s="74">
        <v>802</v>
      </c>
      <c r="S127" s="43" t="s">
        <v>31</v>
      </c>
      <c r="T127" s="78">
        <f t="shared" si="15"/>
        <v>0</v>
      </c>
      <c r="U127" s="78"/>
      <c r="V127" s="79"/>
      <c r="W127" s="43" t="s">
        <v>168</v>
      </c>
      <c r="X127" s="80"/>
      <c r="Y127" s="80"/>
    </row>
    <row r="128" spans="1:25" s="81" customFormat="1" x14ac:dyDescent="0.25">
      <c r="B128" s="43" t="s">
        <v>118</v>
      </c>
      <c r="C128" s="74" t="s">
        <v>259</v>
      </c>
      <c r="D128" s="74" t="s">
        <v>164</v>
      </c>
      <c r="E128" s="75">
        <v>36526</v>
      </c>
      <c r="F128" s="75">
        <v>36556</v>
      </c>
      <c r="G128" s="43" t="s">
        <v>260</v>
      </c>
      <c r="H128" s="43" t="s">
        <v>164</v>
      </c>
      <c r="I128" s="74" t="s">
        <v>161</v>
      </c>
      <c r="J128" s="76">
        <v>0.38450000000000001</v>
      </c>
      <c r="K128" s="65">
        <v>0</v>
      </c>
      <c r="L128" s="65">
        <v>2.2000000000000001E-3</v>
      </c>
      <c r="M128" s="65">
        <v>7.1999999999999998E-3</v>
      </c>
      <c r="N128" s="65">
        <v>0</v>
      </c>
      <c r="O128" s="64">
        <v>2.2200000000000001E-2</v>
      </c>
      <c r="P128" s="65">
        <f t="shared" si="14"/>
        <v>0.39389999999999997</v>
      </c>
      <c r="Q128" s="77">
        <v>31958</v>
      </c>
      <c r="R128" s="74">
        <v>4102</v>
      </c>
      <c r="S128" s="43" t="s">
        <v>31</v>
      </c>
      <c r="T128" s="78">
        <f t="shared" si="15"/>
        <v>48893.789000000004</v>
      </c>
      <c r="U128" s="78"/>
      <c r="V128" s="79">
        <v>145082</v>
      </c>
      <c r="W128" s="43" t="s">
        <v>168</v>
      </c>
      <c r="X128" s="80"/>
      <c r="Y128" s="80"/>
    </row>
    <row r="129" spans="1:25" s="46" customFormat="1" x14ac:dyDescent="0.25">
      <c r="A129" s="46" t="s">
        <v>264</v>
      </c>
      <c r="B129" s="42" t="s">
        <v>118</v>
      </c>
      <c r="C129" s="83" t="s">
        <v>265</v>
      </c>
      <c r="D129" s="83" t="s">
        <v>255</v>
      </c>
      <c r="E129" s="84">
        <v>36526</v>
      </c>
      <c r="F129" s="84">
        <v>36556</v>
      </c>
      <c r="G129" s="91" t="s">
        <v>256</v>
      </c>
      <c r="H129" s="91" t="s">
        <v>257</v>
      </c>
      <c r="I129" s="83" t="s">
        <v>161</v>
      </c>
      <c r="J129" s="66">
        <v>7.2900000000000006E-2</v>
      </c>
      <c r="K129" s="85">
        <v>8.9999999999999993E-3</v>
      </c>
      <c r="L129" s="85">
        <v>2.2000000000000001E-3</v>
      </c>
      <c r="M129" s="85">
        <v>7.1999999999999998E-3</v>
      </c>
      <c r="N129" s="85">
        <v>0</v>
      </c>
      <c r="O129" s="86">
        <v>0</v>
      </c>
      <c r="P129" s="85">
        <f t="shared" si="14"/>
        <v>9.1299999999999992E-2</v>
      </c>
      <c r="Q129" s="87">
        <v>32110</v>
      </c>
      <c r="R129" s="83">
        <v>5000</v>
      </c>
      <c r="S129" s="42" t="s">
        <v>31</v>
      </c>
      <c r="T129" s="88">
        <f t="shared" si="15"/>
        <v>11299.5</v>
      </c>
      <c r="U129" s="88"/>
      <c r="V129" s="82">
        <v>145906</v>
      </c>
      <c r="W129" s="42" t="s">
        <v>168</v>
      </c>
      <c r="X129" s="89"/>
      <c r="Y129" s="89"/>
    </row>
    <row r="130" spans="1:25" s="81" customFormat="1" x14ac:dyDescent="0.25">
      <c r="B130" s="43" t="s">
        <v>118</v>
      </c>
      <c r="C130" s="74" t="s">
        <v>265</v>
      </c>
      <c r="D130" s="74" t="s">
        <v>255</v>
      </c>
      <c r="E130" s="75">
        <v>36526</v>
      </c>
      <c r="F130" s="75">
        <v>36556</v>
      </c>
      <c r="G130" s="43" t="s">
        <v>256</v>
      </c>
      <c r="H130" s="43" t="s">
        <v>257</v>
      </c>
      <c r="I130" s="74" t="s">
        <v>161</v>
      </c>
      <c r="J130" s="76">
        <v>7.2900000000000006E-2</v>
      </c>
      <c r="K130" s="65">
        <v>8.9999999999999993E-3</v>
      </c>
      <c r="L130" s="65">
        <v>2.2000000000000001E-3</v>
      </c>
      <c r="M130" s="65">
        <v>7.1999999999999998E-3</v>
      </c>
      <c r="N130" s="65">
        <v>0</v>
      </c>
      <c r="O130" s="64">
        <v>0</v>
      </c>
      <c r="P130" s="65">
        <f t="shared" si="14"/>
        <v>9.1299999999999992E-2</v>
      </c>
      <c r="Q130" s="77">
        <v>32067</v>
      </c>
      <c r="R130" s="74">
        <v>766</v>
      </c>
      <c r="S130" s="43" t="s">
        <v>31</v>
      </c>
      <c r="T130" s="78">
        <f t="shared" si="15"/>
        <v>1731.0834</v>
      </c>
      <c r="U130" s="78"/>
      <c r="V130" s="79">
        <v>145906</v>
      </c>
      <c r="W130" s="43" t="s">
        <v>168</v>
      </c>
      <c r="X130" s="80"/>
      <c r="Y130" s="80"/>
    </row>
    <row r="131" spans="1:25" x14ac:dyDescent="0.25">
      <c r="A131" s="25" t="s">
        <v>264</v>
      </c>
      <c r="B131" s="1" t="s">
        <v>118</v>
      </c>
      <c r="C131" s="3" t="s">
        <v>2</v>
      </c>
      <c r="D131" s="3" t="s">
        <v>266</v>
      </c>
      <c r="E131" s="4">
        <v>36526</v>
      </c>
      <c r="F131" s="4">
        <v>36556</v>
      </c>
      <c r="G131" s="1" t="s">
        <v>267</v>
      </c>
      <c r="H131" s="1" t="s">
        <v>268</v>
      </c>
      <c r="I131" s="3" t="s">
        <v>161</v>
      </c>
      <c r="J131" s="8" t="s">
        <v>269</v>
      </c>
      <c r="K131" s="5"/>
      <c r="L131" s="23"/>
      <c r="M131" s="5"/>
      <c r="N131" s="5"/>
      <c r="O131" s="47"/>
      <c r="P131" s="5"/>
      <c r="Q131" s="24">
        <v>32087</v>
      </c>
      <c r="R131" s="2">
        <v>1000</v>
      </c>
      <c r="S131" s="3"/>
      <c r="T131" s="9"/>
      <c r="U131" s="9"/>
      <c r="V131" s="72"/>
      <c r="W131" s="1" t="s">
        <v>270</v>
      </c>
      <c r="X131" s="36"/>
      <c r="Y131" s="36"/>
    </row>
    <row r="132" spans="1:25" x14ac:dyDescent="0.25">
      <c r="A132" s="25" t="s">
        <v>264</v>
      </c>
      <c r="B132" s="1" t="s">
        <v>118</v>
      </c>
      <c r="C132" s="3" t="s">
        <v>2</v>
      </c>
      <c r="D132" s="3" t="s">
        <v>255</v>
      </c>
      <c r="E132" s="4">
        <v>36526</v>
      </c>
      <c r="F132" s="4">
        <v>36556</v>
      </c>
      <c r="G132" s="1" t="s">
        <v>267</v>
      </c>
      <c r="H132" s="1" t="s">
        <v>256</v>
      </c>
      <c r="I132" s="3" t="s">
        <v>271</v>
      </c>
      <c r="J132" s="8">
        <v>0</v>
      </c>
      <c r="K132" s="5"/>
      <c r="L132" s="23"/>
      <c r="M132" s="5"/>
      <c r="N132" s="5"/>
      <c r="O132" s="47"/>
      <c r="P132" s="5"/>
      <c r="Q132" s="24">
        <v>32067</v>
      </c>
      <c r="R132" s="2">
        <v>769</v>
      </c>
      <c r="S132" s="3"/>
      <c r="T132" s="9"/>
      <c r="U132" s="9"/>
      <c r="V132" s="72"/>
      <c r="W132" s="1"/>
      <c r="X132" s="36"/>
      <c r="Y132" s="36"/>
    </row>
    <row r="133" spans="1:25" x14ac:dyDescent="0.25">
      <c r="B133" s="1"/>
      <c r="C133" s="3"/>
      <c r="D133" s="3"/>
      <c r="E133" s="4"/>
      <c r="F133" s="4"/>
      <c r="G133" s="1"/>
      <c r="H133" s="1"/>
      <c r="I133" s="3"/>
      <c r="J133" s="8"/>
      <c r="K133" s="5"/>
      <c r="L133" s="23"/>
      <c r="M133" s="5"/>
      <c r="N133" s="5"/>
      <c r="O133" s="50"/>
      <c r="P133" s="5"/>
      <c r="Q133" s="24"/>
      <c r="R133" s="3">
        <f>SUM(R124:R132)</f>
        <v>16596</v>
      </c>
      <c r="S133" s="3"/>
      <c r="T133" s="143">
        <f>SUM(T124:T132)</f>
        <v>86714.092400000009</v>
      </c>
      <c r="W133" s="29"/>
      <c r="X133" s="37"/>
      <c r="Y133" s="37"/>
    </row>
    <row r="134" spans="1:25" x14ac:dyDescent="0.25">
      <c r="B134" s="16" t="s">
        <v>4</v>
      </c>
      <c r="C134" s="17" t="s">
        <v>5</v>
      </c>
      <c r="D134" s="17" t="s">
        <v>6</v>
      </c>
      <c r="E134" s="18" t="s">
        <v>7</v>
      </c>
      <c r="F134" s="18"/>
      <c r="G134" s="16" t="s">
        <v>8</v>
      </c>
      <c r="H134" s="16" t="s">
        <v>9</v>
      </c>
      <c r="I134" s="17" t="s">
        <v>61</v>
      </c>
      <c r="J134" s="19" t="s">
        <v>11</v>
      </c>
      <c r="K134" s="17" t="s">
        <v>12</v>
      </c>
      <c r="L134" s="17" t="s">
        <v>13</v>
      </c>
      <c r="M134" s="17" t="s">
        <v>14</v>
      </c>
      <c r="N134" s="17" t="s">
        <v>15</v>
      </c>
      <c r="O134" s="48" t="s">
        <v>16</v>
      </c>
      <c r="P134" s="17" t="s">
        <v>17</v>
      </c>
      <c r="Q134" s="20" t="s">
        <v>18</v>
      </c>
      <c r="R134" s="17" t="s">
        <v>19</v>
      </c>
      <c r="S134" s="16" t="s">
        <v>20</v>
      </c>
      <c r="T134" s="21" t="s">
        <v>60</v>
      </c>
      <c r="U134" s="21" t="s">
        <v>59</v>
      </c>
      <c r="V134" s="69" t="s">
        <v>36</v>
      </c>
      <c r="W134" s="95">
        <f>+W84</f>
        <v>0</v>
      </c>
      <c r="X134" s="36"/>
      <c r="Y134" s="36"/>
    </row>
    <row r="135" spans="1:25" s="46" customFormat="1" x14ac:dyDescent="0.25">
      <c r="B135" s="42" t="s">
        <v>118</v>
      </c>
      <c r="C135" s="83" t="s">
        <v>27</v>
      </c>
      <c r="D135" s="83" t="s">
        <v>174</v>
      </c>
      <c r="E135" s="84">
        <v>35977</v>
      </c>
      <c r="F135" s="84">
        <v>41029</v>
      </c>
      <c r="G135" s="42" t="s">
        <v>175</v>
      </c>
      <c r="H135" s="42" t="s">
        <v>176</v>
      </c>
      <c r="I135" s="83" t="s">
        <v>24</v>
      </c>
      <c r="J135" s="66">
        <v>0.55000000000000004</v>
      </c>
      <c r="K135" s="85">
        <v>0</v>
      </c>
      <c r="L135" s="85">
        <v>2.2000000000000001E-3</v>
      </c>
      <c r="M135" s="85">
        <v>0</v>
      </c>
      <c r="N135" s="85">
        <v>0</v>
      </c>
      <c r="O135" s="86">
        <v>0</v>
      </c>
      <c r="P135" s="85">
        <f t="shared" ref="P135:P144" si="16">SUM(J135:N135)</f>
        <v>0.55220000000000002</v>
      </c>
      <c r="Q135" s="87">
        <v>886677</v>
      </c>
      <c r="R135" s="83">
        <v>49</v>
      </c>
      <c r="S135" s="42"/>
      <c r="T135" s="88">
        <f t="shared" ref="T135:T148" si="17">J135*J$1*R135</f>
        <v>835.45</v>
      </c>
      <c r="U135" s="88"/>
      <c r="V135" s="82">
        <v>143309</v>
      </c>
      <c r="W135" s="42"/>
      <c r="X135" s="89"/>
      <c r="Y135" s="89"/>
    </row>
    <row r="136" spans="1:25" s="46" customFormat="1" x14ac:dyDescent="0.25">
      <c r="B136" s="42" t="s">
        <v>118</v>
      </c>
      <c r="C136" s="83" t="s">
        <v>27</v>
      </c>
      <c r="D136" s="83" t="s">
        <v>174</v>
      </c>
      <c r="E136" s="84">
        <v>36130</v>
      </c>
      <c r="F136" s="84">
        <v>41029</v>
      </c>
      <c r="G136" s="42" t="s">
        <v>175</v>
      </c>
      <c r="H136" s="42" t="s">
        <v>176</v>
      </c>
      <c r="I136" s="83" t="s">
        <v>24</v>
      </c>
      <c r="J136" s="66">
        <v>0.55000000000000004</v>
      </c>
      <c r="K136" s="85">
        <v>0</v>
      </c>
      <c r="L136" s="85">
        <v>2.2000000000000001E-3</v>
      </c>
      <c r="M136" s="85">
        <v>0</v>
      </c>
      <c r="N136" s="85">
        <v>0</v>
      </c>
      <c r="O136" s="86">
        <v>0</v>
      </c>
      <c r="P136" s="85">
        <f t="shared" si="16"/>
        <v>0.55220000000000002</v>
      </c>
      <c r="Q136" s="87">
        <v>887978</v>
      </c>
      <c r="R136" s="83">
        <v>9</v>
      </c>
      <c r="S136" s="42"/>
      <c r="T136" s="88">
        <f t="shared" si="17"/>
        <v>153.45000000000002</v>
      </c>
      <c r="U136" s="88"/>
      <c r="V136" s="82">
        <v>143310</v>
      </c>
      <c r="W136" s="42"/>
      <c r="X136" s="89"/>
      <c r="Y136" s="89"/>
    </row>
    <row r="137" spans="1:25" s="46" customFormat="1" x14ac:dyDescent="0.25">
      <c r="B137" s="42" t="s">
        <v>118</v>
      </c>
      <c r="C137" s="83" t="s">
        <v>27</v>
      </c>
      <c r="D137" s="83" t="s">
        <v>174</v>
      </c>
      <c r="E137" s="84">
        <v>36220</v>
      </c>
      <c r="F137" s="84">
        <v>41029</v>
      </c>
      <c r="G137" s="42" t="s">
        <v>175</v>
      </c>
      <c r="H137" s="42" t="s">
        <v>177</v>
      </c>
      <c r="I137" s="83" t="s">
        <v>24</v>
      </c>
      <c r="J137" s="66">
        <v>0.55000000000000004</v>
      </c>
      <c r="K137" s="85">
        <v>0</v>
      </c>
      <c r="L137" s="85">
        <v>2.2000000000000001E-3</v>
      </c>
      <c r="M137" s="85">
        <v>0</v>
      </c>
      <c r="N137" s="85">
        <v>0</v>
      </c>
      <c r="O137" s="86">
        <v>0</v>
      </c>
      <c r="P137" s="85">
        <f t="shared" si="16"/>
        <v>0.55220000000000002</v>
      </c>
      <c r="Q137" s="87">
        <v>888786</v>
      </c>
      <c r="R137" s="83">
        <v>16</v>
      </c>
      <c r="S137" s="42"/>
      <c r="T137" s="88">
        <f t="shared" si="17"/>
        <v>272.8</v>
      </c>
      <c r="U137" s="88"/>
      <c r="V137" s="82">
        <v>143311</v>
      </c>
      <c r="W137" s="42"/>
      <c r="X137" s="89"/>
      <c r="Y137" s="89"/>
    </row>
    <row r="138" spans="1:25" s="46" customFormat="1" x14ac:dyDescent="0.25">
      <c r="B138" s="42" t="s">
        <v>118</v>
      </c>
      <c r="C138" s="83" t="s">
        <v>27</v>
      </c>
      <c r="D138" s="83" t="s">
        <v>174</v>
      </c>
      <c r="E138" s="84">
        <v>36465</v>
      </c>
      <c r="F138" s="84">
        <v>39021</v>
      </c>
      <c r="G138" s="42" t="s">
        <v>23</v>
      </c>
      <c r="H138" s="42" t="s">
        <v>26</v>
      </c>
      <c r="I138" s="83" t="s">
        <v>24</v>
      </c>
      <c r="J138" s="66">
        <v>0.55000000000000004</v>
      </c>
      <c r="K138" s="85">
        <v>0</v>
      </c>
      <c r="L138" s="85">
        <v>2.2000000000000001E-3</v>
      </c>
      <c r="M138" s="85">
        <v>0</v>
      </c>
      <c r="N138" s="85">
        <v>0</v>
      </c>
      <c r="O138" s="86">
        <v>0</v>
      </c>
      <c r="P138" s="85">
        <f t="shared" si="16"/>
        <v>0.55220000000000002</v>
      </c>
      <c r="Q138" s="87">
        <v>892066</v>
      </c>
      <c r="R138" s="83">
        <v>139</v>
      </c>
      <c r="S138" s="42"/>
      <c r="T138" s="88">
        <f t="shared" si="17"/>
        <v>2369.9500000000003</v>
      </c>
      <c r="U138" s="88"/>
      <c r="V138" s="82">
        <v>143315</v>
      </c>
      <c r="W138" s="42"/>
      <c r="X138" s="89"/>
      <c r="Y138" s="89"/>
    </row>
    <row r="139" spans="1:25" s="46" customFormat="1" x14ac:dyDescent="0.25">
      <c r="B139" s="42" t="s">
        <v>118</v>
      </c>
      <c r="C139" s="83" t="s">
        <v>27</v>
      </c>
      <c r="D139" s="83" t="s">
        <v>174</v>
      </c>
      <c r="E139" s="84">
        <v>36465</v>
      </c>
      <c r="F139" s="84">
        <v>36830</v>
      </c>
      <c r="G139" s="42" t="s">
        <v>32</v>
      </c>
      <c r="H139" s="42" t="s">
        <v>26</v>
      </c>
      <c r="I139" s="83" t="s">
        <v>25</v>
      </c>
      <c r="J139" s="66">
        <v>0.55000000000000004</v>
      </c>
      <c r="K139" s="85">
        <v>0</v>
      </c>
      <c r="L139" s="85">
        <v>2.2000000000000001E-3</v>
      </c>
      <c r="M139" s="85">
        <v>0</v>
      </c>
      <c r="N139" s="85">
        <v>0</v>
      </c>
      <c r="O139" s="86">
        <v>0</v>
      </c>
      <c r="P139" s="85">
        <f t="shared" si="16"/>
        <v>0.55220000000000002</v>
      </c>
      <c r="Q139" s="87">
        <v>892069</v>
      </c>
      <c r="R139" s="83">
        <v>11</v>
      </c>
      <c r="S139" s="42"/>
      <c r="T139" s="88">
        <f t="shared" si="17"/>
        <v>187.55</v>
      </c>
      <c r="U139" s="88"/>
      <c r="V139" s="82">
        <v>143316</v>
      </c>
      <c r="W139" s="42"/>
      <c r="X139" s="89"/>
      <c r="Y139" s="89"/>
    </row>
    <row r="140" spans="1:25" s="46" customFormat="1" x14ac:dyDescent="0.25">
      <c r="B140" s="42" t="s">
        <v>118</v>
      </c>
      <c r="C140" s="83" t="s">
        <v>27</v>
      </c>
      <c r="D140" s="83" t="s">
        <v>174</v>
      </c>
      <c r="E140" s="84">
        <v>36465</v>
      </c>
      <c r="F140" s="84">
        <v>37560</v>
      </c>
      <c r="G140" s="42" t="s">
        <v>23</v>
      </c>
      <c r="H140" s="42" t="s">
        <v>32</v>
      </c>
      <c r="I140" s="83" t="s">
        <v>24</v>
      </c>
      <c r="J140" s="66">
        <v>0.55000000000000004</v>
      </c>
      <c r="K140" s="85">
        <v>0</v>
      </c>
      <c r="L140" s="85">
        <v>2.2000000000000001E-3</v>
      </c>
      <c r="M140" s="85">
        <v>0</v>
      </c>
      <c r="N140" s="85">
        <v>0</v>
      </c>
      <c r="O140" s="86">
        <v>0</v>
      </c>
      <c r="P140" s="85">
        <f t="shared" si="16"/>
        <v>0.55220000000000002</v>
      </c>
      <c r="Q140" s="87">
        <v>892084</v>
      </c>
      <c r="R140" s="83">
        <v>18</v>
      </c>
      <c r="S140" s="42"/>
      <c r="T140" s="88">
        <f t="shared" si="17"/>
        <v>306.90000000000003</v>
      </c>
      <c r="U140" s="88"/>
      <c r="V140" s="82">
        <v>143318</v>
      </c>
      <c r="W140" s="42"/>
      <c r="X140" s="89"/>
      <c r="Y140" s="89"/>
    </row>
    <row r="141" spans="1:25" s="46" customFormat="1" x14ac:dyDescent="0.25">
      <c r="B141" s="42" t="s">
        <v>118</v>
      </c>
      <c r="C141" s="83" t="s">
        <v>27</v>
      </c>
      <c r="D141" s="83" t="s">
        <v>174</v>
      </c>
      <c r="E141" s="84">
        <v>36465</v>
      </c>
      <c r="F141" s="84">
        <v>39021</v>
      </c>
      <c r="G141" s="42" t="s">
        <v>23</v>
      </c>
      <c r="H141" s="42" t="s">
        <v>26</v>
      </c>
      <c r="I141" s="83" t="s">
        <v>24</v>
      </c>
      <c r="J141" s="66">
        <v>0.55000000000000004</v>
      </c>
      <c r="K141" s="85">
        <v>0</v>
      </c>
      <c r="L141" s="85">
        <v>2.2000000000000001E-3</v>
      </c>
      <c r="M141" s="85">
        <v>0</v>
      </c>
      <c r="N141" s="85">
        <v>0</v>
      </c>
      <c r="O141" s="86">
        <v>0</v>
      </c>
      <c r="P141" s="85">
        <f>SUM(J141:N141)</f>
        <v>0.55220000000000002</v>
      </c>
      <c r="Q141" s="87">
        <v>892085</v>
      </c>
      <c r="R141" s="83">
        <v>167</v>
      </c>
      <c r="S141" s="42"/>
      <c r="T141" s="88">
        <f t="shared" si="17"/>
        <v>2847.35</v>
      </c>
      <c r="U141" s="88"/>
      <c r="V141" s="82">
        <v>143319</v>
      </c>
      <c r="W141" s="42"/>
      <c r="X141" s="89"/>
      <c r="Y141" s="89"/>
    </row>
    <row r="142" spans="1:25" s="46" customFormat="1" x14ac:dyDescent="0.25">
      <c r="B142" s="42" t="s">
        <v>118</v>
      </c>
      <c r="C142" s="83" t="s">
        <v>27</v>
      </c>
      <c r="D142" s="83" t="s">
        <v>174</v>
      </c>
      <c r="E142" s="84">
        <v>36495</v>
      </c>
      <c r="F142" s="84">
        <v>39021</v>
      </c>
      <c r="G142" s="42" t="s">
        <v>23</v>
      </c>
      <c r="H142" s="42" t="s">
        <v>26</v>
      </c>
      <c r="I142" s="83" t="s">
        <v>25</v>
      </c>
      <c r="J142" s="66">
        <v>0.55000000000000004</v>
      </c>
      <c r="K142" s="85">
        <v>0</v>
      </c>
      <c r="L142" s="85">
        <v>2.2000000000000001E-3</v>
      </c>
      <c r="M142" s="85">
        <v>0</v>
      </c>
      <c r="N142" s="85">
        <v>0</v>
      </c>
      <c r="O142" s="86">
        <v>0</v>
      </c>
      <c r="P142" s="85">
        <f t="shared" si="16"/>
        <v>0.55220000000000002</v>
      </c>
      <c r="Q142" s="87">
        <v>892214</v>
      </c>
      <c r="R142" s="83">
        <v>114</v>
      </c>
      <c r="S142" s="42"/>
      <c r="T142" s="88">
        <f t="shared" si="17"/>
        <v>1943.7</v>
      </c>
      <c r="U142" s="88"/>
      <c r="V142" s="82">
        <v>143321</v>
      </c>
      <c r="W142" s="42"/>
      <c r="X142" s="89"/>
      <c r="Y142" s="89"/>
    </row>
    <row r="143" spans="1:25" s="46" customFormat="1" x14ac:dyDescent="0.25">
      <c r="B143" s="42" t="s">
        <v>118</v>
      </c>
      <c r="C143" s="83" t="s">
        <v>27</v>
      </c>
      <c r="D143" s="83" t="s">
        <v>174</v>
      </c>
      <c r="E143" s="84">
        <v>36465</v>
      </c>
      <c r="F143" s="84">
        <v>41394</v>
      </c>
      <c r="G143" s="42" t="s">
        <v>178</v>
      </c>
      <c r="H143" s="42" t="s">
        <v>0</v>
      </c>
      <c r="I143" s="83" t="s">
        <v>178</v>
      </c>
      <c r="J143" s="66">
        <v>0.1852</v>
      </c>
      <c r="K143" s="85">
        <v>0</v>
      </c>
      <c r="L143" s="85">
        <v>2.2000000000000001E-3</v>
      </c>
      <c r="M143" s="85">
        <v>0</v>
      </c>
      <c r="N143" s="85">
        <v>0</v>
      </c>
      <c r="O143" s="86">
        <v>0</v>
      </c>
      <c r="P143" s="85">
        <f>SUM(J143:N143)</f>
        <v>0.18740000000000001</v>
      </c>
      <c r="Q143" s="87">
        <v>892102</v>
      </c>
      <c r="R143" s="83">
        <v>170</v>
      </c>
      <c r="S143" s="42" t="s">
        <v>179</v>
      </c>
      <c r="T143" s="88">
        <f t="shared" si="17"/>
        <v>976.00400000000002</v>
      </c>
      <c r="U143" s="88"/>
      <c r="V143" s="82">
        <v>143323</v>
      </c>
      <c r="W143" s="42"/>
      <c r="X143" s="89"/>
      <c r="Y143" s="89"/>
    </row>
    <row r="144" spans="1:25" s="46" customFormat="1" x14ac:dyDescent="0.25">
      <c r="B144" s="42" t="s">
        <v>118</v>
      </c>
      <c r="C144" s="83" t="s">
        <v>27</v>
      </c>
      <c r="D144" s="83" t="s">
        <v>174</v>
      </c>
      <c r="E144" s="84">
        <v>36465</v>
      </c>
      <c r="F144" s="84">
        <v>41394</v>
      </c>
      <c r="G144" s="42" t="s">
        <v>178</v>
      </c>
      <c r="H144" s="42" t="s">
        <v>180</v>
      </c>
      <c r="I144" s="83" t="s">
        <v>178</v>
      </c>
      <c r="J144" s="66">
        <v>4.0000000000000002E-4</v>
      </c>
      <c r="K144" s="85">
        <v>0</v>
      </c>
      <c r="L144" s="85">
        <v>2.2000000000000001E-3</v>
      </c>
      <c r="M144" s="85">
        <v>0</v>
      </c>
      <c r="N144" s="85">
        <v>0</v>
      </c>
      <c r="O144" s="86">
        <v>0</v>
      </c>
      <c r="P144" s="85">
        <f t="shared" si="16"/>
        <v>2.6000000000000003E-3</v>
      </c>
      <c r="Q144" s="87">
        <v>892102</v>
      </c>
      <c r="R144" s="83">
        <v>12207</v>
      </c>
      <c r="S144" s="42" t="s">
        <v>179</v>
      </c>
      <c r="T144" s="88">
        <f t="shared" si="17"/>
        <v>151.36680000000001</v>
      </c>
      <c r="U144" s="88"/>
      <c r="V144" s="82">
        <v>143323</v>
      </c>
      <c r="W144" s="42"/>
      <c r="X144" s="89"/>
      <c r="Y144" s="89"/>
    </row>
    <row r="145" spans="2:27" s="46" customFormat="1" x14ac:dyDescent="0.25">
      <c r="B145" s="42" t="s">
        <v>118</v>
      </c>
      <c r="C145" s="83" t="s">
        <v>27</v>
      </c>
      <c r="D145" s="83" t="s">
        <v>392</v>
      </c>
      <c r="E145" s="84">
        <v>36526</v>
      </c>
      <c r="F145" s="84">
        <v>36677</v>
      </c>
      <c r="G145" s="42" t="s">
        <v>393</v>
      </c>
      <c r="H145" s="42" t="s">
        <v>26</v>
      </c>
      <c r="I145" s="83" t="s">
        <v>25</v>
      </c>
      <c r="J145" s="66">
        <v>0.87390000000000001</v>
      </c>
      <c r="K145" s="85"/>
      <c r="L145" s="85"/>
      <c r="M145" s="85"/>
      <c r="N145" s="85"/>
      <c r="O145" s="86"/>
      <c r="P145" s="85"/>
      <c r="Q145" s="87">
        <v>891719</v>
      </c>
      <c r="R145" s="87">
        <v>300</v>
      </c>
      <c r="S145" s="83"/>
      <c r="T145" s="42" t="s">
        <v>394</v>
      </c>
      <c r="U145" s="88">
        <f>(+S145*J145)*31</f>
        <v>0</v>
      </c>
      <c r="V145" s="190">
        <v>202419</v>
      </c>
      <c r="W145" s="82"/>
      <c r="X145" s="82"/>
      <c r="Y145" s="42"/>
      <c r="Z145" s="89"/>
      <c r="AA145" s="89"/>
    </row>
    <row r="146" spans="2:27" s="46" customFormat="1" x14ac:dyDescent="0.25">
      <c r="B146" s="42" t="s">
        <v>118</v>
      </c>
      <c r="C146" s="83" t="s">
        <v>27</v>
      </c>
      <c r="D146" s="83" t="s">
        <v>395</v>
      </c>
      <c r="E146" s="84">
        <v>36526</v>
      </c>
      <c r="F146" s="84">
        <v>36556</v>
      </c>
      <c r="G146" s="42" t="s">
        <v>396</v>
      </c>
      <c r="H146" s="42" t="s">
        <v>32</v>
      </c>
      <c r="I146" s="83" t="s">
        <v>24</v>
      </c>
      <c r="J146" s="66">
        <f>1.2167/30.417</f>
        <v>4.0000657527040795E-2</v>
      </c>
      <c r="K146" s="85"/>
      <c r="L146" s="85"/>
      <c r="M146" s="85"/>
      <c r="N146" s="85"/>
      <c r="O146" s="86"/>
      <c r="P146" s="85"/>
      <c r="Q146" s="87">
        <v>892424</v>
      </c>
      <c r="R146" s="87">
        <v>41</v>
      </c>
      <c r="S146" s="83" t="s">
        <v>399</v>
      </c>
      <c r="T146" s="42"/>
      <c r="U146" s="88"/>
      <c r="V146" s="190">
        <v>203018</v>
      </c>
      <c r="W146" s="82"/>
      <c r="X146" s="82"/>
      <c r="Y146" s="42"/>
      <c r="Z146" s="89"/>
      <c r="AA146" s="89"/>
    </row>
    <row r="147" spans="2:27" s="46" customFormat="1" x14ac:dyDescent="0.25">
      <c r="B147" s="42" t="s">
        <v>118</v>
      </c>
      <c r="C147" s="83" t="s">
        <v>27</v>
      </c>
      <c r="D147" s="83" t="s">
        <v>395</v>
      </c>
      <c r="E147" s="84">
        <v>36526</v>
      </c>
      <c r="F147" s="84">
        <v>36556</v>
      </c>
      <c r="G147" s="42" t="s">
        <v>32</v>
      </c>
      <c r="H147" s="42" t="s">
        <v>32</v>
      </c>
      <c r="I147" s="83" t="s">
        <v>398</v>
      </c>
      <c r="J147" s="66">
        <f>5.075/31</f>
        <v>0.16370967741935485</v>
      </c>
      <c r="K147" s="85"/>
      <c r="L147" s="85"/>
      <c r="M147" s="85"/>
      <c r="N147" s="85"/>
      <c r="O147" s="86"/>
      <c r="P147" s="85"/>
      <c r="Q147" s="87">
        <v>892423</v>
      </c>
      <c r="R147" s="87">
        <v>41</v>
      </c>
      <c r="S147" s="83" t="s">
        <v>400</v>
      </c>
      <c r="T147" s="42"/>
      <c r="U147" s="88"/>
      <c r="V147" s="190">
        <v>202382</v>
      </c>
      <c r="W147" s="82" t="s">
        <v>397</v>
      </c>
      <c r="X147" s="82"/>
      <c r="Y147" s="42"/>
      <c r="Z147" s="89"/>
      <c r="AA147" s="89"/>
    </row>
    <row r="148" spans="2:27" s="46" customFormat="1" x14ac:dyDescent="0.25">
      <c r="B148" s="42" t="s">
        <v>118</v>
      </c>
      <c r="C148" s="83" t="s">
        <v>27</v>
      </c>
      <c r="D148" s="83" t="s">
        <v>254</v>
      </c>
      <c r="E148" s="84">
        <v>36526</v>
      </c>
      <c r="F148" s="84">
        <v>36556</v>
      </c>
      <c r="G148" s="42" t="s">
        <v>23</v>
      </c>
      <c r="H148" s="42" t="s">
        <v>26</v>
      </c>
      <c r="I148" s="83" t="s">
        <v>25</v>
      </c>
      <c r="J148" s="66">
        <v>0.55000000000000004</v>
      </c>
      <c r="K148" s="85">
        <v>0</v>
      </c>
      <c r="L148" s="85">
        <v>2.2000000000000001E-3</v>
      </c>
      <c r="M148" s="85">
        <v>0</v>
      </c>
      <c r="N148" s="85">
        <v>0</v>
      </c>
      <c r="O148" s="86">
        <v>0</v>
      </c>
      <c r="P148" s="85">
        <f>SUM(J148:N148)</f>
        <v>0.55220000000000002</v>
      </c>
      <c r="Q148" s="87">
        <v>892348</v>
      </c>
      <c r="R148" s="83">
        <v>145</v>
      </c>
      <c r="S148" s="42"/>
      <c r="T148" s="88">
        <f t="shared" si="17"/>
        <v>2472.25</v>
      </c>
      <c r="U148" s="88"/>
      <c r="V148" s="82">
        <v>145307</v>
      </c>
      <c r="W148" s="42"/>
      <c r="X148" s="89"/>
      <c r="Y148" s="89"/>
    </row>
    <row r="149" spans="2:27" x14ac:dyDescent="0.25">
      <c r="B149" s="1"/>
      <c r="C149" s="3"/>
      <c r="D149" s="3"/>
      <c r="E149" s="4"/>
      <c r="F149" s="4"/>
      <c r="G149" s="1"/>
      <c r="H149" s="1"/>
      <c r="I149" s="3"/>
      <c r="J149" s="8"/>
      <c r="K149" s="5"/>
      <c r="L149" s="23"/>
      <c r="M149" s="5"/>
      <c r="N149" s="5"/>
      <c r="O149" s="47"/>
      <c r="P149" s="5"/>
      <c r="Q149" s="24"/>
      <c r="R149" s="2">
        <f>SUM(R135:R148)</f>
        <v>13427</v>
      </c>
      <c r="S149" s="3"/>
      <c r="T149" s="9">
        <f>SUM(T135:T148)</f>
        <v>12516.770800000002</v>
      </c>
      <c r="U149" s="9"/>
      <c r="V149" s="72"/>
      <c r="W149" s="1"/>
      <c r="X149" s="36"/>
      <c r="Y149" s="36"/>
    </row>
    <row r="150" spans="2:27" x14ac:dyDescent="0.25">
      <c r="B150" s="16" t="s">
        <v>4</v>
      </c>
      <c r="C150" s="17" t="s">
        <v>5</v>
      </c>
      <c r="D150" s="17" t="s">
        <v>6</v>
      </c>
      <c r="E150" s="18" t="s">
        <v>7</v>
      </c>
      <c r="F150" s="18"/>
      <c r="G150" s="16" t="s">
        <v>8</v>
      </c>
      <c r="H150" s="16" t="s">
        <v>9</v>
      </c>
      <c r="I150" s="17" t="s">
        <v>61</v>
      </c>
      <c r="J150" s="19" t="s">
        <v>11</v>
      </c>
      <c r="K150" s="17" t="s">
        <v>12</v>
      </c>
      <c r="L150" s="17" t="s">
        <v>13</v>
      </c>
      <c r="M150" s="17" t="s">
        <v>14</v>
      </c>
      <c r="N150" s="17" t="s">
        <v>15</v>
      </c>
      <c r="O150" s="48" t="s">
        <v>16</v>
      </c>
      <c r="P150" s="17" t="s">
        <v>17</v>
      </c>
      <c r="Q150" s="20" t="s">
        <v>18</v>
      </c>
      <c r="R150" s="17" t="s">
        <v>19</v>
      </c>
      <c r="S150" s="16" t="s">
        <v>20</v>
      </c>
      <c r="T150" s="21" t="s">
        <v>60</v>
      </c>
      <c r="U150" s="21" t="s">
        <v>59</v>
      </c>
      <c r="V150" s="69" t="s">
        <v>36</v>
      </c>
      <c r="W150" s="95">
        <f>+W98</f>
        <v>0</v>
      </c>
      <c r="X150" s="36"/>
      <c r="Y150" s="36"/>
    </row>
    <row r="151" spans="2:27" s="46" customFormat="1" x14ac:dyDescent="0.25">
      <c r="B151" s="42" t="s">
        <v>118</v>
      </c>
      <c r="C151" s="83" t="s">
        <v>181</v>
      </c>
      <c r="D151" s="83" t="s">
        <v>174</v>
      </c>
      <c r="E151" s="84">
        <v>35977</v>
      </c>
      <c r="F151" s="84">
        <v>38657</v>
      </c>
      <c r="G151" s="42" t="s">
        <v>188</v>
      </c>
      <c r="H151" s="42" t="s">
        <v>182</v>
      </c>
      <c r="I151" s="83" t="s">
        <v>183</v>
      </c>
      <c r="J151" s="66">
        <v>0.30330000000000001</v>
      </c>
      <c r="K151" s="85">
        <v>0</v>
      </c>
      <c r="L151" s="85">
        <v>2.2000000000000001E-3</v>
      </c>
      <c r="M151" s="85">
        <v>0</v>
      </c>
      <c r="N151" s="85">
        <v>0</v>
      </c>
      <c r="O151" s="86">
        <v>0</v>
      </c>
      <c r="P151" s="85">
        <f t="shared" ref="P151:P157" si="18">SUM(J151:N151)</f>
        <v>0.30549999999999999</v>
      </c>
      <c r="Q151" s="87" t="s">
        <v>185</v>
      </c>
      <c r="R151" s="83">
        <v>16</v>
      </c>
      <c r="S151" s="42"/>
      <c r="T151" s="88">
        <f t="shared" ref="T151:T157" si="19">J151*J$1*R151</f>
        <v>150.43680000000001</v>
      </c>
      <c r="U151" s="88"/>
      <c r="V151" s="82">
        <v>143324</v>
      </c>
      <c r="W151" s="42"/>
      <c r="X151" s="89"/>
      <c r="Y151" s="89"/>
    </row>
    <row r="152" spans="2:27" s="46" customFormat="1" x14ac:dyDescent="0.25">
      <c r="B152" s="42" t="s">
        <v>118</v>
      </c>
      <c r="C152" s="83" t="s">
        <v>181</v>
      </c>
      <c r="D152" s="83" t="s">
        <v>174</v>
      </c>
      <c r="E152" s="84">
        <v>35977</v>
      </c>
      <c r="F152" s="84">
        <v>38657</v>
      </c>
      <c r="G152" s="42" t="s">
        <v>189</v>
      </c>
      <c r="H152" s="42" t="s">
        <v>182</v>
      </c>
      <c r="I152" s="83" t="s">
        <v>183</v>
      </c>
      <c r="J152" s="66">
        <v>0.30330000000000001</v>
      </c>
      <c r="K152" s="85">
        <v>0</v>
      </c>
      <c r="L152" s="85">
        <v>2.2000000000000001E-3</v>
      </c>
      <c r="M152" s="85">
        <v>0</v>
      </c>
      <c r="N152" s="85">
        <v>0</v>
      </c>
      <c r="O152" s="86">
        <v>0</v>
      </c>
      <c r="P152" s="85">
        <f t="shared" si="18"/>
        <v>0.30549999999999999</v>
      </c>
      <c r="Q152" s="87" t="s">
        <v>185</v>
      </c>
      <c r="R152" s="83">
        <v>17</v>
      </c>
      <c r="S152" s="42"/>
      <c r="T152" s="88">
        <f t="shared" si="19"/>
        <v>159.8391</v>
      </c>
      <c r="U152" s="88"/>
      <c r="V152" s="82">
        <v>143324</v>
      </c>
      <c r="W152" s="42"/>
      <c r="X152" s="89"/>
      <c r="Y152" s="89"/>
    </row>
    <row r="153" spans="2:27" s="46" customFormat="1" x14ac:dyDescent="0.25">
      <c r="B153" s="42" t="s">
        <v>118</v>
      </c>
      <c r="C153" s="83" t="s">
        <v>181</v>
      </c>
      <c r="D153" s="83" t="s">
        <v>174</v>
      </c>
      <c r="E153" s="84">
        <v>36161</v>
      </c>
      <c r="F153" s="84">
        <v>38657</v>
      </c>
      <c r="G153" s="42" t="s">
        <v>188</v>
      </c>
      <c r="H153" s="42" t="s">
        <v>182</v>
      </c>
      <c r="I153" s="83" t="s">
        <v>184</v>
      </c>
      <c r="J153" s="66">
        <v>0.30330000000000001</v>
      </c>
      <c r="K153" s="85">
        <v>0</v>
      </c>
      <c r="L153" s="85">
        <v>2.2000000000000001E-3</v>
      </c>
      <c r="M153" s="85">
        <v>0</v>
      </c>
      <c r="N153" s="85">
        <v>0</v>
      </c>
      <c r="O153" s="86">
        <v>0</v>
      </c>
      <c r="P153" s="85">
        <f t="shared" si="18"/>
        <v>0.30549999999999999</v>
      </c>
      <c r="Q153" s="87" t="s">
        <v>186</v>
      </c>
      <c r="R153" s="83">
        <v>19</v>
      </c>
      <c r="S153" s="42"/>
      <c r="T153" s="88">
        <f t="shared" si="19"/>
        <v>178.6437</v>
      </c>
      <c r="U153" s="88"/>
      <c r="V153" s="82">
        <v>143326</v>
      </c>
      <c r="W153" s="42"/>
      <c r="X153" s="89"/>
      <c r="Y153" s="89"/>
    </row>
    <row r="154" spans="2:27" s="46" customFormat="1" x14ac:dyDescent="0.25">
      <c r="B154" s="42" t="s">
        <v>118</v>
      </c>
      <c r="C154" s="83" t="s">
        <v>181</v>
      </c>
      <c r="D154" s="83" t="s">
        <v>174</v>
      </c>
      <c r="E154" s="84">
        <v>36161</v>
      </c>
      <c r="F154" s="84">
        <v>38657</v>
      </c>
      <c r="G154" s="42" t="s">
        <v>189</v>
      </c>
      <c r="H154" s="42" t="s">
        <v>182</v>
      </c>
      <c r="I154" s="83" t="s">
        <v>184</v>
      </c>
      <c r="J154" s="66">
        <v>0.30330000000000001</v>
      </c>
      <c r="K154" s="85">
        <v>0</v>
      </c>
      <c r="L154" s="85">
        <v>2.2000000000000001E-3</v>
      </c>
      <c r="M154" s="85">
        <v>0</v>
      </c>
      <c r="N154" s="85">
        <v>0</v>
      </c>
      <c r="O154" s="86">
        <v>0</v>
      </c>
      <c r="P154" s="85">
        <f t="shared" si="18"/>
        <v>0.30549999999999999</v>
      </c>
      <c r="Q154" s="87" t="s">
        <v>186</v>
      </c>
      <c r="R154" s="83">
        <v>17</v>
      </c>
      <c r="S154" s="42"/>
      <c r="T154" s="88">
        <f t="shared" si="19"/>
        <v>159.8391</v>
      </c>
      <c r="U154" s="88"/>
      <c r="V154" s="82">
        <v>143326</v>
      </c>
      <c r="W154" s="42"/>
      <c r="X154" s="89"/>
      <c r="Y154" s="89"/>
    </row>
    <row r="155" spans="2:27" s="46" customFormat="1" x14ac:dyDescent="0.25">
      <c r="B155" s="42" t="s">
        <v>118</v>
      </c>
      <c r="C155" s="83" t="s">
        <v>181</v>
      </c>
      <c r="D155" s="83" t="s">
        <v>174</v>
      </c>
      <c r="E155" s="84">
        <v>36220</v>
      </c>
      <c r="F155" s="84">
        <v>38656</v>
      </c>
      <c r="G155" s="42" t="s">
        <v>188</v>
      </c>
      <c r="H155" s="42" t="s">
        <v>182</v>
      </c>
      <c r="I155" s="83" t="s">
        <v>184</v>
      </c>
      <c r="J155" s="66">
        <v>0.30330000000000001</v>
      </c>
      <c r="K155" s="85">
        <v>0</v>
      </c>
      <c r="L155" s="85">
        <v>2.2000000000000001E-3</v>
      </c>
      <c r="M155" s="85">
        <v>0</v>
      </c>
      <c r="N155" s="85">
        <v>0</v>
      </c>
      <c r="O155" s="86">
        <v>0</v>
      </c>
      <c r="P155" s="85">
        <f t="shared" si="18"/>
        <v>0.30549999999999999</v>
      </c>
      <c r="Q155" s="87" t="s">
        <v>187</v>
      </c>
      <c r="R155" s="83">
        <v>25</v>
      </c>
      <c r="S155" s="42"/>
      <c r="T155" s="88">
        <f t="shared" si="19"/>
        <v>235.0575</v>
      </c>
      <c r="U155" s="88"/>
      <c r="V155" s="82">
        <v>143327</v>
      </c>
      <c r="W155" s="42"/>
      <c r="X155" s="89"/>
      <c r="Y155" s="89"/>
    </row>
    <row r="156" spans="2:27" s="46" customFormat="1" x14ac:dyDescent="0.25">
      <c r="B156" s="42" t="s">
        <v>118</v>
      </c>
      <c r="C156" s="83" t="s">
        <v>181</v>
      </c>
      <c r="D156" s="83" t="s">
        <v>174</v>
      </c>
      <c r="E156" s="84">
        <v>36220</v>
      </c>
      <c r="F156" s="84">
        <v>38656</v>
      </c>
      <c r="G156" s="42" t="s">
        <v>189</v>
      </c>
      <c r="H156" s="42" t="s">
        <v>182</v>
      </c>
      <c r="I156" s="83" t="s">
        <v>184</v>
      </c>
      <c r="J156" s="66">
        <v>0.30330000000000001</v>
      </c>
      <c r="K156" s="85">
        <v>0</v>
      </c>
      <c r="L156" s="85">
        <v>2.2000000000000001E-3</v>
      </c>
      <c r="M156" s="85">
        <v>0</v>
      </c>
      <c r="N156" s="85">
        <v>0</v>
      </c>
      <c r="O156" s="86">
        <v>0</v>
      </c>
      <c r="P156" s="85">
        <f t="shared" si="18"/>
        <v>0.30549999999999999</v>
      </c>
      <c r="Q156" s="87" t="s">
        <v>187</v>
      </c>
      <c r="R156" s="83">
        <v>21</v>
      </c>
      <c r="S156" s="42"/>
      <c r="T156" s="88">
        <f t="shared" si="19"/>
        <v>197.44830000000002</v>
      </c>
      <c r="U156" s="88"/>
      <c r="V156" s="82">
        <v>143327</v>
      </c>
      <c r="W156" s="42"/>
      <c r="X156" s="89"/>
      <c r="Y156" s="89"/>
    </row>
    <row r="157" spans="2:27" s="46" customFormat="1" x14ac:dyDescent="0.25">
      <c r="B157" s="42" t="s">
        <v>118</v>
      </c>
      <c r="C157" s="83" t="s">
        <v>181</v>
      </c>
      <c r="D157" s="83" t="s">
        <v>174</v>
      </c>
      <c r="E157" s="84">
        <v>36526</v>
      </c>
      <c r="F157" s="84">
        <v>36556</v>
      </c>
      <c r="G157" s="42" t="s">
        <v>189</v>
      </c>
      <c r="H157" s="42" t="s">
        <v>182</v>
      </c>
      <c r="I157" s="83" t="s">
        <v>184</v>
      </c>
      <c r="J157" s="66">
        <f>0.3033+0.0066</f>
        <v>0.30990000000000001</v>
      </c>
      <c r="K157" s="100">
        <v>2.7900000000000001E-2</v>
      </c>
      <c r="L157" s="100">
        <v>2.2000000000000001E-3</v>
      </c>
      <c r="M157" s="100">
        <v>7.1999999999999998E-3</v>
      </c>
      <c r="N157" s="100">
        <v>0</v>
      </c>
      <c r="O157" s="86">
        <v>0</v>
      </c>
      <c r="P157" s="85">
        <f t="shared" si="18"/>
        <v>0.34719999999999995</v>
      </c>
      <c r="Q157" s="87" t="s">
        <v>258</v>
      </c>
      <c r="R157" s="101">
        <v>1405</v>
      </c>
      <c r="S157" s="2"/>
      <c r="T157" s="88">
        <f t="shared" si="19"/>
        <v>13497.6945</v>
      </c>
      <c r="U157" s="102">
        <f>J157*$C$2*S157</f>
        <v>0</v>
      </c>
      <c r="V157" s="82">
        <v>145266</v>
      </c>
      <c r="W157" s="42"/>
      <c r="X157" s="89"/>
      <c r="Y157" s="89"/>
    </row>
    <row r="158" spans="2:27" x14ac:dyDescent="0.25">
      <c r="B158" s="1"/>
      <c r="C158" s="3"/>
      <c r="D158" s="3"/>
      <c r="E158" s="4" t="s">
        <v>3</v>
      </c>
      <c r="F158" s="4"/>
      <c r="G158" s="1"/>
      <c r="H158" s="1"/>
      <c r="I158" s="3"/>
      <c r="J158" s="8"/>
      <c r="K158" s="5"/>
      <c r="L158" s="23"/>
      <c r="M158" s="5"/>
      <c r="N158" s="5"/>
      <c r="O158" s="47"/>
      <c r="P158" s="5"/>
      <c r="Q158" s="61"/>
      <c r="R158" s="62">
        <f>SUM(R151:R157)</f>
        <v>1520</v>
      </c>
      <c r="S158" s="40"/>
      <c r="T158" s="39">
        <f>SUM(T151:T157)</f>
        <v>14578.958999999999</v>
      </c>
      <c r="U158" s="39"/>
      <c r="V158" s="73"/>
      <c r="W158" s="96"/>
      <c r="X158" s="35"/>
      <c r="Y158" s="35"/>
    </row>
    <row r="159" spans="2:27" x14ac:dyDescent="0.25">
      <c r="B159" s="16" t="s">
        <v>4</v>
      </c>
      <c r="C159" s="17" t="s">
        <v>5</v>
      </c>
      <c r="D159" s="17" t="s">
        <v>6</v>
      </c>
      <c r="E159" s="18" t="s">
        <v>7</v>
      </c>
      <c r="F159" s="18"/>
      <c r="G159" s="16" t="s">
        <v>8</v>
      </c>
      <c r="H159" s="16" t="s">
        <v>9</v>
      </c>
      <c r="I159" s="17" t="s">
        <v>61</v>
      </c>
      <c r="J159" s="19" t="s">
        <v>11</v>
      </c>
      <c r="K159" s="17" t="s">
        <v>12</v>
      </c>
      <c r="L159" s="17" t="s">
        <v>13</v>
      </c>
      <c r="M159" s="17" t="s">
        <v>14</v>
      </c>
      <c r="N159" s="17" t="s">
        <v>15</v>
      </c>
      <c r="O159" s="48" t="s">
        <v>16</v>
      </c>
      <c r="P159" s="17" t="s">
        <v>17</v>
      </c>
      <c r="Q159" s="20" t="s">
        <v>18</v>
      </c>
      <c r="R159" s="17" t="s">
        <v>19</v>
      </c>
      <c r="S159" s="16" t="s">
        <v>20</v>
      </c>
      <c r="T159" s="21" t="s">
        <v>60</v>
      </c>
      <c r="U159" s="21" t="s">
        <v>59</v>
      </c>
      <c r="V159" s="69" t="s">
        <v>36</v>
      </c>
      <c r="W159" s="95" t="e">
        <f>+#REF!</f>
        <v>#REF!</v>
      </c>
      <c r="X159" s="36"/>
      <c r="Y159" s="36"/>
    </row>
    <row r="160" spans="2:27" s="46" customFormat="1" x14ac:dyDescent="0.25">
      <c r="B160" s="42" t="s">
        <v>118</v>
      </c>
      <c r="C160" s="83" t="s">
        <v>1</v>
      </c>
      <c r="D160" s="83" t="s">
        <v>190</v>
      </c>
      <c r="E160" s="84">
        <v>36526</v>
      </c>
      <c r="F160" s="84">
        <v>36556</v>
      </c>
      <c r="G160" s="42" t="s">
        <v>35</v>
      </c>
      <c r="H160" s="42" t="s">
        <v>190</v>
      </c>
      <c r="I160" s="83" t="s">
        <v>191</v>
      </c>
      <c r="J160" s="66">
        <v>0</v>
      </c>
      <c r="K160" s="85">
        <v>0</v>
      </c>
      <c r="L160" s="85">
        <v>2.2000000000000001E-3</v>
      </c>
      <c r="M160" s="85">
        <v>0</v>
      </c>
      <c r="N160" s="85">
        <v>0</v>
      </c>
      <c r="O160" s="86">
        <v>0</v>
      </c>
      <c r="P160" s="85">
        <f>SUM(J160:N160)</f>
        <v>2.2000000000000001E-3</v>
      </c>
      <c r="Q160" s="98" t="s">
        <v>192</v>
      </c>
      <c r="R160" s="83">
        <v>65</v>
      </c>
      <c r="S160" s="42" t="s">
        <v>193</v>
      </c>
      <c r="T160" s="88">
        <f t="shared" ref="T160:T183" si="20">J160*J$1*R160</f>
        <v>0</v>
      </c>
      <c r="U160" s="88"/>
      <c r="V160" s="99" t="s">
        <v>234</v>
      </c>
      <c r="W160" s="42"/>
      <c r="X160" s="89"/>
      <c r="Y160" s="89"/>
    </row>
    <row r="161" spans="2:25" s="46" customFormat="1" x14ac:dyDescent="0.25">
      <c r="B161" s="42" t="s">
        <v>118</v>
      </c>
      <c r="C161" s="83" t="s">
        <v>1</v>
      </c>
      <c r="D161" s="83" t="s">
        <v>190</v>
      </c>
      <c r="E161" s="84">
        <v>36526</v>
      </c>
      <c r="F161" s="84">
        <v>36556</v>
      </c>
      <c r="G161" s="42" t="s">
        <v>194</v>
      </c>
      <c r="H161" s="42" t="s">
        <v>190</v>
      </c>
      <c r="I161" s="83" t="s">
        <v>191</v>
      </c>
      <c r="J161" s="66">
        <v>0</v>
      </c>
      <c r="K161" s="85">
        <v>0</v>
      </c>
      <c r="L161" s="85">
        <v>2.2000000000000001E-3</v>
      </c>
      <c r="M161" s="85">
        <v>0</v>
      </c>
      <c r="N161" s="85">
        <v>0</v>
      </c>
      <c r="O161" s="86">
        <v>0</v>
      </c>
      <c r="P161" s="85">
        <f t="shared" ref="P161:P166" si="21">SUM(J161:N161)</f>
        <v>2.2000000000000001E-3</v>
      </c>
      <c r="Q161" s="98" t="s">
        <v>192</v>
      </c>
      <c r="R161" s="83">
        <v>95</v>
      </c>
      <c r="S161" s="42" t="s">
        <v>193</v>
      </c>
      <c r="T161" s="88">
        <f t="shared" si="20"/>
        <v>0</v>
      </c>
      <c r="U161" s="88"/>
      <c r="V161" s="99" t="s">
        <v>234</v>
      </c>
      <c r="W161" s="42"/>
      <c r="X161" s="89"/>
      <c r="Y161" s="89"/>
    </row>
    <row r="162" spans="2:25" s="46" customFormat="1" x14ac:dyDescent="0.25">
      <c r="B162" s="42" t="s">
        <v>118</v>
      </c>
      <c r="C162" s="83" t="s">
        <v>1</v>
      </c>
      <c r="D162" s="83" t="s">
        <v>190</v>
      </c>
      <c r="E162" s="84">
        <v>36526</v>
      </c>
      <c r="F162" s="84">
        <v>36556</v>
      </c>
      <c r="G162" s="42" t="s">
        <v>195</v>
      </c>
      <c r="H162" s="42" t="s">
        <v>190</v>
      </c>
      <c r="I162" s="83" t="s">
        <v>191</v>
      </c>
      <c r="J162" s="66">
        <v>0</v>
      </c>
      <c r="K162" s="85">
        <v>0</v>
      </c>
      <c r="L162" s="85">
        <v>2.2000000000000001E-3</v>
      </c>
      <c r="M162" s="85">
        <v>0</v>
      </c>
      <c r="N162" s="85">
        <v>0</v>
      </c>
      <c r="O162" s="86">
        <v>0</v>
      </c>
      <c r="P162" s="85">
        <f t="shared" si="21"/>
        <v>2.2000000000000001E-3</v>
      </c>
      <c r="Q162" s="98" t="s">
        <v>192</v>
      </c>
      <c r="R162" s="83">
        <f>73+149</f>
        <v>222</v>
      </c>
      <c r="S162" s="42" t="s">
        <v>193</v>
      </c>
      <c r="T162" s="88">
        <f t="shared" si="20"/>
        <v>0</v>
      </c>
      <c r="U162" s="88"/>
      <c r="V162" s="99" t="s">
        <v>234</v>
      </c>
      <c r="W162" s="42"/>
      <c r="X162" s="89"/>
      <c r="Y162" s="89"/>
    </row>
    <row r="163" spans="2:25" s="46" customFormat="1" x14ac:dyDescent="0.25">
      <c r="B163" s="42" t="s">
        <v>118</v>
      </c>
      <c r="C163" s="83" t="s">
        <v>1</v>
      </c>
      <c r="D163" s="83" t="s">
        <v>164</v>
      </c>
      <c r="E163" s="84">
        <v>36526</v>
      </c>
      <c r="F163" s="84">
        <v>36556</v>
      </c>
      <c r="G163" s="42" t="s">
        <v>35</v>
      </c>
      <c r="H163" s="91" t="s">
        <v>196</v>
      </c>
      <c r="I163" s="83" t="s">
        <v>191</v>
      </c>
      <c r="J163" s="66">
        <f t="shared" ref="J163:J171" si="22">7.5958/J$1</f>
        <v>0.2450258064516129</v>
      </c>
      <c r="K163" s="85">
        <v>0</v>
      </c>
      <c r="L163" s="85">
        <v>2.2000000000000001E-3</v>
      </c>
      <c r="M163" s="85">
        <v>0</v>
      </c>
      <c r="N163" s="85">
        <v>0</v>
      </c>
      <c r="O163" s="86">
        <v>0</v>
      </c>
      <c r="P163" s="85">
        <f>SUM(J163:N163)</f>
        <v>0.24722580645161291</v>
      </c>
      <c r="Q163" s="98" t="s">
        <v>205</v>
      </c>
      <c r="R163" s="83">
        <v>1174</v>
      </c>
      <c r="S163" s="42" t="s">
        <v>206</v>
      </c>
      <c r="T163" s="141">
        <f t="shared" si="20"/>
        <v>8917.4691999999995</v>
      </c>
      <c r="U163" s="88"/>
      <c r="V163" s="99" t="s">
        <v>235</v>
      </c>
      <c r="W163" s="42"/>
      <c r="X163" s="89"/>
      <c r="Y163" s="89"/>
    </row>
    <row r="164" spans="2:25" s="46" customFormat="1" x14ac:dyDescent="0.25">
      <c r="B164" s="42" t="s">
        <v>118</v>
      </c>
      <c r="C164" s="83" t="s">
        <v>1</v>
      </c>
      <c r="D164" s="83" t="s">
        <v>164</v>
      </c>
      <c r="E164" s="84">
        <v>36526</v>
      </c>
      <c r="F164" s="84">
        <v>36556</v>
      </c>
      <c r="G164" s="42" t="s">
        <v>194</v>
      </c>
      <c r="H164" s="91" t="s">
        <v>196</v>
      </c>
      <c r="I164" s="83" t="s">
        <v>191</v>
      </c>
      <c r="J164" s="66">
        <f t="shared" si="22"/>
        <v>0.2450258064516129</v>
      </c>
      <c r="K164" s="85">
        <v>0</v>
      </c>
      <c r="L164" s="85">
        <v>2.2000000000000001E-3</v>
      </c>
      <c r="M164" s="85">
        <v>0</v>
      </c>
      <c r="N164" s="85">
        <v>0</v>
      </c>
      <c r="O164" s="86">
        <v>0</v>
      </c>
      <c r="P164" s="85">
        <f>SUM(J164:N164)</f>
        <v>0.24722580645161291</v>
      </c>
      <c r="Q164" s="98" t="s">
        <v>205</v>
      </c>
      <c r="R164" s="83">
        <v>1725</v>
      </c>
      <c r="S164" s="42" t="s">
        <v>206</v>
      </c>
      <c r="T164" s="141">
        <f t="shared" si="20"/>
        <v>13102.754999999999</v>
      </c>
      <c r="U164" s="88"/>
      <c r="V164" s="99" t="s">
        <v>235</v>
      </c>
      <c r="W164" s="42"/>
      <c r="X164" s="89"/>
      <c r="Y164" s="89"/>
    </row>
    <row r="165" spans="2:25" s="46" customFormat="1" x14ac:dyDescent="0.25">
      <c r="B165" s="42" t="s">
        <v>118</v>
      </c>
      <c r="C165" s="83" t="s">
        <v>1</v>
      </c>
      <c r="D165" s="83" t="s">
        <v>164</v>
      </c>
      <c r="E165" s="84">
        <v>36526</v>
      </c>
      <c r="F165" s="84">
        <v>36556</v>
      </c>
      <c r="G165" s="42" t="s">
        <v>195</v>
      </c>
      <c r="H165" s="91" t="s">
        <v>196</v>
      </c>
      <c r="I165" s="83" t="s">
        <v>191</v>
      </c>
      <c r="J165" s="66">
        <f t="shared" si="22"/>
        <v>0.2450258064516129</v>
      </c>
      <c r="K165" s="85">
        <v>0</v>
      </c>
      <c r="L165" s="85">
        <v>2.2000000000000001E-3</v>
      </c>
      <c r="M165" s="85">
        <v>0</v>
      </c>
      <c r="N165" s="85">
        <v>0</v>
      </c>
      <c r="O165" s="86">
        <v>0</v>
      </c>
      <c r="P165" s="85">
        <f>SUM(J165:N165)</f>
        <v>0.24722580645161291</v>
      </c>
      <c r="Q165" s="98" t="s">
        <v>205</v>
      </c>
      <c r="R165" s="83">
        <f>1312+2693</f>
        <v>4005</v>
      </c>
      <c r="S165" s="42" t="s">
        <v>206</v>
      </c>
      <c r="T165" s="141">
        <f t="shared" si="20"/>
        <v>30421.179</v>
      </c>
      <c r="U165" s="88"/>
      <c r="V165" s="99" t="s">
        <v>235</v>
      </c>
      <c r="W165" s="42"/>
      <c r="X165" s="89"/>
      <c r="Y165" s="89"/>
    </row>
    <row r="166" spans="2:25" s="46" customFormat="1" x14ac:dyDescent="0.25">
      <c r="B166" s="42" t="s">
        <v>118</v>
      </c>
      <c r="C166" s="83" t="s">
        <v>1</v>
      </c>
      <c r="D166" s="83" t="s">
        <v>164</v>
      </c>
      <c r="E166" s="84">
        <v>36526</v>
      </c>
      <c r="F166" s="84">
        <v>36556</v>
      </c>
      <c r="G166" s="42" t="s">
        <v>35</v>
      </c>
      <c r="H166" s="91" t="s">
        <v>196</v>
      </c>
      <c r="I166" s="83" t="s">
        <v>191</v>
      </c>
      <c r="J166" s="66">
        <f t="shared" si="22"/>
        <v>0.2450258064516129</v>
      </c>
      <c r="K166" s="85">
        <v>0</v>
      </c>
      <c r="L166" s="85">
        <v>2.2000000000000001E-3</v>
      </c>
      <c r="M166" s="85">
        <v>0</v>
      </c>
      <c r="N166" s="85">
        <v>0</v>
      </c>
      <c r="O166" s="86">
        <v>0</v>
      </c>
      <c r="P166" s="85">
        <f t="shared" si="21"/>
        <v>0.24722580645161291</v>
      </c>
      <c r="Q166" s="98" t="s">
        <v>213</v>
      </c>
      <c r="R166" s="83">
        <v>95</v>
      </c>
      <c r="S166" s="42" t="s">
        <v>197</v>
      </c>
      <c r="T166" s="141">
        <f t="shared" si="20"/>
        <v>721.601</v>
      </c>
      <c r="U166" s="88"/>
      <c r="V166" s="99" t="s">
        <v>236</v>
      </c>
      <c r="W166" s="42"/>
      <c r="X166" s="89"/>
      <c r="Y166" s="89"/>
    </row>
    <row r="167" spans="2:25" s="46" customFormat="1" x14ac:dyDescent="0.25">
      <c r="B167" s="42" t="s">
        <v>118</v>
      </c>
      <c r="C167" s="83" t="s">
        <v>1</v>
      </c>
      <c r="D167" s="83" t="s">
        <v>164</v>
      </c>
      <c r="E167" s="84">
        <v>36526</v>
      </c>
      <c r="F167" s="84">
        <v>36556</v>
      </c>
      <c r="G167" s="42" t="s">
        <v>194</v>
      </c>
      <c r="H167" s="91" t="s">
        <v>196</v>
      </c>
      <c r="I167" s="83" t="s">
        <v>191</v>
      </c>
      <c r="J167" s="66">
        <f t="shared" si="22"/>
        <v>0.2450258064516129</v>
      </c>
      <c r="K167" s="85">
        <v>0</v>
      </c>
      <c r="L167" s="85">
        <v>2.2000000000000001E-3</v>
      </c>
      <c r="M167" s="85">
        <v>0</v>
      </c>
      <c r="N167" s="85">
        <v>0</v>
      </c>
      <c r="O167" s="86">
        <v>0</v>
      </c>
      <c r="P167" s="85">
        <f t="shared" ref="P167:P183" si="23">SUM(J167:N167)</f>
        <v>0.24722580645161291</v>
      </c>
      <c r="Q167" s="98" t="s">
        <v>213</v>
      </c>
      <c r="R167" s="83">
        <v>140</v>
      </c>
      <c r="S167" s="42" t="s">
        <v>197</v>
      </c>
      <c r="T167" s="141">
        <f t="shared" si="20"/>
        <v>1063.412</v>
      </c>
      <c r="U167" s="88"/>
      <c r="V167" s="99" t="s">
        <v>236</v>
      </c>
      <c r="W167" s="42"/>
      <c r="X167" s="89"/>
      <c r="Y167" s="89"/>
    </row>
    <row r="168" spans="2:25" s="46" customFormat="1" x14ac:dyDescent="0.25">
      <c r="B168" s="42" t="s">
        <v>118</v>
      </c>
      <c r="C168" s="83" t="s">
        <v>1</v>
      </c>
      <c r="D168" s="83" t="s">
        <v>164</v>
      </c>
      <c r="E168" s="84">
        <v>36526</v>
      </c>
      <c r="F168" s="84">
        <v>36556</v>
      </c>
      <c r="G168" s="42" t="s">
        <v>195</v>
      </c>
      <c r="H168" s="91" t="s">
        <v>196</v>
      </c>
      <c r="I168" s="83" t="s">
        <v>191</v>
      </c>
      <c r="J168" s="66">
        <f t="shared" si="22"/>
        <v>0.2450258064516129</v>
      </c>
      <c r="K168" s="85">
        <v>0</v>
      </c>
      <c r="L168" s="85">
        <v>2.2000000000000001E-3</v>
      </c>
      <c r="M168" s="85">
        <v>0</v>
      </c>
      <c r="N168" s="85">
        <v>0</v>
      </c>
      <c r="O168" s="86">
        <v>0</v>
      </c>
      <c r="P168" s="85">
        <f t="shared" si="23"/>
        <v>0.24722580645161291</v>
      </c>
      <c r="Q168" s="98" t="s">
        <v>213</v>
      </c>
      <c r="R168" s="83">
        <f>106+218</f>
        <v>324</v>
      </c>
      <c r="S168" s="42" t="s">
        <v>197</v>
      </c>
      <c r="T168" s="141">
        <f t="shared" si="20"/>
        <v>2461.0391999999997</v>
      </c>
      <c r="U168" s="88"/>
      <c r="V168" s="99" t="s">
        <v>236</v>
      </c>
      <c r="W168" s="42"/>
      <c r="X168" s="89"/>
      <c r="Y168" s="89"/>
    </row>
    <row r="169" spans="2:25" s="46" customFormat="1" x14ac:dyDescent="0.25">
      <c r="B169" s="42" t="s">
        <v>118</v>
      </c>
      <c r="C169" s="83" t="s">
        <v>1</v>
      </c>
      <c r="D169" s="83" t="s">
        <v>164</v>
      </c>
      <c r="E169" s="84">
        <v>36526</v>
      </c>
      <c r="F169" s="84">
        <v>36556</v>
      </c>
      <c r="G169" s="42" t="s">
        <v>35</v>
      </c>
      <c r="H169" s="91" t="s">
        <v>196</v>
      </c>
      <c r="I169" s="83" t="s">
        <v>191</v>
      </c>
      <c r="J169" s="66">
        <f t="shared" si="22"/>
        <v>0.2450258064516129</v>
      </c>
      <c r="K169" s="85">
        <v>0</v>
      </c>
      <c r="L169" s="85">
        <v>2.2000000000000001E-3</v>
      </c>
      <c r="M169" s="85">
        <v>0</v>
      </c>
      <c r="N169" s="85">
        <v>0</v>
      </c>
      <c r="O169" s="86">
        <v>0</v>
      </c>
      <c r="P169" s="85">
        <f t="shared" si="23"/>
        <v>0.24722580645161291</v>
      </c>
      <c r="Q169" s="98" t="s">
        <v>198</v>
      </c>
      <c r="R169" s="83">
        <v>70</v>
      </c>
      <c r="S169" s="42" t="s">
        <v>199</v>
      </c>
      <c r="T169" s="141">
        <f t="shared" si="20"/>
        <v>531.70600000000002</v>
      </c>
      <c r="U169" s="88"/>
      <c r="V169" s="99" t="s">
        <v>237</v>
      </c>
      <c r="W169" s="42"/>
      <c r="X169" s="89"/>
      <c r="Y169" s="89"/>
    </row>
    <row r="170" spans="2:25" s="46" customFormat="1" x14ac:dyDescent="0.25">
      <c r="B170" s="42" t="s">
        <v>118</v>
      </c>
      <c r="C170" s="83" t="s">
        <v>1</v>
      </c>
      <c r="D170" s="83" t="s">
        <v>164</v>
      </c>
      <c r="E170" s="84">
        <v>36526</v>
      </c>
      <c r="F170" s="84">
        <v>36556</v>
      </c>
      <c r="G170" s="42" t="s">
        <v>194</v>
      </c>
      <c r="H170" s="91" t="s">
        <v>196</v>
      </c>
      <c r="I170" s="83" t="s">
        <v>191</v>
      </c>
      <c r="J170" s="66">
        <f t="shared" si="22"/>
        <v>0.2450258064516129</v>
      </c>
      <c r="K170" s="85">
        <v>0</v>
      </c>
      <c r="L170" s="85">
        <v>2.2000000000000001E-3</v>
      </c>
      <c r="M170" s="85">
        <v>0</v>
      </c>
      <c r="N170" s="85">
        <v>0</v>
      </c>
      <c r="O170" s="86">
        <v>0</v>
      </c>
      <c r="P170" s="85">
        <f t="shared" si="23"/>
        <v>0.24722580645161291</v>
      </c>
      <c r="Q170" s="98" t="s">
        <v>198</v>
      </c>
      <c r="R170" s="83">
        <v>103</v>
      </c>
      <c r="S170" s="42" t="s">
        <v>199</v>
      </c>
      <c r="T170" s="141">
        <f t="shared" si="20"/>
        <v>782.36739999999998</v>
      </c>
      <c r="U170" s="88"/>
      <c r="V170" s="99" t="s">
        <v>237</v>
      </c>
      <c r="W170" s="42"/>
      <c r="X170" s="89"/>
      <c r="Y170" s="89"/>
    </row>
    <row r="171" spans="2:25" s="46" customFormat="1" x14ac:dyDescent="0.25">
      <c r="B171" s="42" t="s">
        <v>118</v>
      </c>
      <c r="C171" s="83" t="s">
        <v>1</v>
      </c>
      <c r="D171" s="83" t="s">
        <v>164</v>
      </c>
      <c r="E171" s="84">
        <v>36526</v>
      </c>
      <c r="F171" s="84">
        <v>36556</v>
      </c>
      <c r="G171" s="42" t="s">
        <v>195</v>
      </c>
      <c r="H171" s="91" t="s">
        <v>196</v>
      </c>
      <c r="I171" s="83" t="s">
        <v>191</v>
      </c>
      <c r="J171" s="66">
        <f t="shared" si="22"/>
        <v>0.2450258064516129</v>
      </c>
      <c r="K171" s="85">
        <v>0</v>
      </c>
      <c r="L171" s="85">
        <v>2.2000000000000001E-3</v>
      </c>
      <c r="M171" s="85">
        <v>0</v>
      </c>
      <c r="N171" s="85">
        <v>0</v>
      </c>
      <c r="O171" s="86">
        <v>0</v>
      </c>
      <c r="P171" s="85">
        <f t="shared" si="23"/>
        <v>0.24722580645161291</v>
      </c>
      <c r="Q171" s="98" t="s">
        <v>198</v>
      </c>
      <c r="R171" s="83">
        <f>78+160</f>
        <v>238</v>
      </c>
      <c r="S171" s="42" t="s">
        <v>199</v>
      </c>
      <c r="T171" s="141">
        <f t="shared" si="20"/>
        <v>1807.8003999999999</v>
      </c>
      <c r="U171" s="88"/>
      <c r="V171" s="99" t="s">
        <v>237</v>
      </c>
      <c r="W171" s="42"/>
      <c r="X171" s="89"/>
      <c r="Y171" s="89"/>
    </row>
    <row r="172" spans="2:25" s="46" customFormat="1" x14ac:dyDescent="0.25">
      <c r="B172" s="42" t="s">
        <v>118</v>
      </c>
      <c r="C172" s="83" t="s">
        <v>1</v>
      </c>
      <c r="D172" s="83" t="s">
        <v>164</v>
      </c>
      <c r="E172" s="84">
        <v>36526</v>
      </c>
      <c r="F172" s="84">
        <v>36556</v>
      </c>
      <c r="G172" s="42" t="s">
        <v>200</v>
      </c>
      <c r="H172" s="91" t="s">
        <v>196</v>
      </c>
      <c r="I172" s="83" t="s">
        <v>203</v>
      </c>
      <c r="J172" s="66">
        <f>15.0624/J$1</f>
        <v>0.48588387096774194</v>
      </c>
      <c r="K172" s="85">
        <v>1.18E-2</v>
      </c>
      <c r="L172" s="85">
        <v>2.2000000000000001E-3</v>
      </c>
      <c r="M172" s="85">
        <v>0</v>
      </c>
      <c r="N172" s="85">
        <v>0</v>
      </c>
      <c r="O172" s="86">
        <v>0</v>
      </c>
      <c r="P172" s="85">
        <f t="shared" si="23"/>
        <v>0.49988387096774189</v>
      </c>
      <c r="Q172" s="98" t="s">
        <v>201</v>
      </c>
      <c r="R172" s="83">
        <v>993</v>
      </c>
      <c r="S172" s="42" t="s">
        <v>238</v>
      </c>
      <c r="T172" s="141">
        <f t="shared" si="20"/>
        <v>14956.9632</v>
      </c>
      <c r="U172" s="88"/>
      <c r="V172" s="99" t="s">
        <v>239</v>
      </c>
      <c r="W172" s="42"/>
      <c r="X172" s="89"/>
      <c r="Y172" s="89"/>
    </row>
    <row r="173" spans="2:25" s="46" customFormat="1" x14ac:dyDescent="0.25">
      <c r="B173" s="42" t="s">
        <v>118</v>
      </c>
      <c r="C173" s="83" t="s">
        <v>1</v>
      </c>
      <c r="D173" s="83" t="s">
        <v>164</v>
      </c>
      <c r="E173" s="84">
        <v>36526</v>
      </c>
      <c r="F173" s="84">
        <v>36556</v>
      </c>
      <c r="G173" s="42" t="s">
        <v>200</v>
      </c>
      <c r="H173" s="91" t="s">
        <v>196</v>
      </c>
      <c r="I173" s="83" t="s">
        <v>202</v>
      </c>
      <c r="J173" s="66">
        <f>14.174/J$1</f>
        <v>0.45722580645161287</v>
      </c>
      <c r="K173" s="85">
        <v>0</v>
      </c>
      <c r="L173" s="85">
        <v>2.2000000000000001E-3</v>
      </c>
      <c r="M173" s="85">
        <v>0</v>
      </c>
      <c r="N173" s="85">
        <v>0</v>
      </c>
      <c r="O173" s="86">
        <v>0</v>
      </c>
      <c r="P173" s="85">
        <f>SUM(J173:N173)</f>
        <v>0.45942580645161285</v>
      </c>
      <c r="Q173" s="98" t="s">
        <v>204</v>
      </c>
      <c r="R173" s="83">
        <v>5438</v>
      </c>
      <c r="S173" s="42" t="s">
        <v>233</v>
      </c>
      <c r="T173" s="141">
        <f t="shared" si="20"/>
        <v>77078.212</v>
      </c>
      <c r="U173" s="88"/>
      <c r="V173" s="99" t="s">
        <v>240</v>
      </c>
      <c r="W173" s="42"/>
      <c r="X173" s="89"/>
      <c r="Y173" s="89"/>
    </row>
    <row r="174" spans="2:25" s="46" customFormat="1" x14ac:dyDescent="0.25">
      <c r="B174" s="42" t="s">
        <v>118</v>
      </c>
      <c r="C174" s="83" t="s">
        <v>1</v>
      </c>
      <c r="D174" s="83" t="s">
        <v>164</v>
      </c>
      <c r="E174" s="84">
        <v>36526</v>
      </c>
      <c r="F174" s="84">
        <v>36556</v>
      </c>
      <c r="G174" s="42" t="s">
        <v>226</v>
      </c>
      <c r="H174" s="91"/>
      <c r="I174" s="83" t="s">
        <v>224</v>
      </c>
      <c r="J174" s="66">
        <v>7.9000000000000008E-3</v>
      </c>
      <c r="K174" s="85">
        <v>0</v>
      </c>
      <c r="L174" s="85">
        <v>2.2000000000000001E-3</v>
      </c>
      <c r="M174" s="85">
        <v>0</v>
      </c>
      <c r="N174" s="85">
        <v>0</v>
      </c>
      <c r="O174" s="86">
        <v>0</v>
      </c>
      <c r="P174" s="85">
        <f>SUM(J174:N174)</f>
        <v>1.0100000000000001E-2</v>
      </c>
      <c r="Q174" s="98" t="s">
        <v>225</v>
      </c>
      <c r="R174" s="83">
        <v>397258</v>
      </c>
      <c r="S174" s="42" t="s">
        <v>231</v>
      </c>
      <c r="T174" s="142">
        <f>+R174*J174</f>
        <v>3138.3382000000001</v>
      </c>
      <c r="U174" s="88"/>
      <c r="V174" s="99" t="s">
        <v>241</v>
      </c>
      <c r="W174" s="42"/>
      <c r="X174" s="89"/>
      <c r="Y174" s="89"/>
    </row>
    <row r="175" spans="2:25" s="46" customFormat="1" x14ac:dyDescent="0.25">
      <c r="B175" s="42" t="s">
        <v>118</v>
      </c>
      <c r="C175" s="83" t="s">
        <v>1</v>
      </c>
      <c r="D175" s="83" t="s">
        <v>164</v>
      </c>
      <c r="E175" s="84">
        <v>36526</v>
      </c>
      <c r="F175" s="84">
        <v>36556</v>
      </c>
      <c r="G175" s="42" t="s">
        <v>223</v>
      </c>
      <c r="H175" s="91"/>
      <c r="I175" s="83" t="s">
        <v>224</v>
      </c>
      <c r="J175" s="66">
        <v>0.6673</v>
      </c>
      <c r="K175" s="85">
        <v>0</v>
      </c>
      <c r="L175" s="85">
        <v>2.2000000000000001E-3</v>
      </c>
      <c r="M175" s="85">
        <v>0</v>
      </c>
      <c r="N175" s="85">
        <v>0</v>
      </c>
      <c r="O175" s="86">
        <v>0</v>
      </c>
      <c r="P175" s="85">
        <f>SUM(J175:N175)</f>
        <v>0.66949999999999998</v>
      </c>
      <c r="Q175" s="98" t="s">
        <v>225</v>
      </c>
      <c r="R175" s="83">
        <v>4674</v>
      </c>
      <c r="S175" s="42" t="s">
        <v>231</v>
      </c>
      <c r="T175" s="142">
        <f>+R175*J175</f>
        <v>3118.9602</v>
      </c>
      <c r="U175" s="88"/>
      <c r="V175" s="99" t="s">
        <v>241</v>
      </c>
      <c r="W175" s="42"/>
      <c r="X175" s="89"/>
      <c r="Y175" s="89"/>
    </row>
    <row r="176" spans="2:25" s="46" customFormat="1" x14ac:dyDescent="0.25">
      <c r="B176" s="42" t="s">
        <v>118</v>
      </c>
      <c r="C176" s="83" t="s">
        <v>1</v>
      </c>
      <c r="D176" s="83" t="s">
        <v>164</v>
      </c>
      <c r="E176" s="84">
        <v>36526</v>
      </c>
      <c r="F176" s="84">
        <v>36556</v>
      </c>
      <c r="G176" s="42" t="s">
        <v>227</v>
      </c>
      <c r="H176" s="91"/>
      <c r="I176" s="83" t="s">
        <v>229</v>
      </c>
      <c r="J176" s="66">
        <v>4.8099999999999997E-2</v>
      </c>
      <c r="K176" s="85">
        <v>0</v>
      </c>
      <c r="L176" s="85">
        <v>2.2000000000000001E-3</v>
      </c>
      <c r="M176" s="85">
        <v>0</v>
      </c>
      <c r="N176" s="85">
        <v>0</v>
      </c>
      <c r="O176" s="86">
        <v>0</v>
      </c>
      <c r="P176" s="85">
        <f>SUM(J176:N176)</f>
        <v>5.0299999999999997E-2</v>
      </c>
      <c r="Q176" s="98" t="s">
        <v>230</v>
      </c>
      <c r="R176" s="83">
        <v>7503</v>
      </c>
      <c r="S176" s="42" t="s">
        <v>232</v>
      </c>
      <c r="T176" s="142">
        <f>+R176*J176</f>
        <v>360.89429999999999</v>
      </c>
      <c r="U176" s="88"/>
      <c r="V176" s="99" t="s">
        <v>242</v>
      </c>
      <c r="W176" s="42"/>
      <c r="X176" s="89"/>
      <c r="Y176" s="89"/>
    </row>
    <row r="177" spans="2:25" s="46" customFormat="1" x14ac:dyDescent="0.25">
      <c r="B177" s="42" t="s">
        <v>118</v>
      </c>
      <c r="C177" s="83" t="s">
        <v>1</v>
      </c>
      <c r="D177" s="83" t="s">
        <v>164</v>
      </c>
      <c r="E177" s="84">
        <v>36526</v>
      </c>
      <c r="F177" s="84">
        <v>36556</v>
      </c>
      <c r="G177" s="42" t="s">
        <v>228</v>
      </c>
      <c r="H177" s="91"/>
      <c r="I177" s="83" t="s">
        <v>229</v>
      </c>
      <c r="J177" s="66">
        <v>0.48399999999999999</v>
      </c>
      <c r="K177" s="85">
        <v>0</v>
      </c>
      <c r="L177" s="85">
        <v>2.2000000000000001E-3</v>
      </c>
      <c r="M177" s="85">
        <v>0</v>
      </c>
      <c r="N177" s="85">
        <v>0</v>
      </c>
      <c r="O177" s="86">
        <v>0</v>
      </c>
      <c r="P177" s="85">
        <f t="shared" si="23"/>
        <v>0.48619999999999997</v>
      </c>
      <c r="Q177" s="98" t="s">
        <v>230</v>
      </c>
      <c r="R177" s="83">
        <v>746</v>
      </c>
      <c r="S177" s="42" t="s">
        <v>232</v>
      </c>
      <c r="T177" s="142">
        <f>+R177*J177</f>
        <v>361.06399999999996</v>
      </c>
      <c r="U177" s="88"/>
      <c r="V177" s="99" t="s">
        <v>242</v>
      </c>
      <c r="W177" s="42"/>
      <c r="X177" s="89"/>
      <c r="Y177" s="89"/>
    </row>
    <row r="178" spans="2:25" s="46" customFormat="1" x14ac:dyDescent="0.25">
      <c r="B178" s="42" t="s">
        <v>118</v>
      </c>
      <c r="C178" s="83" t="s">
        <v>1</v>
      </c>
      <c r="D178" s="83" t="s">
        <v>174</v>
      </c>
      <c r="E178" s="84">
        <v>35977</v>
      </c>
      <c r="F178" s="84">
        <v>39599</v>
      </c>
      <c r="G178" s="42" t="s">
        <v>214</v>
      </c>
      <c r="H178" s="42" t="s">
        <v>215</v>
      </c>
      <c r="I178" s="83" t="s">
        <v>217</v>
      </c>
      <c r="J178" s="66">
        <f>4.7713/J$1</f>
        <v>0.15391290322580645</v>
      </c>
      <c r="K178" s="85">
        <v>0</v>
      </c>
      <c r="L178" s="85">
        <v>2.2000000000000001E-3</v>
      </c>
      <c r="M178" s="85">
        <v>0</v>
      </c>
      <c r="N178" s="85">
        <v>0</v>
      </c>
      <c r="O178" s="86">
        <v>0</v>
      </c>
      <c r="P178" s="85">
        <f>SUM(J178:N178)</f>
        <v>0.15611290322580645</v>
      </c>
      <c r="Q178" s="98" t="s">
        <v>216</v>
      </c>
      <c r="R178" s="83">
        <v>15</v>
      </c>
      <c r="S178" s="42" t="s">
        <v>218</v>
      </c>
      <c r="T178" s="141">
        <f t="shared" si="20"/>
        <v>71.569500000000005</v>
      </c>
      <c r="U178" s="88"/>
      <c r="V178" s="99" t="s">
        <v>243</v>
      </c>
      <c r="W178" s="42"/>
      <c r="X178" s="89"/>
      <c r="Y178" s="89"/>
    </row>
    <row r="179" spans="2:25" s="46" customFormat="1" x14ac:dyDescent="0.25">
      <c r="B179" s="42" t="s">
        <v>118</v>
      </c>
      <c r="C179" s="83" t="s">
        <v>1</v>
      </c>
      <c r="D179" s="83" t="s">
        <v>174</v>
      </c>
      <c r="E179" s="84">
        <v>36130</v>
      </c>
      <c r="F179" s="84">
        <v>39599</v>
      </c>
      <c r="G179" s="42" t="s">
        <v>214</v>
      </c>
      <c r="H179" s="42" t="s">
        <v>215</v>
      </c>
      <c r="I179" s="83" t="s">
        <v>217</v>
      </c>
      <c r="J179" s="66">
        <f>4.7713/J$1</f>
        <v>0.15391290322580645</v>
      </c>
      <c r="K179" s="85">
        <v>0</v>
      </c>
      <c r="L179" s="85">
        <v>2.2000000000000001E-3</v>
      </c>
      <c r="M179" s="85">
        <v>0</v>
      </c>
      <c r="N179" s="85">
        <v>0</v>
      </c>
      <c r="O179" s="86">
        <v>0</v>
      </c>
      <c r="P179" s="85">
        <f>SUM(J179:N179)</f>
        <v>0.15611290322580645</v>
      </c>
      <c r="Q179" s="98" t="s">
        <v>219</v>
      </c>
      <c r="R179" s="83">
        <v>2</v>
      </c>
      <c r="S179" s="42" t="s">
        <v>220</v>
      </c>
      <c r="T179" s="141">
        <f t="shared" si="20"/>
        <v>9.5426000000000002</v>
      </c>
      <c r="U179" s="88"/>
      <c r="V179" s="99" t="s">
        <v>244</v>
      </c>
      <c r="W179" s="42"/>
      <c r="X179" s="89"/>
      <c r="Y179" s="89"/>
    </row>
    <row r="180" spans="2:25" s="46" customFormat="1" x14ac:dyDescent="0.25">
      <c r="B180" s="42" t="s">
        <v>118</v>
      </c>
      <c r="C180" s="83" t="s">
        <v>1</v>
      </c>
      <c r="D180" s="83" t="s">
        <v>174</v>
      </c>
      <c r="E180" s="84">
        <v>36220</v>
      </c>
      <c r="F180" s="84">
        <v>39599</v>
      </c>
      <c r="G180" s="42" t="s">
        <v>214</v>
      </c>
      <c r="H180" s="42" t="s">
        <v>215</v>
      </c>
      <c r="I180" s="83" t="s">
        <v>217</v>
      </c>
      <c r="J180" s="66">
        <f>4.7713/J$1</f>
        <v>0.15391290322580645</v>
      </c>
      <c r="K180" s="85">
        <v>0</v>
      </c>
      <c r="L180" s="85">
        <v>2.2000000000000001E-3</v>
      </c>
      <c r="M180" s="85">
        <v>0</v>
      </c>
      <c r="N180" s="85">
        <v>0</v>
      </c>
      <c r="O180" s="86">
        <v>0</v>
      </c>
      <c r="P180" s="85">
        <f>SUM(J180:N180)</f>
        <v>0.15611290322580645</v>
      </c>
      <c r="Q180" s="98" t="s">
        <v>222</v>
      </c>
      <c r="R180" s="83">
        <v>5</v>
      </c>
      <c r="S180" s="42" t="s">
        <v>221</v>
      </c>
      <c r="T180" s="141">
        <f t="shared" si="20"/>
        <v>23.8565</v>
      </c>
      <c r="U180" s="88"/>
      <c r="V180" s="99" t="s">
        <v>245</v>
      </c>
      <c r="W180" s="42"/>
      <c r="X180" s="89"/>
      <c r="Y180" s="89"/>
    </row>
    <row r="181" spans="2:25" s="46" customFormat="1" x14ac:dyDescent="0.25">
      <c r="B181" s="42" t="s">
        <v>136</v>
      </c>
      <c r="C181" s="83" t="s">
        <v>1</v>
      </c>
      <c r="D181" s="83" t="s">
        <v>208</v>
      </c>
      <c r="E181" s="84">
        <v>36526</v>
      </c>
      <c r="F181" s="84">
        <v>36556</v>
      </c>
      <c r="G181" s="42" t="s">
        <v>200</v>
      </c>
      <c r="H181" s="91" t="s">
        <v>209</v>
      </c>
      <c r="I181" s="83" t="s">
        <v>210</v>
      </c>
      <c r="J181" s="66">
        <v>0.35</v>
      </c>
      <c r="K181" s="85">
        <v>0</v>
      </c>
      <c r="L181" s="85">
        <v>2.2000000000000001E-3</v>
      </c>
      <c r="M181" s="85">
        <v>0</v>
      </c>
      <c r="N181" s="85">
        <v>0</v>
      </c>
      <c r="O181" s="86">
        <v>0</v>
      </c>
      <c r="P181" s="85">
        <f>SUM(J181:N181)</f>
        <v>0.35219999999999996</v>
      </c>
      <c r="Q181" s="98" t="s">
        <v>250</v>
      </c>
      <c r="R181" s="83">
        <v>190</v>
      </c>
      <c r="S181" s="42" t="s">
        <v>211</v>
      </c>
      <c r="T181" s="88">
        <f>J181*J$1*R181</f>
        <v>2061.5</v>
      </c>
      <c r="U181" s="88"/>
      <c r="V181" s="89">
        <v>144552</v>
      </c>
      <c r="W181" s="42"/>
      <c r="X181" s="89"/>
      <c r="Y181" s="89"/>
    </row>
    <row r="182" spans="2:25" s="46" customFormat="1" x14ac:dyDescent="0.25">
      <c r="B182" s="42" t="s">
        <v>118</v>
      </c>
      <c r="C182" s="83" t="s">
        <v>1</v>
      </c>
      <c r="D182" s="83" t="s">
        <v>325</v>
      </c>
      <c r="E182" s="84">
        <v>36526</v>
      </c>
      <c r="F182" s="84">
        <v>38564</v>
      </c>
      <c r="G182" s="42" t="s">
        <v>326</v>
      </c>
      <c r="H182" s="42" t="s">
        <v>327</v>
      </c>
      <c r="I182" s="83" t="s">
        <v>184</v>
      </c>
      <c r="J182" s="66">
        <f>4.2584/J$1</f>
        <v>0.13736774193548387</v>
      </c>
      <c r="K182" s="85">
        <v>0</v>
      </c>
      <c r="L182" s="85">
        <v>2.2000000000000001E-3</v>
      </c>
      <c r="M182" s="85">
        <v>0</v>
      </c>
      <c r="N182" s="85">
        <v>0</v>
      </c>
      <c r="O182" s="86">
        <v>0</v>
      </c>
      <c r="P182" s="85">
        <f>SUM(J182:N182)</f>
        <v>0.13956774193548388</v>
      </c>
      <c r="Q182" s="154">
        <v>2.6598000000000002</v>
      </c>
      <c r="R182" s="83">
        <v>14800</v>
      </c>
      <c r="S182" s="42" t="s">
        <v>328</v>
      </c>
      <c r="T182" s="88">
        <f>J182*J$1*R182</f>
        <v>63024.32</v>
      </c>
      <c r="U182" s="88"/>
      <c r="V182" s="89">
        <v>165423</v>
      </c>
      <c r="W182" s="42"/>
      <c r="X182" s="89"/>
      <c r="Y182" s="89"/>
    </row>
    <row r="183" spans="2:25" s="46" customFormat="1" x14ac:dyDescent="0.25">
      <c r="B183" s="42" t="s">
        <v>118</v>
      </c>
      <c r="C183" s="83" t="s">
        <v>1</v>
      </c>
      <c r="D183" s="83" t="s">
        <v>325</v>
      </c>
      <c r="E183" s="84">
        <v>36526</v>
      </c>
      <c r="F183" s="84">
        <v>38564</v>
      </c>
      <c r="G183" s="42" t="s">
        <v>326</v>
      </c>
      <c r="H183" s="42" t="s">
        <v>327</v>
      </c>
      <c r="I183" s="83" t="s">
        <v>184</v>
      </c>
      <c r="J183" s="66">
        <f>4.2584/J$1</f>
        <v>0.13736774193548387</v>
      </c>
      <c r="K183" s="85">
        <v>0</v>
      </c>
      <c r="L183" s="85">
        <v>2.2000000000000001E-3</v>
      </c>
      <c r="M183" s="85">
        <v>0</v>
      </c>
      <c r="N183" s="85">
        <v>0</v>
      </c>
      <c r="O183" s="86">
        <v>0</v>
      </c>
      <c r="P183" s="85">
        <f t="shared" si="23"/>
        <v>0.13956774193548388</v>
      </c>
      <c r="Q183" s="154">
        <v>2.6591999999999998</v>
      </c>
      <c r="R183" s="83">
        <v>755</v>
      </c>
      <c r="S183" s="42" t="s">
        <v>328</v>
      </c>
      <c r="T183" s="88">
        <f t="shared" si="20"/>
        <v>3215.0920000000001</v>
      </c>
      <c r="U183" s="88"/>
      <c r="V183" s="89">
        <v>165415</v>
      </c>
      <c r="W183" s="42"/>
      <c r="X183" s="89"/>
      <c r="Y183" s="89"/>
    </row>
    <row r="184" spans="2:25" x14ac:dyDescent="0.25">
      <c r="B184" s="27"/>
      <c r="C184" s="3"/>
      <c r="D184" s="3"/>
      <c r="E184" s="4"/>
      <c r="F184" s="4"/>
      <c r="G184" s="1"/>
      <c r="H184" s="1"/>
      <c r="I184" s="3"/>
      <c r="J184" s="8"/>
      <c r="K184" s="5"/>
      <c r="L184" s="5"/>
      <c r="M184" s="5"/>
      <c r="N184" s="5"/>
      <c r="O184" s="47"/>
      <c r="P184" s="5"/>
      <c r="Q184" s="61"/>
      <c r="R184" s="62"/>
      <c r="S184" s="40"/>
      <c r="T184" s="28">
        <f>SUM(T160:T183)</f>
        <v>227229.64170000004</v>
      </c>
      <c r="U184" s="28"/>
      <c r="V184" s="67"/>
      <c r="W184" s="93"/>
      <c r="X184" s="35"/>
      <c r="Y184" s="35"/>
    </row>
    <row r="185" spans="2:25" x14ac:dyDescent="0.25">
      <c r="B185" s="27"/>
      <c r="C185" s="3"/>
      <c r="D185" s="3"/>
      <c r="E185" s="4"/>
      <c r="F185" s="4"/>
      <c r="G185" s="1"/>
      <c r="H185" s="1"/>
      <c r="I185" s="3"/>
      <c r="J185" s="5"/>
      <c r="K185" s="5"/>
      <c r="L185" s="5"/>
      <c r="M185" s="5"/>
      <c r="N185" s="5"/>
      <c r="O185" s="47"/>
      <c r="P185" s="5"/>
      <c r="Q185" s="61"/>
      <c r="R185" s="62"/>
      <c r="S185" s="28"/>
      <c r="T185" s="28"/>
      <c r="U185" s="28"/>
      <c r="V185" s="67"/>
      <c r="W185" s="93"/>
      <c r="X185" s="35"/>
      <c r="Y185" s="35"/>
    </row>
    <row r="186" spans="2:25" ht="13.8" thickBot="1" x14ac:dyDescent="0.3">
      <c r="B186" s="27"/>
      <c r="C186" s="3"/>
      <c r="D186" s="3"/>
      <c r="E186" s="4"/>
      <c r="F186" s="4"/>
      <c r="G186" s="1"/>
      <c r="H186" s="1"/>
      <c r="I186" s="3"/>
      <c r="J186" s="8"/>
      <c r="K186" s="5"/>
      <c r="L186" s="5"/>
      <c r="M186" s="5"/>
      <c r="N186" s="5"/>
      <c r="O186" s="47"/>
      <c r="P186" s="5"/>
      <c r="Q186" s="61"/>
      <c r="R186" s="62"/>
      <c r="S186" s="145" t="s">
        <v>314</v>
      </c>
      <c r="T186" s="144">
        <f>SUM(T184,T158,T149,T133,T111,T90,T43,T29,T13)</f>
        <v>2148138.2177023198</v>
      </c>
      <c r="U186" s="28" t="s">
        <v>402</v>
      </c>
      <c r="V186" s="67"/>
      <c r="W186" s="93"/>
      <c r="X186" s="35"/>
      <c r="Y186" s="35"/>
    </row>
    <row r="187" spans="2:25" ht="13.8" thickTop="1" x14ac:dyDescent="0.25">
      <c r="B187" s="27"/>
      <c r="C187" s="3"/>
      <c r="D187" s="3"/>
      <c r="E187" s="4"/>
      <c r="F187" s="4"/>
      <c r="G187" s="1"/>
      <c r="H187" s="1"/>
      <c r="I187" s="3"/>
      <c r="J187" s="5"/>
      <c r="K187" s="5"/>
      <c r="L187" s="5"/>
      <c r="M187" s="5"/>
      <c r="N187" s="5"/>
      <c r="O187" s="47"/>
      <c r="P187" s="5"/>
      <c r="Q187" s="61"/>
      <c r="R187" s="62"/>
      <c r="S187" s="28"/>
      <c r="T187" s="28"/>
      <c r="U187" s="28"/>
      <c r="V187" s="67"/>
      <c r="W187" s="93"/>
      <c r="X187" s="35"/>
      <c r="Y187" s="35"/>
    </row>
    <row r="188" spans="2:25" x14ac:dyDescent="0.25">
      <c r="B188" s="27"/>
      <c r="C188" s="3"/>
      <c r="D188" s="3"/>
      <c r="E188" s="4"/>
      <c r="F188" s="4"/>
      <c r="G188" s="1"/>
      <c r="H188" s="1"/>
      <c r="I188" s="3"/>
      <c r="J188" s="8"/>
      <c r="K188" s="5"/>
      <c r="L188" s="5"/>
      <c r="M188" s="5"/>
      <c r="N188" s="5"/>
      <c r="O188" s="47"/>
      <c r="P188" s="5"/>
      <c r="Q188" s="61"/>
      <c r="R188" s="62"/>
      <c r="S188" s="28"/>
      <c r="T188" s="28"/>
      <c r="U188" s="28"/>
      <c r="V188" s="67"/>
      <c r="W188" s="93"/>
      <c r="X188" s="35"/>
      <c r="Y188" s="35"/>
    </row>
    <row r="189" spans="2:25" x14ac:dyDescent="0.25">
      <c r="B189" s="27"/>
      <c r="C189" s="3"/>
      <c r="D189" s="3"/>
      <c r="E189" s="4"/>
      <c r="F189" s="4"/>
      <c r="G189" s="1"/>
      <c r="H189" s="1"/>
      <c r="I189" s="3"/>
      <c r="J189" s="5"/>
      <c r="K189" s="5"/>
      <c r="L189" s="5"/>
      <c r="M189" s="5"/>
      <c r="N189" s="5"/>
      <c r="O189" s="47"/>
      <c r="P189" s="5"/>
      <c r="Q189" s="61"/>
      <c r="R189" s="62"/>
      <c r="S189" s="28"/>
      <c r="T189" s="28"/>
      <c r="U189" s="28"/>
      <c r="V189" s="67"/>
      <c r="W189" s="93"/>
      <c r="X189" s="35"/>
      <c r="Y189" s="35"/>
    </row>
    <row r="190" spans="2:25" x14ac:dyDescent="0.25">
      <c r="B190" s="27"/>
      <c r="C190" s="3"/>
      <c r="D190" s="3"/>
      <c r="E190" s="4"/>
      <c r="F190" s="4"/>
      <c r="G190" s="1"/>
      <c r="H190" s="1"/>
      <c r="I190" s="3"/>
      <c r="J190" s="5"/>
      <c r="K190" s="5"/>
      <c r="L190" s="5"/>
      <c r="M190" s="5"/>
      <c r="N190" s="5"/>
      <c r="O190" s="47"/>
      <c r="P190" s="5"/>
      <c r="Q190" s="61"/>
      <c r="R190" s="62"/>
      <c r="S190" s="28"/>
      <c r="T190" s="28"/>
      <c r="U190" s="28"/>
      <c r="V190" s="67"/>
      <c r="W190" s="93"/>
      <c r="X190" s="40"/>
      <c r="Y190" s="35"/>
    </row>
    <row r="191" spans="2:25" x14ac:dyDescent="0.25">
      <c r="B191" s="27"/>
      <c r="C191" s="3"/>
      <c r="D191" s="3"/>
      <c r="E191" s="4"/>
      <c r="F191" s="4"/>
      <c r="G191" s="1"/>
      <c r="H191" s="1"/>
      <c r="I191" s="3"/>
      <c r="J191" s="5"/>
      <c r="K191" s="5"/>
      <c r="L191" s="5"/>
      <c r="M191" s="5"/>
      <c r="N191" s="5"/>
      <c r="O191" s="47"/>
      <c r="P191" s="5"/>
      <c r="Q191" s="61"/>
      <c r="R191" s="62"/>
      <c r="S191" s="28"/>
      <c r="T191" s="28"/>
      <c r="U191" s="28"/>
      <c r="V191" s="67"/>
      <c r="W191" s="93"/>
      <c r="X191" s="35"/>
      <c r="Y191" s="35"/>
    </row>
    <row r="192" spans="2:25" x14ac:dyDescent="0.25">
      <c r="B192" s="27"/>
      <c r="C192" s="3"/>
      <c r="D192" s="3"/>
      <c r="E192" s="4"/>
      <c r="F192" s="4"/>
      <c r="G192" s="1"/>
      <c r="H192" s="1"/>
      <c r="I192" s="3"/>
      <c r="J192" s="5"/>
      <c r="K192" s="5"/>
      <c r="L192" s="5"/>
      <c r="M192" s="5"/>
      <c r="N192" s="5"/>
      <c r="O192" s="47"/>
      <c r="P192" s="5"/>
      <c r="Q192" s="61"/>
      <c r="R192" s="62"/>
      <c r="S192" s="28"/>
      <c r="T192" s="28"/>
      <c r="U192" s="28"/>
      <c r="V192" s="67"/>
      <c r="W192" s="93"/>
      <c r="X192" s="35"/>
      <c r="Y192" s="35"/>
    </row>
    <row r="193" spans="2:25" x14ac:dyDescent="0.25">
      <c r="B193" s="27"/>
      <c r="C193" s="3"/>
      <c r="D193" s="3"/>
      <c r="E193" s="4"/>
      <c r="F193" s="4"/>
      <c r="G193" s="1"/>
      <c r="H193" s="1"/>
      <c r="I193" s="3"/>
      <c r="J193" s="8"/>
      <c r="K193" s="5"/>
      <c r="L193" s="5"/>
      <c r="M193" s="5"/>
      <c r="N193" s="5"/>
      <c r="O193" s="47"/>
      <c r="P193" s="5"/>
      <c r="Q193" s="61"/>
      <c r="R193" s="62"/>
      <c r="S193" s="40"/>
      <c r="T193" s="28"/>
      <c r="U193" s="28"/>
      <c r="V193" s="67"/>
      <c r="W193" s="93"/>
      <c r="X193" s="35"/>
      <c r="Y193" s="35"/>
    </row>
    <row r="194" spans="2:25" x14ac:dyDescent="0.25">
      <c r="B194" s="27"/>
      <c r="C194" s="3"/>
      <c r="D194" s="3"/>
      <c r="E194" s="4"/>
      <c r="F194" s="4"/>
      <c r="G194" s="1"/>
      <c r="H194" s="1"/>
      <c r="I194" s="3"/>
      <c r="J194" s="8"/>
      <c r="K194" s="5"/>
      <c r="L194" s="5"/>
      <c r="M194" s="5"/>
      <c r="N194" s="5"/>
      <c r="O194" s="47"/>
      <c r="P194" s="5"/>
      <c r="Q194" s="61"/>
      <c r="R194" s="62"/>
      <c r="S194" s="40"/>
      <c r="T194" s="28"/>
      <c r="U194" s="28"/>
      <c r="V194" s="67"/>
      <c r="W194" s="93"/>
      <c r="X194" s="35"/>
      <c r="Y194" s="35"/>
    </row>
    <row r="195" spans="2:25" x14ac:dyDescent="0.25">
      <c r="Q195" s="34"/>
      <c r="R195" s="34"/>
      <c r="S195" s="34"/>
      <c r="T195" s="34"/>
      <c r="U195" s="34"/>
      <c r="V195" s="63"/>
      <c r="W195" s="97"/>
      <c r="X195" s="63"/>
    </row>
    <row r="196" spans="2:25" x14ac:dyDescent="0.25">
      <c r="Q196" s="34"/>
      <c r="R196" s="34"/>
      <c r="S196" s="34"/>
      <c r="T196" s="34"/>
      <c r="U196" s="34"/>
      <c r="V196" s="63"/>
      <c r="W196" s="97"/>
      <c r="X196" s="63"/>
    </row>
  </sheetData>
  <pageMargins left="0.75" right="0.75" top="1" bottom="1" header="0.5" footer="0.5"/>
  <pageSetup paperSize="5" scale="70" fitToHeight="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Pricing</vt:lpstr>
      <vt:lpstr>CGAS Volume</vt:lpstr>
      <vt:lpstr>Ces Retail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2000-02-19T15:00:57Z</cp:lastPrinted>
  <dcterms:created xsi:type="dcterms:W3CDTF">1998-07-21T12:15:25Z</dcterms:created>
  <dcterms:modified xsi:type="dcterms:W3CDTF">2023-09-10T15:48:03Z</dcterms:modified>
</cp:coreProperties>
</file>